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57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估价对象" sheetId="72"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state="hidden" r:id="rId32"/>
    <sheet name="成本逼近法" sheetId="11" state="hidden" r:id="rId33"/>
    <sheet name="土地案例" sheetId="73" r:id="rId34"/>
    <sheet name="剩余法-待开发" sheetId="12" r:id="rId35"/>
    <sheet name="不动产比较法-住宅" sheetId="21" r:id="rId36"/>
    <sheet name="不动产收益法" sheetId="15" state="hidden" r:id="rId37"/>
    <sheet name="不动产比较法-车位" sheetId="35" r:id="rId38"/>
    <sheet name="案例" sheetId="74" state="hidden" r:id="rId39"/>
    <sheet name="不动产比较法-商业" sheetId="33" state="hidden" r:id="rId40"/>
    <sheet name="不动产比较法-办公" sheetId="34" state="hidden" r:id="rId41"/>
    <sheet name="不动产比较法-工业" sheetId="37"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2" hidden="1">'不动产比较法-仓储'!$A$1:$L$37</definedName>
    <definedName name="_xlnm._FilterDatabase" localSheetId="37"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2">'不动产比较法-仓储'!$A$1:$K$42,'不动产比较法-仓储'!$A$45:$M$96</definedName>
    <definedName name="_xlnm.Print_Area" localSheetId="37">'不动产比较法-车位'!$A$1:$K$44,'不动产比较法-车位'!$A$47:$M$102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5">'不动产比较法-住宅'!$A$1:$K$54,'不动产比较法-住宅'!$A$57:$M$131</definedName>
    <definedName name="_xlnm.Print_Area" localSheetId="36">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4">'剩余法-待开发'!$A$1:$K$36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12" l="1"/>
  <c r="E9" i="39" l="1"/>
  <c r="C31" i="35"/>
  <c r="AD29" i="72" l="1"/>
  <c r="AD27" i="72"/>
  <c r="F119" i="39"/>
  <c r="G119" i="39"/>
  <c r="E119" i="39"/>
  <c r="E40" i="39" l="1"/>
  <c r="E104" i="21"/>
  <c r="F104" i="21"/>
  <c r="D104" i="21"/>
  <c r="C33" i="21"/>
  <c r="K11" i="21"/>
  <c r="I7" i="6"/>
  <c r="AD13" i="3"/>
  <c r="AL13" i="3"/>
  <c r="D98" i="35" l="1"/>
  <c r="G35" i="9"/>
  <c r="D92" i="35"/>
  <c r="E92" i="35" s="1"/>
  <c r="F92" i="35" s="1"/>
  <c r="G92" i="35" s="1"/>
  <c r="H92" i="35" s="1"/>
  <c r="I92" i="35" s="1"/>
  <c r="K20" i="35"/>
  <c r="K18" i="35"/>
  <c r="K16" i="35"/>
  <c r="K23" i="21"/>
  <c r="K19" i="21"/>
  <c r="K17" i="21"/>
  <c r="K14" i="35"/>
  <c r="G116" i="21"/>
  <c r="F116" i="21"/>
  <c r="E116" i="21"/>
  <c r="D116" i="21"/>
  <c r="C116" i="21"/>
  <c r="D91" i="21"/>
  <c r="E91" i="21" s="1"/>
  <c r="F91" i="21" s="1"/>
  <c r="G91" i="21" s="1"/>
  <c r="K15" i="21" l="1"/>
  <c r="E48" i="39"/>
  <c r="E13" i="39"/>
  <c r="E7" i="39"/>
  <c r="AF13" i="3" l="1"/>
  <c r="AN13" i="3"/>
  <c r="AT13" i="3"/>
  <c r="D3" i="4"/>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Y259" i="74"/>
  <c r="Y157" i="74"/>
  <c r="Y105" i="74"/>
  <c r="B101" i="35"/>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L89" i="35"/>
  <c r="K89" i="35"/>
  <c r="J89" i="35"/>
  <c r="I89" i="35"/>
  <c r="H89" i="35"/>
  <c r="G89" i="35"/>
  <c r="F89" i="35"/>
  <c r="E89" i="35"/>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D70" i="35"/>
  <c r="E70" i="35" s="1"/>
  <c r="F70" i="35" s="1"/>
  <c r="G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H34" i="35"/>
  <c r="AB34" i="35" s="1"/>
  <c r="F34" i="35"/>
  <c r="AA34" i="35" s="1"/>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Z28" i="35"/>
  <c r="Q28" i="35"/>
  <c r="J28" i="35"/>
  <c r="AC28" i="35" s="1"/>
  <c r="H28" i="35"/>
  <c r="AB28" i="35" s="1"/>
  <c r="F28" i="35"/>
  <c r="AA28" i="35" s="1"/>
  <c r="Z27" i="35"/>
  <c r="Q27" i="35"/>
  <c r="J27" i="35"/>
  <c r="AC27" i="35" s="1"/>
  <c r="H27" i="35"/>
  <c r="AB27" i="35" s="1"/>
  <c r="F27" i="35"/>
  <c r="AA27" i="35" s="1"/>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AC8" i="35" s="1"/>
  <c r="H8" i="35"/>
  <c r="U8" i="35" s="1"/>
  <c r="F8" i="35"/>
  <c r="S8" i="35" s="1"/>
  <c r="F3" i="35"/>
  <c r="D3" i="35"/>
  <c r="P75" i="15"/>
  <c r="Q73" i="15"/>
  <c r="P62" i="15"/>
  <c r="F61" i="15"/>
  <c r="Q60" i="15"/>
  <c r="F60" i="15"/>
  <c r="D60" i="15"/>
  <c r="Q59" i="15"/>
  <c r="K59" i="15"/>
  <c r="F59" i="15"/>
  <c r="F58" i="15"/>
  <c r="Q52" i="15"/>
  <c r="J51" i="15"/>
  <c r="J50" i="15"/>
  <c r="M47" i="15"/>
  <c r="F34" i="15"/>
  <c r="F33" i="15"/>
  <c r="F32" i="15"/>
  <c r="F31" i="15"/>
  <c r="F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J44" i="21" s="1"/>
  <c r="AC44" i="21" s="1"/>
  <c r="E125" i="21"/>
  <c r="F125" i="21" s="1"/>
  <c r="G125" i="21" s="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J33" i="21"/>
  <c r="W33" i="21" s="1"/>
  <c r="H33" i="21"/>
  <c r="AB33" i="21" s="1"/>
  <c r="F33" i="21"/>
  <c r="AA33" i="21" s="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Z10" i="21"/>
  <c r="W10" i="21"/>
  <c r="U10" i="21"/>
  <c r="Q10" i="21"/>
  <c r="J10" i="21"/>
  <c r="H10" i="21"/>
  <c r="F10" i="21"/>
  <c r="AA10" i="21" s="1"/>
  <c r="AC9" i="21"/>
  <c r="AB9" i="21"/>
  <c r="AA9" i="21"/>
  <c r="Z9" i="21"/>
  <c r="W9" i="21"/>
  <c r="U9" i="21"/>
  <c r="S9" i="21"/>
  <c r="Q9" i="21"/>
  <c r="J9" i="21"/>
  <c r="H9" i="21"/>
  <c r="F9" i="21"/>
  <c r="AC8" i="21"/>
  <c r="AB8" i="21"/>
  <c r="AA8" i="21"/>
  <c r="W8" i="21"/>
  <c r="U8" i="21"/>
  <c r="S8" i="21"/>
  <c r="J8" i="21"/>
  <c r="H8" i="21"/>
  <c r="F8" i="21"/>
  <c r="D3" i="21"/>
  <c r="F29" i="12"/>
  <c r="G28" i="12"/>
  <c r="G27" i="12"/>
  <c r="G26" i="12"/>
  <c r="F25" i="12"/>
  <c r="F24" i="12"/>
  <c r="F23" i="12"/>
  <c r="E22" i="12"/>
  <c r="E21" i="12"/>
  <c r="E19" i="12"/>
  <c r="F17" i="12"/>
  <c r="E16" i="12"/>
  <c r="F15" i="12"/>
  <c r="F14" i="12"/>
  <c r="K9" i="12"/>
  <c r="J9" i="12"/>
  <c r="I9" i="12"/>
  <c r="H9" i="12"/>
  <c r="G9" i="12"/>
  <c r="F9" i="12"/>
  <c r="E9" i="12"/>
  <c r="D9" i="12"/>
  <c r="C9" i="12"/>
  <c r="K1" i="12"/>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1"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N75" i="46"/>
  <c r="M75" i="46"/>
  <c r="K75" i="46"/>
  <c r="J75" i="46"/>
  <c r="D75" i="46"/>
  <c r="N74" i="46"/>
  <c r="M74" i="46"/>
  <c r="K74" i="46"/>
  <c r="J74" i="46"/>
  <c r="D74" i="46"/>
  <c r="B74" i="46"/>
  <c r="N73" i="46"/>
  <c r="M73" i="46"/>
  <c r="K73" i="46"/>
  <c r="J73" i="46"/>
  <c r="D73" i="46"/>
  <c r="N72" i="46"/>
  <c r="M72" i="46"/>
  <c r="K72" i="46"/>
  <c r="J72" i="46"/>
  <c r="F72" i="46"/>
  <c r="H80" i="46" s="1"/>
  <c r="E72" i="46"/>
  <c r="D72" i="46"/>
  <c r="B70" i="46"/>
  <c r="N69" i="46"/>
  <c r="M69" i="46"/>
  <c r="K69" i="46"/>
  <c r="J69" i="46"/>
  <c r="D69" i="46"/>
  <c r="B69" i="46"/>
  <c r="N68" i="46"/>
  <c r="M68" i="46"/>
  <c r="K68" i="46"/>
  <c r="J68" i="46"/>
  <c r="D68" i="46"/>
  <c r="B68" i="46"/>
  <c r="N67" i="46"/>
  <c r="M67" i="46"/>
  <c r="K67" i="46"/>
  <c r="J67" i="46"/>
  <c r="D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9" i="46" s="1"/>
  <c r="E61" i="46"/>
  <c r="D61" i="46"/>
  <c r="B59" i="46"/>
  <c r="N58" i="46"/>
  <c r="M58" i="46"/>
  <c r="K58" i="46"/>
  <c r="J58" i="46"/>
  <c r="D58" i="46"/>
  <c r="B58" i="46"/>
  <c r="N57" i="46"/>
  <c r="M57" i="46"/>
  <c r="K57" i="46"/>
  <c r="J57" i="46"/>
  <c r="D57" i="46"/>
  <c r="B57" i="46"/>
  <c r="N56" i="46"/>
  <c r="M56" i="46"/>
  <c r="K56" i="46"/>
  <c r="J56" i="46"/>
  <c r="D56" i="46"/>
  <c r="N55" i="46"/>
  <c r="M55" i="46"/>
  <c r="K55" i="46"/>
  <c r="J55" i="46"/>
  <c r="D55" i="46"/>
  <c r="N54" i="46"/>
  <c r="M54" i="46"/>
  <c r="K54" i="46"/>
  <c r="J54" i="46"/>
  <c r="D54" i="46"/>
  <c r="N53" i="46"/>
  <c r="M53" i="46"/>
  <c r="K53" i="46"/>
  <c r="J53" i="46"/>
  <c r="D53" i="46"/>
  <c r="N52" i="46"/>
  <c r="M52" i="46"/>
  <c r="K52" i="46"/>
  <c r="J52" i="46"/>
  <c r="D52" i="46"/>
  <c r="B52" i="46"/>
  <c r="N51" i="46"/>
  <c r="M51" i="46"/>
  <c r="K51" i="46"/>
  <c r="J51" i="46"/>
  <c r="D51" i="46"/>
  <c r="B51" i="46"/>
  <c r="N50" i="46"/>
  <c r="M50" i="46"/>
  <c r="K50" i="46"/>
  <c r="J50" i="46"/>
  <c r="F50" i="46"/>
  <c r="H51" i="46" s="1"/>
  <c r="E50" i="46"/>
  <c r="D50" i="46"/>
  <c r="B48" i="46"/>
  <c r="E44" i="46"/>
  <c r="C44" i="46"/>
  <c r="H42" i="46"/>
  <c r="F42" i="46"/>
  <c r="H41" i="46"/>
  <c r="H40" i="46"/>
  <c r="F40" i="46"/>
  <c r="H39" i="46"/>
  <c r="H38" i="46"/>
  <c r="F38" i="46"/>
  <c r="H37" i="46"/>
  <c r="Q32" i="46"/>
  <c r="P32" i="46"/>
  <c r="O32" i="46"/>
  <c r="N32" i="46"/>
  <c r="M32" i="46"/>
  <c r="C28" i="46"/>
  <c r="J24" i="46"/>
  <c r="I24" i="46"/>
  <c r="C24" i="46" s="1"/>
  <c r="G24" i="46"/>
  <c r="E24" i="46"/>
  <c r="M23" i="46"/>
  <c r="I23" i="46"/>
  <c r="C23" i="46"/>
  <c r="C22" i="46"/>
  <c r="O21" i="46"/>
  <c r="K21" i="46"/>
  <c r="J21" i="46"/>
  <c r="D21"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S4" i="46"/>
  <c r="G3" i="46"/>
  <c r="I2" i="46"/>
  <c r="I13" i="48" s="1"/>
  <c r="G2" i="46"/>
  <c r="H117"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E61" i="40"/>
  <c r="I60" i="40"/>
  <c r="C60" i="40" s="1"/>
  <c r="H60" i="40"/>
  <c r="E60" i="40"/>
  <c r="H59" i="40"/>
  <c r="I59" i="40" s="1"/>
  <c r="C59" i="40" s="1"/>
  <c r="E59" i="40"/>
  <c r="H58" i="40"/>
  <c r="I58" i="40" s="1"/>
  <c r="C58" i="40" s="1"/>
  <c r="E58" i="40"/>
  <c r="H57" i="40"/>
  <c r="I57" i="40" s="1"/>
  <c r="C57" i="40" s="1"/>
  <c r="E57" i="40"/>
  <c r="I56" i="40"/>
  <c r="H56" i="40"/>
  <c r="C56" i="40"/>
  <c r="I55" i="40"/>
  <c r="C55" i="40" s="1"/>
  <c r="H55" i="40"/>
  <c r="I54" i="40"/>
  <c r="C54" i="40" s="1"/>
  <c r="H54" i="40"/>
  <c r="E53"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D108" i="39"/>
  <c r="E108" i="39" s="1"/>
  <c r="F108" i="39" s="1"/>
  <c r="D106" i="39"/>
  <c r="E106" i="39" s="1"/>
  <c r="F106" i="39" s="1"/>
  <c r="G106" i="39" s="1"/>
  <c r="H106" i="39" s="1"/>
  <c r="I106" i="39" s="1"/>
  <c r="J106" i="39" s="1"/>
  <c r="K106" i="39" s="1"/>
  <c r="L106" i="39" s="1"/>
  <c r="M106" i="39" s="1"/>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D72" i="39"/>
  <c r="E72" i="39" s="1"/>
  <c r="F72" i="39" s="1"/>
  <c r="G72" i="39" s="1"/>
  <c r="H72" i="39" s="1"/>
  <c r="I72" i="39" s="1"/>
  <c r="J72" i="39" s="1"/>
  <c r="K72" i="39" s="1"/>
  <c r="L72" i="39" s="1"/>
  <c r="M72" i="39" s="1"/>
  <c r="N72" i="39" s="1"/>
  <c r="I66" i="39"/>
  <c r="C66" i="39" s="1"/>
  <c r="H66" i="39"/>
  <c r="E66" i="39"/>
  <c r="I65" i="39"/>
  <c r="H65" i="39"/>
  <c r="E65" i="39"/>
  <c r="C65" i="39"/>
  <c r="I64" i="39"/>
  <c r="C64" i="39" s="1"/>
  <c r="H64" i="39"/>
  <c r="E64" i="39"/>
  <c r="H63" i="39"/>
  <c r="I63" i="39" s="1"/>
  <c r="C63" i="39" s="1"/>
  <c r="E63" i="39"/>
  <c r="I62" i="39"/>
  <c r="C62" i="39" s="1"/>
  <c r="H62" i="39"/>
  <c r="E62" i="39"/>
  <c r="I61" i="39"/>
  <c r="H61" i="39"/>
  <c r="C61" i="39"/>
  <c r="I60" i="39"/>
  <c r="C60" i="39" s="1"/>
  <c r="H60" i="39"/>
  <c r="I59" i="39"/>
  <c r="C59" i="39" s="1"/>
  <c r="H59" i="39"/>
  <c r="E58" i="39"/>
  <c r="E67" i="39" s="1"/>
  <c r="J57" i="39"/>
  <c r="I55" i="39"/>
  <c r="J55" i="39" s="1"/>
  <c r="H55" i="39"/>
  <c r="G55" i="39"/>
  <c r="E55" i="39"/>
  <c r="F55" i="39" s="1"/>
  <c r="P50" i="39"/>
  <c r="P49" i="39"/>
  <c r="K49" i="39"/>
  <c r="V48" i="39"/>
  <c r="T48" i="39"/>
  <c r="R48" i="39"/>
  <c r="P48" i="39"/>
  <c r="I48" i="39"/>
  <c r="G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S41" i="39" s="1"/>
  <c r="Z40" i="39"/>
  <c r="Q40" i="39"/>
  <c r="J40" i="39"/>
  <c r="AC40" i="39" s="1"/>
  <c r="I40" i="39"/>
  <c r="H40" i="39"/>
  <c r="AB40" i="39" s="1"/>
  <c r="G40" i="39"/>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Z33" i="39"/>
  <c r="Q33" i="39"/>
  <c r="J33" i="39"/>
  <c r="W33" i="39" s="1"/>
  <c r="H33" i="39"/>
  <c r="AB33" i="39" s="1"/>
  <c r="F33" i="39"/>
  <c r="S33" i="39" s="1"/>
  <c r="AC31" i="39"/>
  <c r="AB31" i="39"/>
  <c r="AA31" i="39"/>
  <c r="Z31" i="39"/>
  <c r="W31" i="39"/>
  <c r="U31" i="39"/>
  <c r="S31" i="39"/>
  <c r="Q31" i="39"/>
  <c r="J31" i="39"/>
  <c r="H31" i="39"/>
  <c r="F31" i="39"/>
  <c r="C31" i="39"/>
  <c r="AB29" i="39"/>
  <c r="AA29" i="39"/>
  <c r="Z29" i="39"/>
  <c r="U29" i="39"/>
  <c r="S29" i="39"/>
  <c r="Q29" i="39"/>
  <c r="J29" i="39"/>
  <c r="AC29" i="39" s="1"/>
  <c r="H29" i="39"/>
  <c r="F29" i="39"/>
  <c r="AC27" i="39"/>
  <c r="AB27" i="39"/>
  <c r="Z27" i="39"/>
  <c r="W27" i="39"/>
  <c r="U27" i="39"/>
  <c r="Q27" i="39"/>
  <c r="J27" i="39"/>
  <c r="H27" i="39"/>
  <c r="F27" i="39"/>
  <c r="AA27" i="39" s="1"/>
  <c r="C27" i="39"/>
  <c r="Z25" i="39"/>
  <c r="Q25" i="39"/>
  <c r="J25" i="39"/>
  <c r="W25" i="39" s="1"/>
  <c r="H25" i="39"/>
  <c r="AB25" i="39" s="1"/>
  <c r="F25" i="39"/>
  <c r="AA25" i="39" s="1"/>
  <c r="C25" i="39"/>
  <c r="Z23" i="39"/>
  <c r="Q23" i="39"/>
  <c r="J23" i="39"/>
  <c r="AC23" i="39" s="1"/>
  <c r="H23" i="39"/>
  <c r="AB23" i="39" s="1"/>
  <c r="F23" i="39"/>
  <c r="AA23" i="39" s="1"/>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s="1"/>
  <c r="J15" i="39"/>
  <c r="AC15" i="39" s="1"/>
  <c r="H15" i="39"/>
  <c r="AB15" i="39" s="1"/>
  <c r="F15" i="39"/>
  <c r="AA15" i="39" s="1"/>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I9" i="39"/>
  <c r="G9" i="39"/>
  <c r="C9" i="39"/>
  <c r="C69" i="39" s="1"/>
  <c r="I7" i="39"/>
  <c r="G7" i="39"/>
  <c r="F26" i="43"/>
  <c r="F25" i="43"/>
  <c r="C25" i="43"/>
  <c r="F24" i="43"/>
  <c r="C24" i="43"/>
  <c r="G20" i="43"/>
  <c r="F19" i="43"/>
  <c r="F17" i="43"/>
  <c r="E16" i="43"/>
  <c r="F15" i="43"/>
  <c r="F14" i="43"/>
  <c r="K9" i="43"/>
  <c r="J9" i="43"/>
  <c r="I9" i="43"/>
  <c r="H9" i="43"/>
  <c r="G9" i="43"/>
  <c r="F9" i="43"/>
  <c r="E9" i="43"/>
  <c r="D9" i="43"/>
  <c r="C9" i="43"/>
  <c r="C6" i="43"/>
  <c r="K1" i="43"/>
  <c r="C112" i="9"/>
  <c r="D111" i="9"/>
  <c r="C109" i="9"/>
  <c r="C110" i="9" s="1"/>
  <c r="E108" i="9"/>
  <c r="D107" i="9"/>
  <c r="C107" i="9"/>
  <c r="C105" i="9"/>
  <c r="D96" i="9"/>
  <c r="H95" i="9"/>
  <c r="D95" i="9"/>
  <c r="C94"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C46" i="9"/>
  <c r="A46" i="9"/>
  <c r="C45" i="9"/>
  <c r="A45" i="9"/>
  <c r="M44" i="9"/>
  <c r="K44" i="9"/>
  <c r="A44" i="9"/>
  <c r="M43" i="9"/>
  <c r="K43" i="9"/>
  <c r="C43" i="9"/>
  <c r="K47" i="9" s="1"/>
  <c r="A14" i="55" s="1"/>
  <c r="B65" i="63" s="1"/>
  <c r="K41" i="9"/>
  <c r="K40" i="9"/>
  <c r="K39" i="9"/>
  <c r="E37" i="9"/>
  <c r="C37" i="9"/>
  <c r="B37" i="9"/>
  <c r="K33" i="9"/>
  <c r="K31" i="9"/>
  <c r="K32" i="9" s="1"/>
  <c r="D27" i="9"/>
  <c r="C27" i="9"/>
  <c r="B27"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D8" i="66"/>
  <c r="B8" i="66"/>
  <c r="D7" i="66"/>
  <c r="B7" i="66"/>
  <c r="B3" i="66"/>
  <c r="B2" i="66"/>
  <c r="C24" i="20"/>
  <c r="B65" i="46" s="1"/>
  <c r="C22" i="20"/>
  <c r="C21" i="20"/>
  <c r="B76" i="46" s="1"/>
  <c r="G20" i="20"/>
  <c r="C20" i="20"/>
  <c r="G19" i="20"/>
  <c r="G18" i="20"/>
  <c r="C18" i="20"/>
  <c r="B62" i="46" s="1"/>
  <c r="C17" i="20"/>
  <c r="C21" i="39" s="1"/>
  <c r="G16" i="20"/>
  <c r="C16" i="20"/>
  <c r="C19" i="39" s="1"/>
  <c r="G15" i="20"/>
  <c r="C15" i="20"/>
  <c r="B72" i="46" s="1"/>
  <c r="B52" i="1"/>
  <c r="B43" i="1"/>
  <c r="C42" i="1"/>
  <c r="B41" i="1"/>
  <c r="B31" i="1"/>
  <c r="B24" i="1"/>
  <c r="B23" i="1"/>
  <c r="B22" i="1"/>
  <c r="AG13" i="1"/>
  <c r="AE13" i="1"/>
  <c r="S13" i="1"/>
  <c r="R13" i="1"/>
  <c r="K13" i="1"/>
  <c r="M13" i="1" s="1"/>
  <c r="F13" i="1"/>
  <c r="G13" i="1" s="1"/>
  <c r="E13" i="1"/>
  <c r="D13" i="1"/>
  <c r="B13" i="1"/>
  <c r="A13" i="1"/>
  <c r="AG12" i="1"/>
  <c r="AE12" i="1"/>
  <c r="S12" i="1"/>
  <c r="R12" i="1"/>
  <c r="K12" i="1"/>
  <c r="M12" i="1" s="1"/>
  <c r="F12" i="1"/>
  <c r="E12" i="1"/>
  <c r="D12" i="1"/>
  <c r="B12" i="1"/>
  <c r="A12" i="1"/>
  <c r="AG11" i="1"/>
  <c r="AE11" i="1"/>
  <c r="S11" i="1"/>
  <c r="R11" i="1"/>
  <c r="K11" i="1"/>
  <c r="M11" i="1" s="1"/>
  <c r="F11" i="1"/>
  <c r="G11" i="1" s="1"/>
  <c r="E11" i="1"/>
  <c r="D11" i="1"/>
  <c r="B11" i="1"/>
  <c r="A11" i="1"/>
  <c r="AG10" i="1"/>
  <c r="AE10" i="1"/>
  <c r="S10" i="1"/>
  <c r="R10" i="1"/>
  <c r="K10" i="1"/>
  <c r="M10" i="1" s="1"/>
  <c r="F10" i="1"/>
  <c r="E10" i="1"/>
  <c r="D10" i="1"/>
  <c r="B10" i="1"/>
  <c r="A10" i="1"/>
  <c r="AG9" i="1"/>
  <c r="AE9" i="1"/>
  <c r="S9" i="1"/>
  <c r="R9" i="1"/>
  <c r="K9" i="1"/>
  <c r="M9" i="1" s="1"/>
  <c r="F9" i="1"/>
  <c r="G9" i="1" s="1"/>
  <c r="E9" i="1"/>
  <c r="D9" i="1"/>
  <c r="B9" i="1"/>
  <c r="A9" i="1"/>
  <c r="AG8" i="1"/>
  <c r="AE8" i="1"/>
  <c r="S8" i="1"/>
  <c r="R8" i="1"/>
  <c r="K8" i="1"/>
  <c r="M8" i="1" s="1"/>
  <c r="F8" i="1"/>
  <c r="E8" i="1"/>
  <c r="D8" i="1"/>
  <c r="B8" i="1"/>
  <c r="A8" i="1"/>
  <c r="AG7" i="1"/>
  <c r="K7" i="1"/>
  <c r="M7" i="1" s="1"/>
  <c r="E7" i="1"/>
  <c r="D7" i="1"/>
  <c r="B7" i="1"/>
  <c r="A7" i="1"/>
  <c r="AG6" i="1"/>
  <c r="AE6" i="1"/>
  <c r="K6" i="1"/>
  <c r="E6" i="1"/>
  <c r="D6" i="1"/>
  <c r="B6" i="1"/>
  <c r="A6" i="1"/>
  <c r="T4" i="1"/>
  <c r="B2" i="1"/>
  <c r="O25" i="72"/>
  <c r="E32" i="6"/>
  <c r="P27" i="6"/>
  <c r="O27" i="6"/>
  <c r="N27" i="6"/>
  <c r="G27" i="6"/>
  <c r="F27" i="6"/>
  <c r="E27" i="6"/>
  <c r="P26" i="6"/>
  <c r="L26" i="6"/>
  <c r="E26" i="6"/>
  <c r="P25" i="6"/>
  <c r="L25" i="6"/>
  <c r="E25" i="6"/>
  <c r="P24" i="6"/>
  <c r="L24" i="6"/>
  <c r="E24" i="6"/>
  <c r="P23" i="6"/>
  <c r="L23" i="6"/>
  <c r="E23" i="6"/>
  <c r="P22" i="6"/>
  <c r="L22" i="6"/>
  <c r="E22" i="6"/>
  <c r="P21" i="6"/>
  <c r="L21" i="6"/>
  <c r="E21" i="6"/>
  <c r="P20" i="6"/>
  <c r="L20" i="6"/>
  <c r="G20" i="6"/>
  <c r="E20" i="6"/>
  <c r="P19" i="6"/>
  <c r="F19" i="6"/>
  <c r="E19" i="6"/>
  <c r="E16" i="6"/>
  <c r="E15" i="6"/>
  <c r="E14" i="6"/>
  <c r="E13" i="6"/>
  <c r="E12" i="6"/>
  <c r="E11" i="6"/>
  <c r="E10" i="6"/>
  <c r="E8" i="6"/>
  <c r="E5"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Q5" i="3" s="1"/>
  <c r="F28" i="6" s="1"/>
  <c r="BP13" i="3"/>
  <c r="BO13" i="3"/>
  <c r="BN13" i="3"/>
  <c r="BM13" i="3"/>
  <c r="BK13" i="3"/>
  <c r="BJ13" i="3"/>
  <c r="BI13" i="3"/>
  <c r="BH13" i="3"/>
  <c r="BG13" i="3"/>
  <c r="BF13" i="3"/>
  <c r="BE13" i="3"/>
  <c r="BD13" i="3"/>
  <c r="BC13" i="3"/>
  <c r="BB13" i="3"/>
  <c r="BA13" i="3"/>
  <c r="AX13" i="3"/>
  <c r="AW13" i="3"/>
  <c r="AV13" i="3"/>
  <c r="AC13" i="3"/>
  <c r="G13" i="3" s="1"/>
  <c r="G5" i="3" s="1"/>
  <c r="B3"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O5" i="3"/>
  <c r="BM5" i="3"/>
  <c r="F29" i="6" s="1"/>
  <c r="BK5" i="3"/>
  <c r="BJ5" i="3"/>
  <c r="BI5" i="3"/>
  <c r="BH5" i="3"/>
  <c r="BG5" i="3"/>
  <c r="BF5" i="3"/>
  <c r="BE5" i="3"/>
  <c r="BD5" i="3"/>
  <c r="BC5" i="3"/>
  <c r="BB5" i="3"/>
  <c r="BA5" i="3"/>
  <c r="AT5" i="3"/>
  <c r="AS5" i="3"/>
  <c r="AR5" i="3"/>
  <c r="AQ5" i="3"/>
  <c r="AP5" i="3"/>
  <c r="AO5" i="3"/>
  <c r="AN5" i="3"/>
  <c r="AM5" i="3"/>
  <c r="AL5" i="3"/>
  <c r="I4" i="6" s="1"/>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D38" i="4"/>
  <c r="C39" i="4" s="1"/>
  <c r="G36" i="4"/>
  <c r="C35" i="4"/>
  <c r="L26" i="4"/>
  <c r="L25" i="4"/>
  <c r="L24" i="4"/>
  <c r="F23" i="4"/>
  <c r="I19" i="4"/>
  <c r="H19" i="4"/>
  <c r="G19" i="4"/>
  <c r="F19" i="4"/>
  <c r="F7" i="1" s="1"/>
  <c r="AP7" i="1" s="1"/>
  <c r="E19" i="4"/>
  <c r="D19" i="4"/>
  <c r="C19" i="4"/>
  <c r="F6" i="1" s="1"/>
  <c r="AP6" i="1" s="1"/>
  <c r="U16" i="4"/>
  <c r="T16" i="4"/>
  <c r="S16" i="4"/>
  <c r="R16" i="4"/>
  <c r="Q16" i="4"/>
  <c r="P16" i="4"/>
  <c r="O16" i="4"/>
  <c r="N16" i="4"/>
  <c r="M16" i="4"/>
  <c r="K16" i="4"/>
  <c r="L16" i="4" s="1"/>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C7" i="69"/>
  <c r="D7" i="69" s="1"/>
  <c r="C6" i="69"/>
  <c r="D6" i="69" s="1"/>
  <c r="C5" i="69"/>
  <c r="D5" i="69" s="1"/>
  <c r="B3" i="69"/>
  <c r="C57" i="10"/>
  <c r="C56" i="10"/>
  <c r="C55" i="10"/>
  <c r="C54" i="10"/>
  <c r="C53" i="10"/>
  <c r="A25" i="64" s="1"/>
  <c r="D51" i="10"/>
  <c r="C51" i="10"/>
  <c r="B51" i="10"/>
  <c r="B2" i="52"/>
  <c r="E14" i="52" s="1"/>
  <c r="B21" i="55"/>
  <c r="B72" i="63" s="1"/>
  <c r="A21" i="55"/>
  <c r="A20" i="55"/>
  <c r="A16" i="55"/>
  <c r="A15" i="55"/>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9" i="63"/>
  <c r="B8" i="63"/>
  <c r="B6" i="63"/>
  <c r="B5" i="63"/>
  <c r="N4" i="63"/>
  <c r="B4" i="63"/>
  <c r="B3" i="63"/>
  <c r="B2" i="63"/>
  <c r="M29" i="15"/>
  <c r="J5" i="65"/>
  <c r="J6" i="65"/>
  <c r="B7" i="67"/>
  <c r="N3" i="65"/>
  <c r="E11" i="67"/>
  <c r="F40" i="15"/>
  <c r="F38" i="44"/>
  <c r="L47" i="15"/>
  <c r="M23" i="15"/>
  <c r="F9" i="44"/>
  <c r="N5" i="65"/>
  <c r="M23" i="44"/>
  <c r="J7" i="65"/>
  <c r="F9" i="15"/>
  <c r="E13" i="67"/>
  <c r="B8" i="67"/>
  <c r="F13" i="67"/>
  <c r="B10" i="67"/>
  <c r="F36" i="15"/>
  <c r="M24" i="15"/>
  <c r="E7" i="67"/>
  <c r="F43" i="44"/>
  <c r="I6" i="65"/>
  <c r="E12" i="67"/>
  <c r="B9" i="67"/>
  <c r="M26" i="44"/>
  <c r="F37" i="44"/>
  <c r="F28" i="44"/>
  <c r="F14" i="67"/>
  <c r="F38" i="15"/>
  <c r="M11" i="44"/>
  <c r="F43" i="15"/>
  <c r="L48" i="44"/>
  <c r="F7" i="67"/>
  <c r="F11" i="67"/>
  <c r="M8" i="44"/>
  <c r="M9" i="15"/>
  <c r="F45" i="44"/>
  <c r="M28" i="15"/>
  <c r="F10" i="44"/>
  <c r="F46" i="44"/>
  <c r="J4" i="65"/>
  <c r="B11" i="67"/>
  <c r="F12" i="67"/>
  <c r="M22" i="15"/>
  <c r="F8" i="67"/>
  <c r="M8" i="15"/>
  <c r="I7" i="65"/>
  <c r="J15" i="15"/>
  <c r="E8" i="67"/>
  <c r="F18" i="44"/>
  <c r="F9" i="67"/>
  <c r="E9" i="67"/>
  <c r="L48" i="15"/>
  <c r="J3" i="65"/>
  <c r="F37" i="15"/>
  <c r="F39" i="44"/>
  <c r="C19" i="44"/>
  <c r="F8" i="15"/>
  <c r="F16" i="15"/>
  <c r="N7" i="65"/>
  <c r="E10" i="67"/>
  <c r="F13" i="15"/>
  <c r="B13" i="67"/>
  <c r="N6" i="65"/>
  <c r="F7" i="15"/>
  <c r="J36" i="15"/>
  <c r="M24" i="44"/>
  <c r="F40" i="44"/>
  <c r="N4" i="65"/>
  <c r="M28" i="44"/>
  <c r="F15" i="44"/>
  <c r="F8" i="44"/>
  <c r="F6" i="15"/>
  <c r="I4" i="65"/>
  <c r="L49" i="44"/>
  <c r="I3" i="65"/>
  <c r="B14" i="67"/>
  <c r="F26" i="15"/>
  <c r="M10" i="44"/>
  <c r="F42" i="15"/>
  <c r="M25" i="44"/>
  <c r="F10" i="67"/>
  <c r="E14" i="67"/>
  <c r="J17" i="44"/>
  <c r="M31" i="44"/>
  <c r="M26" i="15"/>
  <c r="F11" i="44"/>
  <c r="M30" i="44"/>
  <c r="M29" i="44"/>
  <c r="B12" i="67"/>
  <c r="M27" i="15"/>
  <c r="M6" i="15"/>
  <c r="I5" i="65"/>
  <c r="F44" i="21" l="1"/>
  <c r="AA44" i="21" s="1"/>
  <c r="H44" i="21"/>
  <c r="AB44" i="21" s="1"/>
  <c r="W15" i="39"/>
  <c r="S15" i="39"/>
  <c r="U15" i="39"/>
  <c r="AA41" i="39"/>
  <c r="U41" i="39"/>
  <c r="W41" i="39"/>
  <c r="E21" i="46"/>
  <c r="M21" i="46"/>
  <c r="H52" i="46"/>
  <c r="H54" i="46"/>
  <c r="H56" i="46"/>
  <c r="H68" i="46"/>
  <c r="H83" i="46"/>
  <c r="C6" i="46"/>
  <c r="I21" i="46"/>
  <c r="N21" i="46"/>
  <c r="F37" i="46"/>
  <c r="F39" i="46"/>
  <c r="F41" i="46"/>
  <c r="H67" i="46"/>
  <c r="H77" i="46"/>
  <c r="H79" i="46"/>
  <c r="H87" i="46"/>
  <c r="H53" i="46"/>
  <c r="H55" i="46"/>
  <c r="H58" i="46"/>
  <c r="H65" i="46"/>
  <c r="H76" i="46"/>
  <c r="H50" i="46"/>
  <c r="H57" i="46"/>
  <c r="H61" i="46"/>
  <c r="H63" i="46"/>
  <c r="H72" i="46"/>
  <c r="H74" i="46"/>
  <c r="N1" i="46"/>
  <c r="N2" i="46"/>
  <c r="N3" i="46"/>
  <c r="N5" i="46"/>
  <c r="N6" i="46"/>
  <c r="N7" i="46"/>
  <c r="N8" i="46"/>
  <c r="N9" i="46"/>
  <c r="M12" i="46"/>
  <c r="H90" i="46"/>
  <c r="H94" i="46"/>
  <c r="H97" i="46"/>
  <c r="H100" i="46"/>
  <c r="I6" i="48"/>
  <c r="I10" i="48"/>
  <c r="I14" i="48"/>
  <c r="S2" i="46"/>
  <c r="S3" i="46"/>
  <c r="S5" i="46"/>
  <c r="S6" i="46"/>
  <c r="X7" i="46"/>
  <c r="N12" i="46"/>
  <c r="C21" i="46"/>
  <c r="H21" i="46"/>
  <c r="G21" i="46" s="1"/>
  <c r="C20" i="46" s="1"/>
  <c r="D5" i="46" s="1"/>
  <c r="L21" i="46"/>
  <c r="C27" i="46"/>
  <c r="H62" i="46"/>
  <c r="H73" i="46"/>
  <c r="H78" i="46"/>
  <c r="H86" i="46"/>
  <c r="H89" i="46"/>
  <c r="H93" i="46"/>
  <c r="H96" i="46"/>
  <c r="H99" i="46"/>
  <c r="I7" i="48"/>
  <c r="I11" i="48"/>
  <c r="I15" i="48"/>
  <c r="M10" i="46"/>
  <c r="M11" i="46"/>
  <c r="H64" i="46"/>
  <c r="H66" i="46"/>
  <c r="H75" i="46"/>
  <c r="H85" i="46"/>
  <c r="H98" i="46"/>
  <c r="I8" i="48"/>
  <c r="I12" i="48"/>
  <c r="I16" i="48"/>
  <c r="M4" i="46"/>
  <c r="M1" i="46"/>
  <c r="M2" i="46"/>
  <c r="M3" i="46"/>
  <c r="N4" i="46"/>
  <c r="M5" i="46"/>
  <c r="M6" i="46"/>
  <c r="M7" i="46"/>
  <c r="M8" i="46"/>
  <c r="M9" i="46"/>
  <c r="N10" i="46"/>
  <c r="N11" i="46"/>
  <c r="H84" i="46"/>
  <c r="H95" i="46"/>
  <c r="I5" i="48"/>
  <c r="I9" i="48"/>
  <c r="AC33" i="21"/>
  <c r="U33" i="21"/>
  <c r="S33" i="21"/>
  <c r="U11" i="21"/>
  <c r="AC11" i="21"/>
  <c r="S11" i="21"/>
  <c r="S10" i="21"/>
  <c r="S42" i="39"/>
  <c r="U42" i="39"/>
  <c r="W42" i="39"/>
  <c r="F30" i="6"/>
  <c r="F31" i="6" s="1"/>
  <c r="BL13" i="3"/>
  <c r="F29" i="35"/>
  <c r="AA29" i="35" s="1"/>
  <c r="H87" i="35"/>
  <c r="I87" i="35" s="1"/>
  <c r="J87" i="35" s="1"/>
  <c r="K87" i="35" s="1"/>
  <c r="L87" i="35" s="1"/>
  <c r="M87" i="35" s="1"/>
  <c r="J29" i="35"/>
  <c r="AC29" i="35" s="1"/>
  <c r="H29" i="35"/>
  <c r="U29" i="35" s="1"/>
  <c r="S29" i="35"/>
  <c r="S34" i="35"/>
  <c r="U34" i="35"/>
  <c r="W34" i="35"/>
  <c r="W33" i="35"/>
  <c r="S33" i="35"/>
  <c r="U33" i="35"/>
  <c r="S31" i="35"/>
  <c r="U32" i="35"/>
  <c r="U31" i="35"/>
  <c r="W32" i="35"/>
  <c r="W31" i="35"/>
  <c r="S32" i="35"/>
  <c r="S30" i="35"/>
  <c r="U30" i="35"/>
  <c r="W30" i="35"/>
  <c r="S27" i="35"/>
  <c r="U28" i="35"/>
  <c r="U27" i="35"/>
  <c r="W28" i="35"/>
  <c r="W27" i="35"/>
  <c r="S28" i="35"/>
  <c r="W20" i="35"/>
  <c r="S20" i="35"/>
  <c r="U20" i="35"/>
  <c r="U18" i="35"/>
  <c r="W18" i="35"/>
  <c r="S18" i="35"/>
  <c r="S16" i="35"/>
  <c r="U16" i="35"/>
  <c r="W16" i="35"/>
  <c r="J23" i="21"/>
  <c r="H23" i="21"/>
  <c r="F23" i="21"/>
  <c r="F85" i="21"/>
  <c r="G85" i="21" s="1"/>
  <c r="J17" i="21"/>
  <c r="H17" i="21"/>
  <c r="F79" i="21"/>
  <c r="G79" i="21" s="1"/>
  <c r="F17" i="21"/>
  <c r="J14" i="35"/>
  <c r="AC14" i="35" s="1"/>
  <c r="F14" i="35"/>
  <c r="AA14" i="35" s="1"/>
  <c r="H14" i="35"/>
  <c r="AB14" i="35" s="1"/>
  <c r="F64" i="35"/>
  <c r="G64" i="35" s="1"/>
  <c r="W14" i="35"/>
  <c r="W8" i="35"/>
  <c r="AB8" i="35"/>
  <c r="AA8" i="35"/>
  <c r="S9" i="35"/>
  <c r="U9" i="35"/>
  <c r="W9" i="35"/>
  <c r="F26" i="35"/>
  <c r="C79" i="35"/>
  <c r="H26" i="35" s="1"/>
  <c r="J26" i="35"/>
  <c r="H37" i="21"/>
  <c r="AB37" i="21" s="1"/>
  <c r="F37" i="21"/>
  <c r="AA37" i="21" s="1"/>
  <c r="H113" i="21"/>
  <c r="J37" i="21"/>
  <c r="AC37" i="21" s="1"/>
  <c r="F81" i="21"/>
  <c r="H19" i="21"/>
  <c r="S41" i="21"/>
  <c r="S43" i="21"/>
  <c r="U37" i="21"/>
  <c r="S40" i="21"/>
  <c r="U41" i="21"/>
  <c r="U43" i="21"/>
  <c r="U40" i="21"/>
  <c r="W41" i="21"/>
  <c r="W43" i="21"/>
  <c r="W40" i="21"/>
  <c r="S42" i="21"/>
  <c r="U42" i="21"/>
  <c r="W42" i="21"/>
  <c r="S39" i="21"/>
  <c r="U39" i="21"/>
  <c r="W39" i="21"/>
  <c r="S38" i="21"/>
  <c r="U38" i="21"/>
  <c r="W38" i="21"/>
  <c r="U36" i="21"/>
  <c r="W36" i="21"/>
  <c r="S36" i="21"/>
  <c r="S35" i="21"/>
  <c r="U35" i="21"/>
  <c r="W35" i="21"/>
  <c r="S34" i="21"/>
  <c r="U34" i="21"/>
  <c r="W34" i="21"/>
  <c r="U32" i="21"/>
  <c r="W32" i="21"/>
  <c r="S32" i="21"/>
  <c r="S27" i="21"/>
  <c r="U27" i="21"/>
  <c r="W27" i="21"/>
  <c r="W44" i="21"/>
  <c r="S44" i="21"/>
  <c r="F77" i="21"/>
  <c r="G77" i="21" s="1"/>
  <c r="H15" i="21"/>
  <c r="J15" i="21"/>
  <c r="F15" i="21"/>
  <c r="W29" i="39"/>
  <c r="J34" i="39"/>
  <c r="H34" i="39"/>
  <c r="G108" i="39"/>
  <c r="H108" i="39" s="1"/>
  <c r="I108" i="39" s="1"/>
  <c r="J108" i="39" s="1"/>
  <c r="K108" i="39" s="1"/>
  <c r="L108" i="39" s="1"/>
  <c r="M108" i="39" s="1"/>
  <c r="F34" i="39"/>
  <c r="AA33" i="39"/>
  <c r="AC33" i="39"/>
  <c r="U33" i="39"/>
  <c r="S27" i="39"/>
  <c r="S23" i="39"/>
  <c r="U23" i="39"/>
  <c r="W23" i="39"/>
  <c r="AC25" i="39"/>
  <c r="U25" i="39"/>
  <c r="S25" i="39"/>
  <c r="U40" i="39"/>
  <c r="W40" i="39"/>
  <c r="S40" i="39"/>
  <c r="B54" i="46"/>
  <c r="B75" i="46"/>
  <c r="B67" i="46"/>
  <c r="C29" i="39"/>
  <c r="B56" i="46"/>
  <c r="C23" i="39"/>
  <c r="B73" i="46"/>
  <c r="B61" i="46"/>
  <c r="B50" i="46"/>
  <c r="BL5" i="3"/>
  <c r="AZ13" i="3"/>
  <c r="AZ5" i="3" s="1"/>
  <c r="E3" i="6" s="1"/>
  <c r="E6" i="6" s="1"/>
  <c r="BN5" i="3"/>
  <c r="G29" i="6" s="1"/>
  <c r="E29" i="6" s="1"/>
  <c r="I34" i="1" s="1"/>
  <c r="O8" i="1"/>
  <c r="P8" i="1" s="1"/>
  <c r="O12" i="1"/>
  <c r="P12" i="1"/>
  <c r="G30" i="6"/>
  <c r="G31" i="6" s="1"/>
  <c r="E28" i="6"/>
  <c r="O7" i="1"/>
  <c r="P7" i="1" s="1"/>
  <c r="O9" i="1"/>
  <c r="P9" i="1" s="1"/>
  <c r="O11" i="1"/>
  <c r="P11" i="1" s="1"/>
  <c r="O13" i="1"/>
  <c r="P13" i="1" s="1"/>
  <c r="O10" i="1"/>
  <c r="P10" i="1" s="1"/>
  <c r="Q16" i="1"/>
  <c r="H16" i="1"/>
  <c r="M6" i="1"/>
  <c r="I3" i="6"/>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B14" i="66"/>
  <c r="B1" i="66" s="1"/>
  <c r="E572" i="3"/>
  <c r="E565" i="3"/>
  <c r="E564" i="3"/>
  <c r="E557" i="3"/>
  <c r="E556" i="3"/>
  <c r="E549" i="3"/>
  <c r="E548" i="3"/>
  <c r="E541" i="3"/>
  <c r="E540" i="3"/>
  <c r="E533" i="3"/>
  <c r="E532" i="3"/>
  <c r="E525" i="3"/>
  <c r="E524" i="3"/>
  <c r="E517" i="3"/>
  <c r="E516" i="3"/>
  <c r="E509" i="3"/>
  <c r="E508" i="3"/>
  <c r="E501" i="3"/>
  <c r="E500" i="3"/>
  <c r="E493" i="3"/>
  <c r="E492" i="3"/>
  <c r="E485" i="3"/>
  <c r="E484" i="3"/>
  <c r="E477" i="3"/>
  <c r="E476" i="3"/>
  <c r="E469" i="3"/>
  <c r="E468" i="3"/>
  <c r="E461" i="3"/>
  <c r="E460"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570" i="3"/>
  <c r="E562" i="3"/>
  <c r="E554" i="3"/>
  <c r="E546" i="3"/>
  <c r="E538" i="3"/>
  <c r="E530" i="3"/>
  <c r="E522" i="3"/>
  <c r="E514" i="3"/>
  <c r="E506" i="3"/>
  <c r="E498" i="3"/>
  <c r="E490" i="3"/>
  <c r="E482" i="3"/>
  <c r="E474" i="3"/>
  <c r="E466" i="3"/>
  <c r="E458" i="3"/>
  <c r="E452" i="3"/>
  <c r="E448" i="3"/>
  <c r="E444" i="3"/>
  <c r="E440" i="3"/>
  <c r="E436" i="3"/>
  <c r="E432" i="3"/>
  <c r="E428" i="3"/>
  <c r="E424" i="3"/>
  <c r="E420" i="3"/>
  <c r="E416" i="3"/>
  <c r="E412" i="3"/>
  <c r="E408" i="3"/>
  <c r="E404" i="3"/>
  <c r="E400" i="3"/>
  <c r="E396" i="3"/>
  <c r="E392" i="3"/>
  <c r="E388" i="3"/>
  <c r="E384" i="3"/>
  <c r="E380" i="3"/>
  <c r="E376" i="3"/>
  <c r="E561" i="3"/>
  <c r="E560" i="3"/>
  <c r="E545" i="3"/>
  <c r="E544" i="3"/>
  <c r="E529" i="3"/>
  <c r="E528" i="3"/>
  <c r="E513" i="3"/>
  <c r="E512" i="3"/>
  <c r="E497" i="3"/>
  <c r="E496" i="3"/>
  <c r="E481" i="3"/>
  <c r="E480" i="3"/>
  <c r="E465" i="3"/>
  <c r="E464" i="3"/>
  <c r="E367" i="3"/>
  <c r="E366" i="3"/>
  <c r="E359" i="3"/>
  <c r="E358" i="3"/>
  <c r="E351" i="3"/>
  <c r="E350" i="3"/>
  <c r="E343" i="3"/>
  <c r="E342" i="3"/>
  <c r="E335" i="3"/>
  <c r="E334" i="3"/>
  <c r="E327" i="3"/>
  <c r="E326" i="3"/>
  <c r="E319" i="3"/>
  <c r="E318" i="3"/>
  <c r="E311" i="3"/>
  <c r="E310"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566" i="3"/>
  <c r="E550" i="3"/>
  <c r="E534" i="3"/>
  <c r="E518" i="3"/>
  <c r="E502" i="3"/>
  <c r="E486" i="3"/>
  <c r="E470" i="3"/>
  <c r="E454" i="3"/>
  <c r="E451" i="3"/>
  <c r="E450" i="3"/>
  <c r="E447" i="3"/>
  <c r="E446" i="3"/>
  <c r="E443" i="3"/>
  <c r="E442" i="3"/>
  <c r="E439" i="3"/>
  <c r="E438" i="3"/>
  <c r="E435" i="3"/>
  <c r="E434" i="3"/>
  <c r="E431" i="3"/>
  <c r="E430" i="3"/>
  <c r="E427" i="3"/>
  <c r="E426" i="3"/>
  <c r="E423" i="3"/>
  <c r="E422" i="3"/>
  <c r="E419" i="3"/>
  <c r="E418" i="3"/>
  <c r="E415" i="3"/>
  <c r="E414" i="3"/>
  <c r="E411" i="3"/>
  <c r="E410" i="3"/>
  <c r="E407" i="3"/>
  <c r="E406" i="3"/>
  <c r="E403" i="3"/>
  <c r="E402" i="3"/>
  <c r="E399" i="3"/>
  <c r="E398" i="3"/>
  <c r="E395" i="3"/>
  <c r="E394" i="3"/>
  <c r="E391" i="3"/>
  <c r="E390" i="3"/>
  <c r="E387" i="3"/>
  <c r="E386" i="3"/>
  <c r="E383" i="3"/>
  <c r="E382" i="3"/>
  <c r="E379" i="3"/>
  <c r="E378" i="3"/>
  <c r="E375" i="3"/>
  <c r="E374" i="3"/>
  <c r="E372" i="3"/>
  <c r="E364" i="3"/>
  <c r="E356" i="3"/>
  <c r="E348" i="3"/>
  <c r="E340" i="3"/>
  <c r="E332" i="3"/>
  <c r="E324" i="3"/>
  <c r="E316" i="3"/>
  <c r="E308"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569" i="3"/>
  <c r="E568" i="3"/>
  <c r="E553" i="3"/>
  <c r="E552" i="3"/>
  <c r="E537" i="3"/>
  <c r="E536" i="3"/>
  <c r="E521" i="3"/>
  <c r="E520" i="3"/>
  <c r="E505" i="3"/>
  <c r="E504" i="3"/>
  <c r="E489" i="3"/>
  <c r="E488" i="3"/>
  <c r="E473" i="3"/>
  <c r="E472" i="3"/>
  <c r="E457" i="3"/>
  <c r="E456" i="3"/>
  <c r="E371" i="3"/>
  <c r="E370" i="3"/>
  <c r="E355" i="3"/>
  <c r="E354" i="3"/>
  <c r="E339" i="3"/>
  <c r="E338" i="3"/>
  <c r="E323" i="3"/>
  <c r="E322" i="3"/>
  <c r="E307" i="3"/>
  <c r="E306"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Q6" i="3"/>
  <c r="AM6" i="3"/>
  <c r="AI6" i="3"/>
  <c r="AE6" i="3"/>
  <c r="AA6" i="3"/>
  <c r="W6" i="3"/>
  <c r="S6" i="3"/>
  <c r="O6" i="3"/>
  <c r="E360" i="3"/>
  <c r="E344" i="3"/>
  <c r="E328" i="3"/>
  <c r="E312"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Z6" i="3"/>
  <c r="V6" i="3"/>
  <c r="R6" i="3"/>
  <c r="N6" i="3"/>
  <c r="E558" i="3"/>
  <c r="E542" i="3"/>
  <c r="E526" i="3"/>
  <c r="E510" i="3"/>
  <c r="E494" i="3"/>
  <c r="E478" i="3"/>
  <c r="E462" i="3"/>
  <c r="E352" i="3"/>
  <c r="E320" i="3"/>
  <c r="E301" i="3"/>
  <c r="E300" i="3"/>
  <c r="E293" i="3"/>
  <c r="E292" i="3"/>
  <c r="E285" i="3"/>
  <c r="E284" i="3"/>
  <c r="E277" i="3"/>
  <c r="E276" i="3"/>
  <c r="E269" i="3"/>
  <c r="E268" i="3"/>
  <c r="E261" i="3"/>
  <c r="E260" i="3"/>
  <c r="E253" i="3"/>
  <c r="E252" i="3"/>
  <c r="E245" i="3"/>
  <c r="E244" i="3"/>
  <c r="E237" i="3"/>
  <c r="E236" i="3"/>
  <c r="E229" i="3"/>
  <c r="E228" i="3"/>
  <c r="E221" i="3"/>
  <c r="E220" i="3"/>
  <c r="E213" i="3"/>
  <c r="E212" i="3"/>
  <c r="E205" i="3"/>
  <c r="E204" i="3"/>
  <c r="E197" i="3"/>
  <c r="E196" i="3"/>
  <c r="E189" i="3"/>
  <c r="E188" i="3"/>
  <c r="E181" i="3"/>
  <c r="E180" i="3"/>
  <c r="E173" i="3"/>
  <c r="E172" i="3"/>
  <c r="E165" i="3"/>
  <c r="E164"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S6" i="3"/>
  <c r="AK6" i="3"/>
  <c r="U6" i="3"/>
  <c r="M6" i="3"/>
  <c r="I6" i="3"/>
  <c r="E347" i="3"/>
  <c r="E314" i="3"/>
  <c r="X6" i="3"/>
  <c r="E363" i="3"/>
  <c r="E362" i="3"/>
  <c r="E331" i="3"/>
  <c r="E330" i="3"/>
  <c r="AR6" i="3"/>
  <c r="AJ6" i="3"/>
  <c r="AB6" i="3"/>
  <c r="T6" i="3"/>
  <c r="L6" i="3"/>
  <c r="AF6" i="3"/>
  <c r="J6" i="3"/>
  <c r="E368" i="3"/>
  <c r="E336" i="3"/>
  <c r="E304" i="3"/>
  <c r="E297" i="3"/>
  <c r="E296" i="3"/>
  <c r="E289" i="3"/>
  <c r="E288" i="3"/>
  <c r="E281" i="3"/>
  <c r="E280" i="3"/>
  <c r="E273" i="3"/>
  <c r="E272" i="3"/>
  <c r="E265" i="3"/>
  <c r="E264" i="3"/>
  <c r="E257" i="3"/>
  <c r="E256" i="3"/>
  <c r="E249" i="3"/>
  <c r="E248" i="3"/>
  <c r="E241" i="3"/>
  <c r="E240" i="3"/>
  <c r="E233" i="3"/>
  <c r="E232" i="3"/>
  <c r="E225" i="3"/>
  <c r="E224" i="3"/>
  <c r="E217" i="3"/>
  <c r="E216" i="3"/>
  <c r="E209" i="3"/>
  <c r="E208" i="3"/>
  <c r="E201" i="3"/>
  <c r="E200" i="3"/>
  <c r="E193" i="3"/>
  <c r="E192" i="3"/>
  <c r="E185" i="3"/>
  <c r="E184" i="3"/>
  <c r="E177" i="3"/>
  <c r="E176" i="3"/>
  <c r="E169" i="3"/>
  <c r="E168" i="3"/>
  <c r="E161" i="3"/>
  <c r="E160" i="3"/>
  <c r="AO6" i="3"/>
  <c r="AG6" i="3"/>
  <c r="Y6" i="3"/>
  <c r="Q6" i="3"/>
  <c r="K6" i="3"/>
  <c r="E346" i="3"/>
  <c r="E315" i="3"/>
  <c r="AN6" i="3"/>
  <c r="P6" i="3"/>
  <c r="E13" i="3"/>
  <c r="F26" i="46"/>
  <c r="J26" i="46"/>
  <c r="E26" i="46"/>
  <c r="Z7" i="46"/>
  <c r="G26" i="46"/>
  <c r="B117" i="46"/>
  <c r="D21" i="12"/>
  <c r="C21" i="12" s="1"/>
  <c r="D12" i="11"/>
  <c r="C12" i="11" s="1"/>
  <c r="H26" i="46"/>
  <c r="G8" i="1"/>
  <c r="G10" i="1"/>
  <c r="G12" i="1"/>
  <c r="K17" i="4"/>
  <c r="A22" i="51" s="1"/>
  <c r="B16" i="63" s="1"/>
  <c r="G6" i="1"/>
  <c r="G7" i="1"/>
  <c r="D69" i="39"/>
  <c r="C71" i="39"/>
  <c r="C7" i="34"/>
  <c r="C59" i="34" s="1"/>
  <c r="G23" i="46"/>
  <c r="C7" i="35"/>
  <c r="C48" i="35" s="1"/>
  <c r="C7" i="36"/>
  <c r="C46" i="36" s="1"/>
  <c r="C7" i="21"/>
  <c r="AP8" i="1"/>
  <c r="AP9" i="1"/>
  <c r="AP10" i="1"/>
  <c r="AP11" i="1"/>
  <c r="AP12" i="1"/>
  <c r="AP13" i="1"/>
  <c r="C95" i="9"/>
  <c r="C92" i="9" s="1"/>
  <c r="C9" i="40"/>
  <c r="C64" i="40" s="1"/>
  <c r="C25" i="12"/>
  <c r="C28" i="15"/>
  <c r="C30" i="44"/>
  <c r="A25" i="51"/>
  <c r="B18" i="63" s="1"/>
  <c r="C7" i="33"/>
  <c r="C58" i="33" s="1"/>
  <c r="C7" i="37"/>
  <c r="C52" i="37" s="1"/>
  <c r="J58" i="44"/>
  <c r="J56" i="44" s="1"/>
  <c r="J59" i="44" s="1"/>
  <c r="Q52" i="44" s="1"/>
  <c r="I55" i="44"/>
  <c r="L57" i="44"/>
  <c r="J54" i="44"/>
  <c r="Q73" i="44"/>
  <c r="E4" i="67"/>
  <c r="C6" i="15"/>
  <c r="C27" i="15"/>
  <c r="Q72" i="15"/>
  <c r="F65" i="15"/>
  <c r="F67" i="15"/>
  <c r="F50" i="15"/>
  <c r="B2" i="67"/>
  <c r="M9" i="44"/>
  <c r="J8" i="44" s="1"/>
  <c r="L59" i="44"/>
  <c r="L60" i="44"/>
  <c r="F48" i="15"/>
  <c r="F64" i="15"/>
  <c r="F70"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4" i="52"/>
  <c r="E6" i="52"/>
  <c r="E8" i="52"/>
  <c r="E10" i="52"/>
  <c r="E12" i="52"/>
  <c r="B15" i="52"/>
  <c r="O41" i="9"/>
  <c r="B5" i="52"/>
  <c r="B7" i="52"/>
  <c r="B9" i="52"/>
  <c r="B11" i="52"/>
  <c r="E13" i="52"/>
  <c r="E5" i="52"/>
  <c r="E7" i="52"/>
  <c r="E11" i="52"/>
  <c r="B14" i="52"/>
  <c r="O40" i="9"/>
  <c r="R7" i="54" s="1"/>
  <c r="B52" i="63" s="1"/>
  <c r="E9" i="52"/>
  <c r="B4" i="52"/>
  <c r="B6" i="52"/>
  <c r="B8" i="52"/>
  <c r="B10" i="52"/>
  <c r="B12" i="52"/>
  <c r="C18" i="44"/>
  <c r="E3" i="65"/>
  <c r="E2" i="65"/>
  <c r="C16" i="15"/>
  <c r="U44" i="21" l="1"/>
  <c r="C39" i="46"/>
  <c r="C37" i="46"/>
  <c r="G37" i="46" s="1"/>
  <c r="I37" i="46" s="1"/>
  <c r="C40" i="46"/>
  <c r="C41" i="46"/>
  <c r="C42" i="46"/>
  <c r="C38" i="46"/>
  <c r="G38" i="46" s="1"/>
  <c r="I38" i="46" s="1"/>
  <c r="C5" i="46"/>
  <c r="D16" i="12"/>
  <c r="C16" i="12" s="1"/>
  <c r="C21" i="4"/>
  <c r="O5" i="54" s="1"/>
  <c r="B45" i="63" s="1"/>
  <c r="D46" i="9"/>
  <c r="L38" i="9"/>
  <c r="D16" i="43"/>
  <c r="C16" i="43" s="1"/>
  <c r="D22" i="12"/>
  <c r="C22" i="12" s="1"/>
  <c r="C20" i="12" s="1"/>
  <c r="D13" i="11"/>
  <c r="C13" i="11" s="1"/>
  <c r="D45" i="9"/>
  <c r="AY6" i="3"/>
  <c r="AB29" i="35"/>
  <c r="W29" i="35"/>
  <c r="AA23" i="21"/>
  <c r="S23" i="21"/>
  <c r="AB23" i="21"/>
  <c r="U23" i="21"/>
  <c r="AC23" i="21"/>
  <c r="W23" i="21"/>
  <c r="AA17" i="21"/>
  <c r="S17" i="21"/>
  <c r="AB17" i="21"/>
  <c r="U17" i="21"/>
  <c r="S14" i="35"/>
  <c r="AC17" i="21"/>
  <c r="W17" i="21"/>
  <c r="U14" i="35"/>
  <c r="AC26" i="35"/>
  <c r="W26" i="35"/>
  <c r="AB26" i="35"/>
  <c r="U26" i="35"/>
  <c r="AA26" i="35"/>
  <c r="S26" i="35"/>
  <c r="S37" i="21"/>
  <c r="W37" i="21"/>
  <c r="AB19" i="21"/>
  <c r="U19" i="21"/>
  <c r="F19" i="21"/>
  <c r="G81" i="21"/>
  <c r="J19" i="21"/>
  <c r="AC15" i="21"/>
  <c r="W15" i="21"/>
  <c r="AA15" i="21"/>
  <c r="S15" i="21"/>
  <c r="AB15" i="21"/>
  <c r="U15" i="21"/>
  <c r="AA34" i="39"/>
  <c r="S34" i="39"/>
  <c r="AB34" i="39"/>
  <c r="U34" i="39"/>
  <c r="AC34" i="39"/>
  <c r="W34" i="39"/>
  <c r="B40" i="1"/>
  <c r="F26" i="44" s="1"/>
  <c r="C26" i="44" s="1"/>
  <c r="L19" i="6"/>
  <c r="L27" i="6" s="1"/>
  <c r="K15" i="1"/>
  <c r="K19" i="1" s="1"/>
  <c r="O6" i="1"/>
  <c r="C15" i="43"/>
  <c r="K23" i="6"/>
  <c r="M23" i="6" s="1"/>
  <c r="I23" i="6" s="1"/>
  <c r="S23" i="6" s="1"/>
  <c r="E30" i="6"/>
  <c r="E31" i="6" s="1"/>
  <c r="K24" i="6"/>
  <c r="M24" i="6" s="1"/>
  <c r="I24" i="6" s="1"/>
  <c r="S24" i="6" s="1"/>
  <c r="K20" i="6"/>
  <c r="K19" i="6"/>
  <c r="K26" i="6"/>
  <c r="M26" i="6" s="1"/>
  <c r="I26" i="6" s="1"/>
  <c r="S26" i="6" s="1"/>
  <c r="K14" i="1"/>
  <c r="K25" i="6"/>
  <c r="M25" i="6" s="1"/>
  <c r="I25" i="6" s="1"/>
  <c r="S25" i="6" s="1"/>
  <c r="K21" i="6"/>
  <c r="M21" i="6" s="1"/>
  <c r="I21" i="6" s="1"/>
  <c r="S21" i="6" s="1"/>
  <c r="K22" i="6"/>
  <c r="M22" i="6" s="1"/>
  <c r="I22" i="6" s="1"/>
  <c r="S22" i="6" s="1"/>
  <c r="F21" i="43"/>
  <c r="F33" i="12"/>
  <c r="C34" i="12" s="1"/>
  <c r="D33" i="12" s="1"/>
  <c r="D26" i="46"/>
  <c r="C25" i="46" s="1"/>
  <c r="C33" i="46" s="1"/>
  <c r="C34" i="46" s="1"/>
  <c r="E34" i="46" s="1"/>
  <c r="H6" i="3"/>
  <c r="C8" i="66"/>
  <c r="C7" i="66"/>
  <c r="AC6" i="3"/>
  <c r="AY532" i="3"/>
  <c r="AY468" i="3"/>
  <c r="AY526" i="3"/>
  <c r="AY462" i="3"/>
  <c r="AY398" i="3"/>
  <c r="AY334" i="3"/>
  <c r="AY501" i="3"/>
  <c r="AY413" i="3"/>
  <c r="AY352" i="3"/>
  <c r="AY288" i="3"/>
  <c r="AY224" i="3"/>
  <c r="AY160" i="3"/>
  <c r="AY497" i="3"/>
  <c r="AY299" i="3"/>
  <c r="AY235" i="3"/>
  <c r="AY171" i="3"/>
  <c r="AY428" i="3"/>
  <c r="AY396" i="3"/>
  <c r="AY297" i="3"/>
  <c r="AY265" i="3"/>
  <c r="AY233" i="3"/>
  <c r="AY210" i="3"/>
  <c r="AY202" i="3"/>
  <c r="AY194" i="3"/>
  <c r="AY186" i="3"/>
  <c r="AY178" i="3"/>
  <c r="AY170" i="3"/>
  <c r="AY162" i="3"/>
  <c r="AY152" i="3"/>
  <c r="AY136" i="3"/>
  <c r="AY120" i="3"/>
  <c r="AY104" i="3"/>
  <c r="AY88" i="3"/>
  <c r="AY72" i="3"/>
  <c r="AY56" i="3"/>
  <c r="AY40" i="3"/>
  <c r="AY24" i="3"/>
  <c r="BP6" i="3"/>
  <c r="AY371" i="3"/>
  <c r="AY341" i="3"/>
  <c r="AY324" i="3"/>
  <c r="AY307" i="3"/>
  <c r="AY143" i="3"/>
  <c r="AY127" i="3"/>
  <c r="AY111" i="3"/>
  <c r="AY95" i="3"/>
  <c r="AY79" i="3"/>
  <c r="AY63" i="3"/>
  <c r="AY47" i="3"/>
  <c r="AY31" i="3"/>
  <c r="AY15" i="3"/>
  <c r="BG6" i="3"/>
  <c r="AY569" i="3"/>
  <c r="AY539" i="3"/>
  <c r="AY522" i="3"/>
  <c r="AY505" i="3"/>
  <c r="AY475" i="3"/>
  <c r="AY458" i="3"/>
  <c r="AY347" i="3"/>
  <c r="BM6" i="3"/>
  <c r="AY153" i="3"/>
  <c r="AY145" i="3"/>
  <c r="AY137" i="3"/>
  <c r="AY129" i="3"/>
  <c r="AY121" i="3"/>
  <c r="AY113" i="3"/>
  <c r="AY105" i="3"/>
  <c r="AY97" i="3"/>
  <c r="AY89" i="3"/>
  <c r="AY81" i="3"/>
  <c r="AY73" i="3"/>
  <c r="AY65" i="3"/>
  <c r="AY57" i="3"/>
  <c r="AY49" i="3"/>
  <c r="AY41" i="3"/>
  <c r="AY33" i="3"/>
  <c r="AY25" i="3"/>
  <c r="AY17" i="3"/>
  <c r="BJ6" i="3"/>
  <c r="AY364" i="3"/>
  <c r="AY331" i="3"/>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2" i="46"/>
  <c r="C122" i="46" s="1"/>
  <c r="B120" i="46"/>
  <c r="C120" i="46" s="1"/>
  <c r="I122" i="46"/>
  <c r="J122" i="46" s="1"/>
  <c r="K122" i="46" s="1"/>
  <c r="L122" i="46" s="1"/>
  <c r="M122" i="46" s="1"/>
  <c r="I120" i="46"/>
  <c r="J120" i="46" s="1"/>
  <c r="K120" i="46" s="1"/>
  <c r="L120" i="46" s="1"/>
  <c r="M120" i="46" s="1"/>
  <c r="I123" i="46"/>
  <c r="J123" i="46" s="1"/>
  <c r="K123" i="46" s="1"/>
  <c r="L123" i="46" s="1"/>
  <c r="M123" i="46" s="1"/>
  <c r="I121" i="46"/>
  <c r="J121" i="46" s="1"/>
  <c r="K121" i="46" s="1"/>
  <c r="L121" i="46" s="1"/>
  <c r="M121" i="46" s="1"/>
  <c r="I119" i="46"/>
  <c r="J119" i="46" s="1"/>
  <c r="K119" i="46" s="1"/>
  <c r="L119" i="46" s="1"/>
  <c r="M119" i="46" s="1"/>
  <c r="B119" i="46"/>
  <c r="C119" i="46" s="1"/>
  <c r="B121" i="46"/>
  <c r="C121" i="46" s="1"/>
  <c r="B123" i="46"/>
  <c r="C123" i="46" s="1"/>
  <c r="G16" i="1"/>
  <c r="J12" i="40" s="1"/>
  <c r="AP16" i="1"/>
  <c r="F22" i="11" s="1"/>
  <c r="E69" i="39"/>
  <c r="D71" i="39"/>
  <c r="C66" i="40"/>
  <c r="D64" i="40"/>
  <c r="I7" i="21"/>
  <c r="E7" i="21"/>
  <c r="C58" i="21"/>
  <c r="D58" i="21" s="1"/>
  <c r="E58" i="21" s="1"/>
  <c r="F58" i="21" s="1"/>
  <c r="G58" i="21" s="1"/>
  <c r="H58" i="21" s="1"/>
  <c r="I58" i="21" s="1"/>
  <c r="J58" i="21" s="1"/>
  <c r="K58" i="21" s="1"/>
  <c r="L58" i="21" s="1"/>
  <c r="M58" i="21" s="1"/>
  <c r="N58" i="21" s="1"/>
  <c r="O58" i="21" s="1"/>
  <c r="G7" i="21"/>
  <c r="H7" i="21" s="1"/>
  <c r="D59" i="34"/>
  <c r="E59" i="34" s="1"/>
  <c r="F59" i="34" s="1"/>
  <c r="G59" i="34" s="1"/>
  <c r="H59" i="34" s="1"/>
  <c r="I59" i="34" s="1"/>
  <c r="J59" i="34" s="1"/>
  <c r="K59" i="34" s="1"/>
  <c r="L59" i="34" s="1"/>
  <c r="M59" i="34" s="1"/>
  <c r="N59" i="34" s="1"/>
  <c r="O59" i="34" s="1"/>
  <c r="H7" i="34"/>
  <c r="F7" i="34"/>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F12" i="40"/>
  <c r="F12" i="39"/>
  <c r="H12" i="39"/>
  <c r="P27" i="46"/>
  <c r="A1" i="70"/>
  <c r="P29" i="46"/>
  <c r="B72" i="39" s="1"/>
  <c r="P25" i="46"/>
  <c r="P28" i="46"/>
  <c r="B67" i="40" s="1"/>
  <c r="P26" i="46"/>
  <c r="O23" i="46"/>
  <c r="M24" i="46"/>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40" i="46"/>
  <c r="G40" i="46"/>
  <c r="I40" i="46" s="1"/>
  <c r="E37" i="46"/>
  <c r="E38" i="46"/>
  <c r="E33" i="46"/>
  <c r="G41" i="46"/>
  <c r="I41" i="46" s="1"/>
  <c r="E41" i="46"/>
  <c r="G39" i="46"/>
  <c r="I39" i="46" s="1"/>
  <c r="E39" i="46"/>
  <c r="L46" i="15"/>
  <c r="J60" i="44"/>
  <c r="J61" i="44" s="1"/>
  <c r="Q50" i="44" s="1"/>
  <c r="F17" i="11"/>
  <c r="C17" i="11" s="1"/>
  <c r="C19" i="11" s="1"/>
  <c r="J18" i="15"/>
  <c r="J19" i="15"/>
  <c r="J20" i="44"/>
  <c r="J21" i="44"/>
  <c r="Q75" i="15"/>
  <c r="Q62" i="15"/>
  <c r="C35" i="44"/>
  <c r="C34" i="44"/>
  <c r="C48" i="15"/>
  <c r="B3" i="67"/>
  <c r="B4" i="67"/>
  <c r="R8" i="54"/>
  <c r="B54" i="63" s="1"/>
  <c r="K34" i="9"/>
  <c r="Q74" i="15"/>
  <c r="Q61" i="15"/>
  <c r="Q76" i="44"/>
  <c r="Q63" i="44"/>
  <c r="Q54" i="44"/>
  <c r="F1" i="44"/>
  <c r="F11" i="15"/>
  <c r="M13" i="44"/>
  <c r="J12" i="44" s="1"/>
  <c r="J7" i="44" s="1"/>
  <c r="F13" i="44"/>
  <c r="C12" i="44" s="1"/>
  <c r="C7" i="44" s="1"/>
  <c r="M11" i="15"/>
  <c r="J10" i="15" s="1"/>
  <c r="J5" i="15" s="1"/>
  <c r="Q58" i="15"/>
  <c r="Q67" i="15"/>
  <c r="Q62" i="44"/>
  <c r="Q75" i="44"/>
  <c r="C32" i="15"/>
  <c r="C33" i="15"/>
  <c r="F1" i="15"/>
  <c r="Q53" i="15"/>
  <c r="AE7" i="1"/>
  <c r="C30" i="46" l="1"/>
  <c r="B2" i="46" s="1"/>
  <c r="C31" i="46"/>
  <c r="T3" i="46"/>
  <c r="V3" i="46" s="1"/>
  <c r="T15" i="46"/>
  <c r="V15" i="46" s="1"/>
  <c r="T6" i="46"/>
  <c r="V6" i="46" s="1"/>
  <c r="T5" i="46"/>
  <c r="V5" i="46" s="1"/>
  <c r="T13" i="46"/>
  <c r="V13" i="46" s="1"/>
  <c r="T7" i="46"/>
  <c r="V7" i="46" s="1"/>
  <c r="T9" i="46"/>
  <c r="V9" i="46" s="1"/>
  <c r="T4" i="46"/>
  <c r="V4" i="46" s="1"/>
  <c r="T12" i="46"/>
  <c r="V12" i="46" s="1"/>
  <c r="T14" i="46"/>
  <c r="V14" i="46" s="1"/>
  <c r="T2" i="46"/>
  <c r="V2" i="46" s="1"/>
  <c r="T11" i="46"/>
  <c r="V11" i="46" s="1"/>
  <c r="T10" i="46"/>
  <c r="V10" i="46" s="1"/>
  <c r="T8" i="46"/>
  <c r="V8" i="46" s="1"/>
  <c r="T16" i="46"/>
  <c r="V16" i="46" s="1"/>
  <c r="D19" i="12"/>
  <c r="C19" i="12" s="1"/>
  <c r="G42" i="46"/>
  <c r="I42" i="46" s="1"/>
  <c r="E42" i="46"/>
  <c r="AY560" i="3"/>
  <c r="AY544" i="3"/>
  <c r="AY528" i="3"/>
  <c r="AY512" i="3"/>
  <c r="AY496" i="3"/>
  <c r="AY480" i="3"/>
  <c r="AY464" i="3"/>
  <c r="AY567" i="3"/>
  <c r="AY551" i="3"/>
  <c r="AY535" i="3"/>
  <c r="AY519" i="3"/>
  <c r="AY503" i="3"/>
  <c r="AY487" i="3"/>
  <c r="AY471" i="3"/>
  <c r="AY455" i="3"/>
  <c r="AY442" i="3"/>
  <c r="AY426" i="3"/>
  <c r="AY410" i="3"/>
  <c r="AY394" i="3"/>
  <c r="AY378" i="3"/>
  <c r="AY362" i="3"/>
  <c r="AY346" i="3"/>
  <c r="AY330" i="3"/>
  <c r="AY314" i="3"/>
  <c r="AY557" i="3"/>
  <c r="AY525" i="3"/>
  <c r="AY493" i="3"/>
  <c r="AY461" i="3"/>
  <c r="AY441" i="3"/>
  <c r="AY425" i="3"/>
  <c r="AY409" i="3"/>
  <c r="AY393" i="3"/>
  <c r="AY377" i="3"/>
  <c r="AY361" i="3"/>
  <c r="AY345" i="3"/>
  <c r="AY329" i="3"/>
  <c r="AY313" i="3"/>
  <c r="AY300" i="3"/>
  <c r="AY284" i="3"/>
  <c r="AY268" i="3"/>
  <c r="AY252" i="3"/>
  <c r="AY236" i="3"/>
  <c r="AY220" i="3"/>
  <c r="AY204" i="3"/>
  <c r="AY188" i="3"/>
  <c r="AY172" i="3"/>
  <c r="AY156" i="3"/>
  <c r="AY547" i="3"/>
  <c r="AY530" i="3"/>
  <c r="AY513" i="3"/>
  <c r="AY483" i="3"/>
  <c r="AY466" i="3"/>
  <c r="AY351" i="3"/>
  <c r="AY319" i="3"/>
  <c r="AY295" i="3"/>
  <c r="AY279" i="3"/>
  <c r="AY263" i="3"/>
  <c r="AY247" i="3"/>
  <c r="AY231" i="3"/>
  <c r="AY215" i="3"/>
  <c r="AY199" i="3"/>
  <c r="AY183" i="3"/>
  <c r="AY167" i="3"/>
  <c r="AY451" i="3"/>
  <c r="AY443" i="3"/>
  <c r="AY435" i="3"/>
  <c r="AY427" i="3"/>
  <c r="AY419" i="3"/>
  <c r="AY411" i="3"/>
  <c r="AY403" i="3"/>
  <c r="AY395" i="3"/>
  <c r="AY387" i="3"/>
  <c r="AY379" i="3"/>
  <c r="AY302" i="3"/>
  <c r="AY294" i="3"/>
  <c r="AY286" i="3"/>
  <c r="AY278" i="3"/>
  <c r="AY270" i="3"/>
  <c r="AY262" i="3"/>
  <c r="AY254" i="3"/>
  <c r="AY246" i="3"/>
  <c r="AY238" i="3"/>
  <c r="AY230" i="3"/>
  <c r="AY222" i="3"/>
  <c r="AY214" i="3"/>
  <c r="AY572" i="3"/>
  <c r="AY556" i="3"/>
  <c r="AY540" i="3"/>
  <c r="AY524" i="3"/>
  <c r="AY508" i="3"/>
  <c r="AY492" i="3"/>
  <c r="AY476" i="3"/>
  <c r="AY460" i="3"/>
  <c r="AY566" i="3"/>
  <c r="AY550" i="3"/>
  <c r="AY534" i="3"/>
  <c r="AY518" i="3"/>
  <c r="AY502" i="3"/>
  <c r="AY486" i="3"/>
  <c r="AY470" i="3"/>
  <c r="AY454" i="3"/>
  <c r="AY438" i="3"/>
  <c r="AY422" i="3"/>
  <c r="AY406" i="3"/>
  <c r="AY390" i="3"/>
  <c r="AY374" i="3"/>
  <c r="AY358" i="3"/>
  <c r="AY342" i="3"/>
  <c r="AY326" i="3"/>
  <c r="AY310" i="3"/>
  <c r="AY549" i="3"/>
  <c r="AY517" i="3"/>
  <c r="AY485" i="3"/>
  <c r="AY453" i="3"/>
  <c r="AY437" i="3"/>
  <c r="AY421" i="3"/>
  <c r="AY405" i="3"/>
  <c r="AY389" i="3"/>
  <c r="AY373" i="3"/>
  <c r="AY360" i="3"/>
  <c r="AY344" i="3"/>
  <c r="AY328" i="3"/>
  <c r="AY312" i="3"/>
  <c r="AY296" i="3"/>
  <c r="AY280" i="3"/>
  <c r="AY264" i="3"/>
  <c r="AY248" i="3"/>
  <c r="AY232" i="3"/>
  <c r="AY216" i="3"/>
  <c r="AY200" i="3"/>
  <c r="AY184" i="3"/>
  <c r="AY168" i="3"/>
  <c r="AY563" i="3"/>
  <c r="AY546" i="3"/>
  <c r="AY529" i="3"/>
  <c r="AY499" i="3"/>
  <c r="AY482" i="3"/>
  <c r="AY465" i="3"/>
  <c r="AY343" i="3"/>
  <c r="AY311" i="3"/>
  <c r="AY291" i="3"/>
  <c r="AY275" i="3"/>
  <c r="AY259" i="3"/>
  <c r="AY243" i="3"/>
  <c r="AY227" i="3"/>
  <c r="AY211" i="3"/>
  <c r="AY195" i="3"/>
  <c r="AY179" i="3"/>
  <c r="AY163" i="3"/>
  <c r="AY448" i="3"/>
  <c r="AY440" i="3"/>
  <c r="AY432" i="3"/>
  <c r="AY424" i="3"/>
  <c r="AY416" i="3"/>
  <c r="AY408" i="3"/>
  <c r="AY400" i="3"/>
  <c r="AY392" i="3"/>
  <c r="AY384" i="3"/>
  <c r="AY376" i="3"/>
  <c r="AY301" i="3"/>
  <c r="AY293" i="3"/>
  <c r="AY285" i="3"/>
  <c r="AY277" i="3"/>
  <c r="AY269" i="3"/>
  <c r="AY261" i="3"/>
  <c r="AY253" i="3"/>
  <c r="AY245" i="3"/>
  <c r="AY237" i="3"/>
  <c r="AY229" i="3"/>
  <c r="AY221" i="3"/>
  <c r="AY568" i="3"/>
  <c r="AY552" i="3"/>
  <c r="AY536" i="3"/>
  <c r="AY520" i="3"/>
  <c r="AY504" i="3"/>
  <c r="AY488" i="3"/>
  <c r="AY472" i="3"/>
  <c r="AY456" i="3"/>
  <c r="AY559" i="3"/>
  <c r="AY543" i="3"/>
  <c r="AY527" i="3"/>
  <c r="AY511" i="3"/>
  <c r="AY495" i="3"/>
  <c r="AY479" i="3"/>
  <c r="AY463" i="3"/>
  <c r="AY450" i="3"/>
  <c r="AY434" i="3"/>
  <c r="AY418" i="3"/>
  <c r="AY402" i="3"/>
  <c r="AY386" i="3"/>
  <c r="AY370" i="3"/>
  <c r="AY354" i="3"/>
  <c r="AY338" i="3"/>
  <c r="AY322" i="3"/>
  <c r="AY306" i="3"/>
  <c r="AY541" i="3"/>
  <c r="AY509" i="3"/>
  <c r="AY477" i="3"/>
  <c r="AY449" i="3"/>
  <c r="AY433" i="3"/>
  <c r="AY417" i="3"/>
  <c r="AY401" i="3"/>
  <c r="AY385" i="3"/>
  <c r="AY369" i="3"/>
  <c r="AY353" i="3"/>
  <c r="AY337" i="3"/>
  <c r="AY321" i="3"/>
  <c r="AY305" i="3"/>
  <c r="AY292" i="3"/>
  <c r="AY276" i="3"/>
  <c r="AY260" i="3"/>
  <c r="AY244" i="3"/>
  <c r="AY228" i="3"/>
  <c r="AY212" i="3"/>
  <c r="AY196" i="3"/>
  <c r="AY180" i="3"/>
  <c r="AY164" i="3"/>
  <c r="AY562" i="3"/>
  <c r="AY545" i="3"/>
  <c r="AY515" i="3"/>
  <c r="AY498" i="3"/>
  <c r="AY481" i="3"/>
  <c r="AY367" i="3"/>
  <c r="AY335" i="3"/>
  <c r="AY303" i="3"/>
  <c r="AY287" i="3"/>
  <c r="AY271" i="3"/>
  <c r="AY255" i="3"/>
  <c r="AY239" i="3"/>
  <c r="AY223" i="3"/>
  <c r="AY207" i="3"/>
  <c r="AY191" i="3"/>
  <c r="AY175" i="3"/>
  <c r="AY159" i="3"/>
  <c r="AY447" i="3"/>
  <c r="AY439" i="3"/>
  <c r="AY431" i="3"/>
  <c r="AY423" i="3"/>
  <c r="AY415" i="3"/>
  <c r="AY407" i="3"/>
  <c r="AY399" i="3"/>
  <c r="AY391" i="3"/>
  <c r="AY383" i="3"/>
  <c r="AY375" i="3"/>
  <c r="AY298" i="3"/>
  <c r="AY290" i="3"/>
  <c r="AY282" i="3"/>
  <c r="AY274" i="3"/>
  <c r="AY266" i="3"/>
  <c r="AY258" i="3"/>
  <c r="AY250" i="3"/>
  <c r="AY242" i="3"/>
  <c r="AY234" i="3"/>
  <c r="AY226" i="3"/>
  <c r="AY218" i="3"/>
  <c r="H12" i="40"/>
  <c r="U12" i="40" s="1"/>
  <c r="BA6" i="3"/>
  <c r="AY332" i="3"/>
  <c r="AY365" i="3"/>
  <c r="BR6" i="3"/>
  <c r="AY18" i="3"/>
  <c r="AY26" i="3"/>
  <c r="AY34" i="3"/>
  <c r="AY42" i="3"/>
  <c r="AY50" i="3"/>
  <c r="AY58" i="3"/>
  <c r="AY66" i="3"/>
  <c r="AY74" i="3"/>
  <c r="AY82" i="3"/>
  <c r="AY90" i="3"/>
  <c r="AY98" i="3"/>
  <c r="AY106" i="3"/>
  <c r="AY114" i="3"/>
  <c r="AY122" i="3"/>
  <c r="AY130" i="3"/>
  <c r="AY138" i="3"/>
  <c r="AY146" i="3"/>
  <c r="AY154" i="3"/>
  <c r="AY315" i="3"/>
  <c r="AY348" i="3"/>
  <c r="AY459" i="3"/>
  <c r="AY489" i="3"/>
  <c r="AY506" i="3"/>
  <c r="AY523" i="3"/>
  <c r="AY553" i="3"/>
  <c r="AY570" i="3"/>
  <c r="BK6" i="3"/>
  <c r="AY19" i="3"/>
  <c r="AY35" i="3"/>
  <c r="AY51" i="3"/>
  <c r="AY67" i="3"/>
  <c r="AY83" i="3"/>
  <c r="AY99" i="3"/>
  <c r="AY115" i="3"/>
  <c r="AY131" i="3"/>
  <c r="AY147" i="3"/>
  <c r="AY308" i="3"/>
  <c r="AY325" i="3"/>
  <c r="AY355" i="3"/>
  <c r="BD6" i="3"/>
  <c r="BT6" i="3"/>
  <c r="AY28" i="3"/>
  <c r="AY44" i="3"/>
  <c r="AY60" i="3"/>
  <c r="AY76" i="3"/>
  <c r="AY92" i="3"/>
  <c r="AY108" i="3"/>
  <c r="AY124" i="3"/>
  <c r="AY140" i="3"/>
  <c r="AY157" i="3"/>
  <c r="AY165" i="3"/>
  <c r="AY173" i="3"/>
  <c r="AY181" i="3"/>
  <c r="AY189" i="3"/>
  <c r="AY197" i="3"/>
  <c r="AY205" i="3"/>
  <c r="AY213" i="3"/>
  <c r="AY241" i="3"/>
  <c r="AY273" i="3"/>
  <c r="AY372" i="3"/>
  <c r="AY404" i="3"/>
  <c r="AY436" i="3"/>
  <c r="AY187" i="3"/>
  <c r="AY251" i="3"/>
  <c r="AY327" i="3"/>
  <c r="AY514" i="3"/>
  <c r="AY176" i="3"/>
  <c r="AY240" i="3"/>
  <c r="AY304" i="3"/>
  <c r="AY368" i="3"/>
  <c r="AY429" i="3"/>
  <c r="AY533" i="3"/>
  <c r="AY350" i="3"/>
  <c r="AY414" i="3"/>
  <c r="AY478" i="3"/>
  <c r="AY542" i="3"/>
  <c r="AY484" i="3"/>
  <c r="AY548" i="3"/>
  <c r="BI6" i="3"/>
  <c r="AY333" i="3"/>
  <c r="BN6" i="3"/>
  <c r="AY13" i="3"/>
  <c r="AY21" i="3"/>
  <c r="AY29" i="3"/>
  <c r="AY37" i="3"/>
  <c r="AY45" i="3"/>
  <c r="AY53" i="3"/>
  <c r="AY61" i="3"/>
  <c r="AY69" i="3"/>
  <c r="AY77" i="3"/>
  <c r="AY85" i="3"/>
  <c r="AY93" i="3"/>
  <c r="AY101" i="3"/>
  <c r="AY109" i="3"/>
  <c r="AY117" i="3"/>
  <c r="AY125" i="3"/>
  <c r="AY133" i="3"/>
  <c r="AY141" i="3"/>
  <c r="AY149" i="3"/>
  <c r="BF6" i="3"/>
  <c r="AY316" i="3"/>
  <c r="AY349" i="3"/>
  <c r="AY473" i="3"/>
  <c r="AY490" i="3"/>
  <c r="AY507" i="3"/>
  <c r="AY537" i="3"/>
  <c r="AY554" i="3"/>
  <c r="AY571" i="3"/>
  <c r="BO6" i="3"/>
  <c r="AY23" i="3"/>
  <c r="AY39" i="3"/>
  <c r="AY55" i="3"/>
  <c r="AY71" i="3"/>
  <c r="AY87" i="3"/>
  <c r="AY103" i="3"/>
  <c r="AY119" i="3"/>
  <c r="AY135" i="3"/>
  <c r="AY151" i="3"/>
  <c r="AY309" i="3"/>
  <c r="AY339" i="3"/>
  <c r="AY356" i="3"/>
  <c r="BH6" i="3"/>
  <c r="AY16" i="3"/>
  <c r="AY32" i="3"/>
  <c r="AY48" i="3"/>
  <c r="AY64" i="3"/>
  <c r="AY80" i="3"/>
  <c r="AY96" i="3"/>
  <c r="AY112" i="3"/>
  <c r="AY128" i="3"/>
  <c r="AY144" i="3"/>
  <c r="AY158" i="3"/>
  <c r="AY166" i="3"/>
  <c r="AY174" i="3"/>
  <c r="AY182" i="3"/>
  <c r="AY190" i="3"/>
  <c r="AY198" i="3"/>
  <c r="AY206" i="3"/>
  <c r="AY217" i="3"/>
  <c r="AY249" i="3"/>
  <c r="AY281" i="3"/>
  <c r="AY380" i="3"/>
  <c r="AY412" i="3"/>
  <c r="AY444" i="3"/>
  <c r="AY203" i="3"/>
  <c r="AY267" i="3"/>
  <c r="AY359" i="3"/>
  <c r="AY531" i="3"/>
  <c r="AY192" i="3"/>
  <c r="AY256" i="3"/>
  <c r="AY320" i="3"/>
  <c r="AY381" i="3"/>
  <c r="AY445" i="3"/>
  <c r="AY565" i="3"/>
  <c r="AY366" i="3"/>
  <c r="AY430" i="3"/>
  <c r="AY494" i="3"/>
  <c r="AY558" i="3"/>
  <c r="AY500" i="3"/>
  <c r="AY564" i="3"/>
  <c r="BQ6" i="3"/>
  <c r="AY363" i="3"/>
  <c r="BB6" i="3"/>
  <c r="AY14" i="3"/>
  <c r="AY22" i="3"/>
  <c r="AY30" i="3"/>
  <c r="AY38" i="3"/>
  <c r="AY46" i="3"/>
  <c r="AY54" i="3"/>
  <c r="AY62" i="3"/>
  <c r="AY70" i="3"/>
  <c r="AY78" i="3"/>
  <c r="AY86" i="3"/>
  <c r="AY94" i="3"/>
  <c r="AY102" i="3"/>
  <c r="AY110" i="3"/>
  <c r="AY118" i="3"/>
  <c r="AY126" i="3"/>
  <c r="AY134" i="3"/>
  <c r="AY142" i="3"/>
  <c r="AY150" i="3"/>
  <c r="BE6" i="3"/>
  <c r="AY317" i="3"/>
  <c r="AY457" i="3"/>
  <c r="AY474" i="3"/>
  <c r="AY491" i="3"/>
  <c r="AY521" i="3"/>
  <c r="AY538" i="3"/>
  <c r="AY555" i="3"/>
  <c r="BC6" i="3"/>
  <c r="BS6" i="3"/>
  <c r="AY27" i="3"/>
  <c r="AY43" i="3"/>
  <c r="AY59" i="3"/>
  <c r="AY75" i="3"/>
  <c r="AY91" i="3"/>
  <c r="AY107" i="3"/>
  <c r="AY123" i="3"/>
  <c r="AY139" i="3"/>
  <c r="AY155" i="3"/>
  <c r="AY323" i="3"/>
  <c r="AY340" i="3"/>
  <c r="AY357" i="3"/>
  <c r="BL6" i="3"/>
  <c r="AY20" i="3"/>
  <c r="AY36" i="3"/>
  <c r="AY52" i="3"/>
  <c r="AY68" i="3"/>
  <c r="AY84" i="3"/>
  <c r="AY100" i="3"/>
  <c r="AY116" i="3"/>
  <c r="AY132" i="3"/>
  <c r="AY148" i="3"/>
  <c r="AY161" i="3"/>
  <c r="AY169" i="3"/>
  <c r="AY177" i="3"/>
  <c r="AY185" i="3"/>
  <c r="AY193" i="3"/>
  <c r="AY201" i="3"/>
  <c r="AY209" i="3"/>
  <c r="AY225" i="3"/>
  <c r="AY257" i="3"/>
  <c r="AY289" i="3"/>
  <c r="AY388" i="3"/>
  <c r="AY420" i="3"/>
  <c r="AY452" i="3"/>
  <c r="AY219" i="3"/>
  <c r="AY283" i="3"/>
  <c r="AY467" i="3"/>
  <c r="AY561" i="3"/>
  <c r="AY208" i="3"/>
  <c r="AY272" i="3"/>
  <c r="AY336" i="3"/>
  <c r="AY397" i="3"/>
  <c r="AY469" i="3"/>
  <c r="AY318" i="3"/>
  <c r="AY382" i="3"/>
  <c r="AY446" i="3"/>
  <c r="AY510" i="3"/>
  <c r="D3" i="6"/>
  <c r="K38" i="9" s="1"/>
  <c r="AY516" i="3"/>
  <c r="AA19" i="21"/>
  <c r="S19" i="21"/>
  <c r="AC19" i="21"/>
  <c r="W19" i="21"/>
  <c r="F26" i="12"/>
  <c r="C27" i="12" s="1"/>
  <c r="D26" i="12" s="1"/>
  <c r="C32" i="12" s="1"/>
  <c r="D30" i="12" s="1"/>
  <c r="F20" i="43"/>
  <c r="D20" i="43" s="1"/>
  <c r="L36" i="46"/>
  <c r="P36" i="46" s="1"/>
  <c r="F24" i="15"/>
  <c r="C24" i="15" s="1"/>
  <c r="S6" i="1"/>
  <c r="M19" i="6"/>
  <c r="K27" i="6"/>
  <c r="P6" i="1"/>
  <c r="M20" i="6"/>
  <c r="I20" i="6" s="1"/>
  <c r="S20" i="6" s="1"/>
  <c r="S7" i="1"/>
  <c r="M14" i="1"/>
  <c r="K16" i="1"/>
  <c r="D19" i="6"/>
  <c r="D22" i="6"/>
  <c r="E6" i="3"/>
  <c r="J12" i="39"/>
  <c r="W12" i="39" s="1"/>
  <c r="W7" i="36"/>
  <c r="AC7" i="36"/>
  <c r="V36" i="36" s="1"/>
  <c r="I36" i="36" s="1"/>
  <c r="S7" i="34"/>
  <c r="AA7" i="34"/>
  <c r="R49" i="34" s="1"/>
  <c r="E64" i="40"/>
  <c r="D66" i="40"/>
  <c r="J7" i="33"/>
  <c r="AC12" i="40"/>
  <c r="W12" i="40"/>
  <c r="F7" i="37"/>
  <c r="AB7" i="34"/>
  <c r="T49" i="34" s="1"/>
  <c r="G49" i="34" s="1"/>
  <c r="U7" i="34"/>
  <c r="U7" i="21"/>
  <c r="AB7" i="21"/>
  <c r="T48" i="21" s="1"/>
  <c r="G48" i="21" s="1"/>
  <c r="F7" i="35"/>
  <c r="H7" i="35"/>
  <c r="F7" i="33"/>
  <c r="AB12" i="39"/>
  <c r="U12" i="39"/>
  <c r="AA12" i="39"/>
  <c r="S12" i="39"/>
  <c r="F7" i="36"/>
  <c r="H7" i="37"/>
  <c r="F7" i="21"/>
  <c r="J7" i="35"/>
  <c r="H7" i="33"/>
  <c r="AA12" i="40"/>
  <c r="S12" i="40"/>
  <c r="H7" i="36"/>
  <c r="J7" i="37"/>
  <c r="J7" i="34"/>
  <c r="J7" i="21"/>
  <c r="E71" i="39"/>
  <c r="F69" i="39"/>
  <c r="B4" i="46"/>
  <c r="D4" i="46"/>
  <c r="B3" i="46"/>
  <c r="L47" i="44"/>
  <c r="C40" i="44"/>
  <c r="J26" i="44"/>
  <c r="J28" i="44"/>
  <c r="J31" i="44" s="1"/>
  <c r="J26" i="15"/>
  <c r="J24" i="15"/>
  <c r="C60" i="15"/>
  <c r="J19" i="44"/>
  <c r="C52" i="15"/>
  <c r="C47" i="15" s="1"/>
  <c r="C10" i="15"/>
  <c r="C5" i="15" s="1"/>
  <c r="C33" i="44"/>
  <c r="C20" i="11"/>
  <c r="C21" i="11" s="1"/>
  <c r="C22" i="11" s="1"/>
  <c r="C23" i="11" s="1"/>
  <c r="B2" i="11" s="1"/>
  <c r="F41" i="15"/>
  <c r="C17" i="15"/>
  <c r="H23" i="6" l="1"/>
  <c r="H24" i="6"/>
  <c r="AB12" i="40"/>
  <c r="D9" i="6"/>
  <c r="F45" i="9"/>
  <c r="E45" i="9"/>
  <c r="D5" i="6"/>
  <c r="D10" i="6"/>
  <c r="H21" i="6"/>
  <c r="D26" i="6"/>
  <c r="D12" i="6"/>
  <c r="D11" i="6"/>
  <c r="D21" i="6"/>
  <c r="D25" i="6"/>
  <c r="D8" i="6"/>
  <c r="F46" i="9"/>
  <c r="C22" i="4"/>
  <c r="D24" i="6"/>
  <c r="D28" i="6"/>
  <c r="H25" i="6"/>
  <c r="R25" i="6" s="1"/>
  <c r="D13" i="6"/>
  <c r="H22" i="6"/>
  <c r="R22" i="6" s="1"/>
  <c r="H26" i="6"/>
  <c r="D20" i="6"/>
  <c r="R20" i="6" s="1"/>
  <c r="R7" i="1" s="1"/>
  <c r="AC12" i="39"/>
  <c r="E46" i="9"/>
  <c r="D6" i="6"/>
  <c r="D14" i="6"/>
  <c r="D29" i="6"/>
  <c r="E62" i="40"/>
  <c r="D15" i="6"/>
  <c r="D23" i="6"/>
  <c r="R23" i="6" s="1"/>
  <c r="N36" i="46"/>
  <c r="O36" i="46"/>
  <c r="M36" i="46"/>
  <c r="L37" i="46"/>
  <c r="M37" i="46" s="1"/>
  <c r="Q36" i="46"/>
  <c r="O14" i="1"/>
  <c r="O16" i="1" s="1"/>
  <c r="M16" i="1"/>
  <c r="M27" i="6"/>
  <c r="I19" i="6"/>
  <c r="S16" i="1"/>
  <c r="T6" i="1" s="1"/>
  <c r="H20" i="6"/>
  <c r="C15" i="12"/>
  <c r="K34" i="1" s="1"/>
  <c r="R24" i="6"/>
  <c r="R21" i="6"/>
  <c r="D27" i="6"/>
  <c r="N5" i="54"/>
  <c r="B43" i="63" s="1"/>
  <c r="A6" i="51"/>
  <c r="B7" i="63" s="1"/>
  <c r="A6" i="64"/>
  <c r="A20" i="51"/>
  <c r="B15" i="63" s="1"/>
  <c r="A20" i="64"/>
  <c r="R26" i="6"/>
  <c r="W7" i="34"/>
  <c r="AC7" i="34"/>
  <c r="V49" i="34" s="1"/>
  <c r="I49" i="34" s="1"/>
  <c r="G69" i="39"/>
  <c r="F71" i="39"/>
  <c r="U7" i="36"/>
  <c r="AB7" i="36"/>
  <c r="T36" i="36" s="1"/>
  <c r="G36" i="36" s="1"/>
  <c r="U7" i="37"/>
  <c r="AB7" i="37"/>
  <c r="T42" i="37" s="1"/>
  <c r="G42" i="37" s="1"/>
  <c r="S7" i="35"/>
  <c r="AA7" i="35"/>
  <c r="R38" i="35" s="1"/>
  <c r="E49" i="34"/>
  <c r="R50" i="34"/>
  <c r="W7" i="21"/>
  <c r="AC7" i="21"/>
  <c r="V48" i="21" s="1"/>
  <c r="I48" i="21" s="1"/>
  <c r="G53" i="21" s="1"/>
  <c r="H53" i="21" s="1"/>
  <c r="U7" i="33"/>
  <c r="AB7" i="33"/>
  <c r="T48" i="33" s="1"/>
  <c r="G48" i="33" s="1"/>
  <c r="S7" i="36"/>
  <c r="AA7" i="36"/>
  <c r="R36" i="36" s="1"/>
  <c r="G52" i="21"/>
  <c r="H52" i="21" s="1"/>
  <c r="G54" i="34"/>
  <c r="H54" i="34" s="1"/>
  <c r="G53" i="34"/>
  <c r="H53" i="34" s="1"/>
  <c r="W7" i="33"/>
  <c r="AC7" i="33"/>
  <c r="V48" i="33" s="1"/>
  <c r="I48" i="33" s="1"/>
  <c r="AC7" i="35"/>
  <c r="V38" i="35" s="1"/>
  <c r="I38" i="35" s="1"/>
  <c r="W7" i="35"/>
  <c r="AA7" i="33"/>
  <c r="R48" i="33" s="1"/>
  <c r="S7" i="33"/>
  <c r="AA7" i="37"/>
  <c r="R42" i="37" s="1"/>
  <c r="S7" i="37"/>
  <c r="I40" i="36"/>
  <c r="J40" i="36" s="1"/>
  <c r="W7" i="37"/>
  <c r="AC7" i="37"/>
  <c r="V42" i="37" s="1"/>
  <c r="I42" i="37" s="1"/>
  <c r="AA7" i="21"/>
  <c r="R48" i="21" s="1"/>
  <c r="S7" i="21"/>
  <c r="U7" i="35"/>
  <c r="AB7" i="35"/>
  <c r="T38" i="35" s="1"/>
  <c r="G38" i="35" s="1"/>
  <c r="E66" i="40"/>
  <c r="F64" i="40"/>
  <c r="F68" i="15"/>
  <c r="J29" i="15"/>
  <c r="B5" i="11"/>
  <c r="B4" i="11"/>
  <c r="B3" i="11"/>
  <c r="C65" i="15"/>
  <c r="C59" i="15"/>
  <c r="C38" i="15"/>
  <c r="Q67" i="44"/>
  <c r="Q58" i="44"/>
  <c r="Q49" i="44"/>
  <c r="Q55" i="44" s="1"/>
  <c r="F35" i="15"/>
  <c r="M21" i="15"/>
  <c r="D30" i="6" l="1"/>
  <c r="D16" i="6"/>
  <c r="D31" i="6"/>
  <c r="P14" i="1"/>
  <c r="P16" i="1" s="1"/>
  <c r="C13" i="12" s="1"/>
  <c r="C17" i="12" s="1"/>
  <c r="Q37" i="46"/>
  <c r="P37" i="46"/>
  <c r="N37" i="46"/>
  <c r="O37" i="46"/>
  <c r="T8" i="1"/>
  <c r="T11" i="1"/>
  <c r="T7" i="1"/>
  <c r="S19" i="6"/>
  <c r="S27" i="6" s="1"/>
  <c r="I27" i="6"/>
  <c r="H19" i="6"/>
  <c r="T13" i="1"/>
  <c r="T10" i="1"/>
  <c r="T12" i="1"/>
  <c r="C13" i="43"/>
  <c r="L16" i="1"/>
  <c r="N16" i="1"/>
  <c r="F22" i="43" s="1"/>
  <c r="T9" i="1"/>
  <c r="F62" i="15"/>
  <c r="C61" i="15" s="1"/>
  <c r="C58" i="15" s="1"/>
  <c r="C34" i="15"/>
  <c r="C31" i="15" s="1"/>
  <c r="J20" i="15"/>
  <c r="J17" i="15" s="1"/>
  <c r="I5" i="6"/>
  <c r="I6" i="6"/>
  <c r="G53" i="33"/>
  <c r="H53" i="33" s="1"/>
  <c r="G52" i="33"/>
  <c r="H52" i="33" s="1"/>
  <c r="R49" i="21"/>
  <c r="E48" i="21"/>
  <c r="I53" i="21" s="1"/>
  <c r="J53" i="21" s="1"/>
  <c r="E53" i="34"/>
  <c r="F53" i="34" s="1"/>
  <c r="E54" i="34"/>
  <c r="F54" i="34" s="1"/>
  <c r="I47" i="37"/>
  <c r="J47" i="37" s="1"/>
  <c r="I46" i="37"/>
  <c r="J46" i="37" s="1"/>
  <c r="E36" i="36"/>
  <c r="R37" i="36"/>
  <c r="I52" i="21"/>
  <c r="J52" i="21" s="1"/>
  <c r="E38" i="35"/>
  <c r="I43" i="35" s="1"/>
  <c r="J43" i="35" s="1"/>
  <c r="R39" i="35"/>
  <c r="G41" i="36"/>
  <c r="H41" i="36" s="1"/>
  <c r="G40" i="36"/>
  <c r="H40" i="36" s="1"/>
  <c r="E42" i="37"/>
  <c r="R43" i="37"/>
  <c r="I42" i="35"/>
  <c r="J42" i="35" s="1"/>
  <c r="G64" i="40"/>
  <c r="F66" i="40"/>
  <c r="C50" i="34"/>
  <c r="B3" i="34" s="1"/>
  <c r="B2" i="34" s="1"/>
  <c r="C49" i="34"/>
  <c r="G46" i="37"/>
  <c r="H46" i="37" s="1"/>
  <c r="G47" i="37"/>
  <c r="H47" i="37" s="1"/>
  <c r="H69" i="39"/>
  <c r="G71" i="39"/>
  <c r="I52" i="33"/>
  <c r="J52" i="33" s="1"/>
  <c r="R49" i="33"/>
  <c r="E48" i="33"/>
  <c r="I53" i="34"/>
  <c r="J53" i="34" s="1"/>
  <c r="I54" i="34"/>
  <c r="J54" i="34" s="1"/>
  <c r="G43" i="35"/>
  <c r="H43" i="35" s="1"/>
  <c r="G42" i="35"/>
  <c r="H42" i="35" s="1"/>
  <c r="C16" i="44"/>
  <c r="C14" i="15"/>
  <c r="C14" i="12" l="1"/>
  <c r="C18" i="12" s="1"/>
  <c r="C23" i="12" s="1"/>
  <c r="C15" i="15"/>
  <c r="C18" i="15"/>
  <c r="C17" i="44"/>
  <c r="C20" i="44"/>
  <c r="R19" i="6"/>
  <c r="H27" i="6"/>
  <c r="C14" i="43"/>
  <c r="C17" i="43"/>
  <c r="T16" i="1"/>
  <c r="J13" i="39"/>
  <c r="H13" i="39"/>
  <c r="F13" i="39"/>
  <c r="E52" i="21"/>
  <c r="F52" i="21" s="1"/>
  <c r="E53" i="21"/>
  <c r="F53" i="21" s="1"/>
  <c r="I69" i="39"/>
  <c r="H71" i="39"/>
  <c r="C48" i="21"/>
  <c r="C8" i="12" s="1"/>
  <c r="C49" i="21"/>
  <c r="B3" i="21" s="1"/>
  <c r="B2" i="21" s="1"/>
  <c r="E52" i="33"/>
  <c r="F52" i="33" s="1"/>
  <c r="E53" i="33"/>
  <c r="F53" i="33" s="1"/>
  <c r="C48" i="33"/>
  <c r="C49" i="33"/>
  <c r="B3" i="33" s="1"/>
  <c r="B2" i="33" s="1"/>
  <c r="I53" i="33"/>
  <c r="J53" i="33" s="1"/>
  <c r="C43" i="37"/>
  <c r="B3" i="37" s="1"/>
  <c r="B2" i="37" s="1"/>
  <c r="C42" i="37"/>
  <c r="C39" i="35"/>
  <c r="C38" i="35"/>
  <c r="C37" i="36"/>
  <c r="B3" i="36" s="1"/>
  <c r="B2" i="36" s="1"/>
  <c r="C36" i="36"/>
  <c r="G66" i="40"/>
  <c r="H64" i="40"/>
  <c r="E47" i="37"/>
  <c r="F47" i="37" s="1"/>
  <c r="E46" i="37"/>
  <c r="F46" i="37" s="1"/>
  <c r="E42" i="35"/>
  <c r="F42" i="35" s="1"/>
  <c r="E43" i="35"/>
  <c r="F43" i="35" s="1"/>
  <c r="E40" i="36"/>
  <c r="F40" i="36" s="1"/>
  <c r="E41" i="36"/>
  <c r="F41" i="36" s="1"/>
  <c r="I41" i="36"/>
  <c r="J41" i="36" s="1"/>
  <c r="C19" i="15" l="1"/>
  <c r="B2" i="35"/>
  <c r="H3" i="35" s="1"/>
  <c r="C10" i="12"/>
  <c r="C21" i="44"/>
  <c r="C22" i="44" s="1"/>
  <c r="C25" i="44" s="1"/>
  <c r="C18" i="43"/>
  <c r="C19" i="43" s="1"/>
  <c r="C21" i="43" s="1"/>
  <c r="R6" i="1"/>
  <c r="R16" i="1" s="1"/>
  <c r="R27" i="6"/>
  <c r="C20" i="15"/>
  <c r="C26" i="15" s="1"/>
  <c r="AA13" i="39"/>
  <c r="S13" i="39"/>
  <c r="AB13" i="39"/>
  <c r="U13" i="39"/>
  <c r="AC13" i="39"/>
  <c r="W13" i="39"/>
  <c r="I71" i="39"/>
  <c r="J69" i="39"/>
  <c r="I64" i="40"/>
  <c r="H66" i="40"/>
  <c r="B3" i="35" l="1"/>
  <c r="D8" i="12" s="1"/>
  <c r="C6" i="12" s="1"/>
  <c r="C28" i="44"/>
  <c r="C31" i="44" s="1"/>
  <c r="C38" i="44" s="1"/>
  <c r="C23" i="15"/>
  <c r="C29" i="15" s="1"/>
  <c r="J14" i="15" s="1"/>
  <c r="C20" i="43"/>
  <c r="C23" i="43" s="1"/>
  <c r="C27" i="43" s="1"/>
  <c r="B2" i="43" s="1"/>
  <c r="B3" i="43" s="1"/>
  <c r="K69" i="39"/>
  <c r="J71" i="39"/>
  <c r="I66" i="40"/>
  <c r="J64" i="40"/>
  <c r="C24" i="12" l="1"/>
  <c r="C28" i="12" s="1"/>
  <c r="C26" i="12" s="1"/>
  <c r="C29" i="12"/>
  <c r="C35" i="12"/>
  <c r="C33" i="12" s="1"/>
  <c r="C31" i="12"/>
  <c r="C30" i="12" s="1"/>
  <c r="C36" i="12" s="1"/>
  <c r="B2" i="12" s="1"/>
  <c r="B5" i="12" s="1"/>
  <c r="Q50" i="15"/>
  <c r="Q51" i="44"/>
  <c r="J16" i="44"/>
  <c r="J24" i="44" s="1"/>
  <c r="C56" i="15"/>
  <c r="C63" i="15" s="1"/>
  <c r="C15" i="44"/>
  <c r="Q72" i="44" s="1"/>
  <c r="C36" i="15"/>
  <c r="C13" i="15"/>
  <c r="Q71" i="15" s="1"/>
  <c r="B4" i="43"/>
  <c r="B5" i="43"/>
  <c r="J22" i="15"/>
  <c r="J13" i="15"/>
  <c r="J23" i="15" s="1"/>
  <c r="L69" i="39"/>
  <c r="K71" i="39"/>
  <c r="J66" i="40"/>
  <c r="K64" i="40"/>
  <c r="D19" i="9"/>
  <c r="J15" i="44" l="1"/>
  <c r="J25" i="44" s="1"/>
  <c r="C43" i="44"/>
  <c r="C39" i="44"/>
  <c r="C32" i="44" s="1"/>
  <c r="C42" i="44" s="1"/>
  <c r="C44" i="44" s="1"/>
  <c r="C45" i="44" s="1"/>
  <c r="J35" i="15"/>
  <c r="C37" i="15"/>
  <c r="C30" i="15" s="1"/>
  <c r="C39" i="15" s="1"/>
  <c r="C55" i="15"/>
  <c r="C64" i="15" s="1"/>
  <c r="C57" i="15" s="1"/>
  <c r="C66" i="15" s="1"/>
  <c r="C67" i="15" s="1"/>
  <c r="C70" i="15" s="1"/>
  <c r="J18" i="44"/>
  <c r="J27" i="44" s="1"/>
  <c r="B3" i="12"/>
  <c r="B4" i="12"/>
  <c r="J16" i="15"/>
  <c r="J25" i="15" s="1"/>
  <c r="L44" i="9"/>
  <c r="M69" i="39"/>
  <c r="L71" i="39"/>
  <c r="L64" i="40"/>
  <c r="K66" i="40"/>
  <c r="D20" i="9"/>
  <c r="L51" i="15"/>
  <c r="D21" i="9"/>
  <c r="Q71" i="44" l="1"/>
  <c r="Q70" i="44" s="1"/>
  <c r="J39" i="15"/>
  <c r="J40" i="15" s="1"/>
  <c r="C40" i="15"/>
  <c r="C46" i="15" s="1"/>
  <c r="Q70" i="15"/>
  <c r="Q69" i="15" s="1"/>
  <c r="Q68" i="15"/>
  <c r="L52" i="44"/>
  <c r="B2" i="44"/>
  <c r="M64" i="40"/>
  <c r="L66" i="40"/>
  <c r="M71" i="39"/>
  <c r="N69" i="39"/>
  <c r="N71" i="39" s="1"/>
  <c r="J42" i="15" l="1"/>
  <c r="J43" i="15" s="1"/>
  <c r="C43" i="15"/>
  <c r="Q57" i="15"/>
  <c r="Q63" i="15" s="1"/>
  <c r="Q48" i="15"/>
  <c r="Q54" i="15" s="1"/>
  <c r="Q66" i="15"/>
  <c r="Q76" i="15" s="1"/>
  <c r="B2" i="15"/>
  <c r="B3" i="15" s="1"/>
  <c r="L58" i="44"/>
  <c r="L61" i="44" s="1"/>
  <c r="Q69" i="44"/>
  <c r="B4" i="44"/>
  <c r="B3" i="44"/>
  <c r="B5" i="44"/>
  <c r="J9" i="39"/>
  <c r="H9" i="39"/>
  <c r="F9" i="39"/>
  <c r="M66" i="40"/>
  <c r="N64" i="40"/>
  <c r="N66" i="40" s="1"/>
  <c r="Q68" i="44" l="1"/>
  <c r="Q77" i="44" s="1"/>
  <c r="Q59" i="44"/>
  <c r="Q64" i="44" s="1"/>
  <c r="J9" i="40"/>
  <c r="H9" i="40"/>
  <c r="F9" i="40"/>
  <c r="S9" i="39"/>
  <c r="AA9" i="39"/>
  <c r="R49" i="39" s="1"/>
  <c r="U9" i="39"/>
  <c r="AB9" i="39"/>
  <c r="T49" i="39" s="1"/>
  <c r="G49" i="39" s="1"/>
  <c r="W9" i="39"/>
  <c r="AC9" i="39"/>
  <c r="V49" i="39" s="1"/>
  <c r="I49" i="39" s="1"/>
  <c r="G53" i="39" l="1"/>
  <c r="H53" i="39" s="1"/>
  <c r="G54" i="39"/>
  <c r="H54" i="39" s="1"/>
  <c r="I53" i="39"/>
  <c r="J53" i="39" s="1"/>
  <c r="R50" i="39"/>
  <c r="E49" i="39"/>
  <c r="I54" i="39" s="1"/>
  <c r="J54" i="39" s="1"/>
  <c r="S9" i="40"/>
  <c r="AA9" i="40"/>
  <c r="R44" i="40" s="1"/>
  <c r="U9" i="40"/>
  <c r="AB9" i="40"/>
  <c r="T44" i="40" s="1"/>
  <c r="G44" i="40" s="1"/>
  <c r="W9" i="40"/>
  <c r="AC9" i="40"/>
  <c r="V44" i="40" s="1"/>
  <c r="I44" i="40" s="1"/>
  <c r="R45" i="40" l="1"/>
  <c r="E44" i="40"/>
  <c r="G49" i="40"/>
  <c r="H49" i="40" s="1"/>
  <c r="G48" i="40"/>
  <c r="H48" i="40" s="1"/>
  <c r="E54" i="39"/>
  <c r="F54" i="39" s="1"/>
  <c r="E53" i="39"/>
  <c r="F53" i="39" s="1"/>
  <c r="I48" i="40"/>
  <c r="J48" i="40" s="1"/>
  <c r="I49" i="40"/>
  <c r="J49" i="40" s="1"/>
  <c r="C50" i="39"/>
  <c r="C49" i="39"/>
  <c r="E48" i="40" l="1"/>
  <c r="F48" i="40" s="1"/>
  <c r="E49" i="40"/>
  <c r="F49" i="40" s="1"/>
  <c r="B65" i="39"/>
  <c r="F65" i="39" s="1"/>
  <c r="B63" i="39"/>
  <c r="F63" i="39" s="1"/>
  <c r="B60" i="39"/>
  <c r="F60" i="39" s="1"/>
  <c r="B58" i="39"/>
  <c r="F58" i="39" s="1"/>
  <c r="B59" i="39"/>
  <c r="F59" i="39" s="1"/>
  <c r="B66" i="39"/>
  <c r="F66" i="39" s="1"/>
  <c r="B64" i="39"/>
  <c r="F64" i="39" s="1"/>
  <c r="B62" i="39"/>
  <c r="F62" i="39" s="1"/>
  <c r="B61" i="39"/>
  <c r="F61" i="39" s="1"/>
  <c r="C44" i="40"/>
  <c r="C45" i="40"/>
  <c r="F67" i="39" l="1"/>
  <c r="B2" i="39" s="1"/>
  <c r="B60" i="40"/>
  <c r="F60" i="40" s="1"/>
  <c r="B58" i="40"/>
  <c r="F58" i="40" s="1"/>
  <c r="B55" i="40"/>
  <c r="F55" i="40" s="1"/>
  <c r="B57" i="40"/>
  <c r="F57" i="40" s="1"/>
  <c r="B59" i="40"/>
  <c r="F59" i="40" s="1"/>
  <c r="B56" i="40"/>
  <c r="F56" i="40" s="1"/>
  <c r="B53" i="40"/>
  <c r="F53" i="40" s="1"/>
  <c r="B61" i="40"/>
  <c r="F61" i="40" s="1"/>
  <c r="B54" i="40"/>
  <c r="F54" i="40" s="1"/>
  <c r="F62" i="40"/>
  <c r="B2" i="40" s="1"/>
  <c r="C19" i="9"/>
  <c r="L43" i="9" l="1"/>
  <c r="D22" i="9"/>
  <c r="G19" i="9"/>
  <c r="B4" i="40"/>
  <c r="B3" i="40"/>
  <c r="B5" i="40"/>
  <c r="B5" i="39"/>
  <c r="B4" i="39"/>
  <c r="B3" i="39"/>
  <c r="C20" i="9"/>
  <c r="C21" i="9"/>
  <c r="G21" i="9" l="1"/>
  <c r="G20" i="9"/>
  <c r="G22" i="9"/>
  <c r="G14" i="66"/>
  <c r="B6" i="66" s="1"/>
  <c r="N43" i="9"/>
  <c r="C32" i="9"/>
  <c r="D14" i="66"/>
  <c r="C6" i="66" l="1"/>
  <c r="D6" i="66"/>
  <c r="F14" i="66"/>
  <c r="B5" i="66"/>
  <c r="E14" i="66"/>
  <c r="C33" i="9"/>
  <c r="C42" i="9"/>
  <c r="O38" i="9"/>
  <c r="C34" i="9"/>
  <c r="C35" i="9"/>
  <c r="F42" i="9" s="1"/>
  <c r="O43" i="9"/>
  <c r="K26" i="9" l="1"/>
  <c r="K25" i="9"/>
  <c r="D5" i="66"/>
  <c r="C5" i="66"/>
  <c r="N68" i="9"/>
  <c r="D63" i="9"/>
  <c r="R5" i="54"/>
  <c r="B48" i="63" s="1"/>
  <c r="C44" i="9"/>
  <c r="N38" i="9"/>
  <c r="K28" i="9" s="1"/>
  <c r="D42" i="9"/>
  <c r="Q5" i="54" s="1"/>
  <c r="B47" i="63" s="1"/>
  <c r="M38" i="9"/>
  <c r="K27" i="9" s="1"/>
  <c r="E42" i="9"/>
  <c r="P5" i="54" s="1"/>
  <c r="B46" i="63" s="1"/>
  <c r="D44" i="9" l="1"/>
  <c r="N69" i="9"/>
  <c r="F44" i="9"/>
  <c r="O39" i="9"/>
  <c r="E44" i="9"/>
  <c r="D73" i="9"/>
  <c r="N73" i="9" s="1"/>
  <c r="C103" i="9"/>
  <c r="C96" i="9"/>
  <c r="C91" i="9" s="1"/>
  <c r="C82" i="9"/>
  <c r="C81" i="9" s="1"/>
  <c r="C85" i="9" s="1"/>
  <c r="C86" i="9" s="1"/>
  <c r="D72" i="9" s="1"/>
  <c r="D71" i="9"/>
  <c r="D70" i="9"/>
  <c r="C90" i="9"/>
  <c r="C111" i="9"/>
  <c r="C104" i="9" s="1"/>
  <c r="C97" i="9" l="1"/>
  <c r="C98" i="9" s="1"/>
  <c r="E98" i="9" s="1"/>
  <c r="E99" i="9" s="1"/>
  <c r="K29" i="9"/>
  <c r="K30" i="9" s="1"/>
  <c r="R6" i="54"/>
  <c r="B50" i="63" s="1"/>
  <c r="C113" i="9"/>
  <c r="M85" i="9"/>
  <c r="N85" i="9" s="1"/>
  <c r="M84" i="9"/>
  <c r="N84" i="9" s="1"/>
  <c r="M83" i="9"/>
  <c r="N83" i="9" s="1"/>
  <c r="M88" i="9"/>
  <c r="N88" i="9" s="1"/>
  <c r="M87" i="9"/>
  <c r="N87" i="9" s="1"/>
  <c r="M86" i="9"/>
  <c r="N86" i="9" s="1"/>
  <c r="C99" i="9" l="1"/>
  <c r="N89" i="9"/>
  <c r="O89" i="9" s="1"/>
  <c r="C114" i="9"/>
  <c r="E114" i="9" s="1"/>
  <c r="E115" i="9" s="1"/>
  <c r="C115" i="9" l="1"/>
  <c r="D76" i="9" s="1"/>
  <c r="D74" i="9" s="1"/>
  <c r="N74" i="9" s="1"/>
  <c r="O77" i="9" s="1"/>
  <c r="O78" i="9" s="1"/>
  <c r="O79" i="9" l="1"/>
  <c r="O80" i="9" s="1"/>
  <c r="Q77"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<sst xmlns="http://schemas.openxmlformats.org/spreadsheetml/2006/main" count="7800" uniqueCount="2710">
  <si>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</si>
  <si>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</si>
  <si>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</si>
  <si>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</si>
  <si>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</si>
  <si>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</si>
  <si>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</si>
  <si>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</si>
  <si>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</si>
  <si>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</si>
  <si>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</si>
  <si>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</si>
  <si>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</si>
  <si>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</si>
  <si>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</si>
  <si>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</si>
  <si>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</si>
  <si>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</si>
  <si>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</si>
  <si>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</si>
  <si>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</si>
  <si>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</si>
  <si>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</si>
  <si>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</si>
  <si>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</si>
  <si>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</si>
  <si>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</si>
  <si>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</si>
  <si>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</si>
  <si>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</si>
  <si>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</si>
  <si>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</si>
  <si>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</si>
  <si>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</si>
  <si>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</si>
  <si>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</si>
  <si>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</si>
  <si>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</si>
  <si>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</si>
  <si>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</si>
  <si>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</si>
  <si>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</si>
  <si>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</si>
  <si>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</si>
  <si>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</si>
  <si>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</si>
  <si>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</si>
  <si>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</si>
  <si>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</si>
  <si>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</si>
  <si>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</si>
  <si>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</si>
  <si>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</si>
  <si>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</si>
  <si>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</si>
  <si>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</si>
  <si>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</si>
  <si>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</si>
  <si>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</si>
  <si>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</si>
  <si>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</si>
  <si>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</si>
  <si>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</si>
  <si>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</si>
  <si>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</si>
  <si>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</si>
  <si>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</si>
  <si>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</si>
  <si>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</si>
  <si>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</si>
  <si>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</si>
  <si>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</si>
  <si>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</si>
  <si>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</si>
  <si>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</si>
  <si>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</si>
  <si>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</si>
  <si>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</si>
  <si>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</si>
  <si>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</si>
  <si>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</si>
  <si>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</si>
  <si>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</si>
  <si>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</si>
  <si>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</si>
  <si>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</si>
  <si>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</si>
  <si>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</si>
  <si>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</si>
  <si>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</si>
  <si>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</si>
  <si>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</si>
  <si>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</si>
  <si>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</si>
  <si>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</si>
  <si>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</si>
  <si>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</si>
  <si>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</si>
  <si>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</si>
  <si>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</si>
  <si>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</si>
  <si>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</si>
  <si>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</si>
  <si>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</si>
  <si>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</si>
  <si>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</si>
  <si>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</si>
  <si>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</si>
  <si>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</si>
  <si>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</si>
  <si>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</si>
  <si>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</si>
  <si>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</si>
  <si>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</si>
  <si>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</si>
  <si>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</si>
  <si>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</si>
  <si>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</si>
  <si>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</si>
  <si>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</si>
  <si>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</si>
  <si>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</si>
  <si>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</si>
  <si>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</si>
  <si>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</si>
  <si>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</si>
  <si>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</si>
  <si>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</si>
  <si>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</si>
  <si>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</si>
  <si>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</si>
  <si>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</si>
  <si>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</si>
  <si>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</si>
  <si>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</si>
  <si>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</si>
  <si>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</si>
  <si>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</si>
  <si>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</si>
  <si>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</si>
  <si>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</si>
  <si>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</si>
  <si>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</si>
  <si>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</si>
  <si>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</si>
  <si>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</si>
  <si>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</si>
  <si>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</si>
  <si>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</si>
  <si>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</si>
  <si>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</si>
  <si>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</si>
  <si>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</si>
  <si>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</si>
  <si>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</si>
  <si>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</si>
  <si>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</si>
  <si>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</si>
  <si>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</si>
  <si>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</si>
  <si>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</si>
  <si>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</si>
  <si>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</si>
  <si>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</si>
  <si>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</si>
  <si>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</si>
  <si>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</si>
  <si>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</si>
  <si>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</si>
  <si>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</si>
  <si>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</si>
  <si>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</si>
  <si>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</si>
  <si>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</si>
  <si>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</si>
  <si>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</si>
  <si>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</si>
  <si>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</si>
  <si>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</si>
  <si>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</si>
  <si>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</si>
  <si>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</si>
  <si>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</si>
  <si>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</si>
  <si>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</si>
  <si>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</si>
  <si>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</si>
  <si>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</si>
  <si>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</si>
  <si>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</si>
  <si>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</si>
  <si>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</si>
  <si>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</si>
  <si>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</si>
  <si>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</si>
  <si>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</si>
  <si>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</si>
  <si>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</si>
  <si>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</si>
  <si>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</si>
  <si>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</si>
  <si>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</si>
  <si>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</si>
  <si>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</si>
  <si>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</si>
  <si>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</si>
  <si>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</si>
  <si>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</si>
  <si>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</si>
  <si>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</si>
  <si>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</si>
  <si>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</si>
  <si>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</si>
  <si>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</si>
  <si>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</si>
  <si>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</si>
  <si>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</si>
  <si>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</si>
  <si>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</si>
  <si>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</si>
  <si>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</si>
  <si>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</si>
  <si>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</si>
  <si>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</si>
  <si>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</si>
  <si>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</si>
  <si>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</si>
  <si>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</si>
  <si>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</si>
  <si>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</si>
  <si>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</si>
  <si>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</si>
  <si>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</si>
  <si>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</si>
  <si>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</si>
  <si>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</si>
  <si>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</si>
  <si>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</si>
  <si>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</si>
  <si>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</si>
  <si>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</si>
  <si>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</si>
  <si>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</si>
  <si>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</si>
  <si>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</si>
  <si>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</si>
  <si>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</si>
  <si>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</si>
  <si>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</si>
  <si>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</si>
  <si>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</si>
  <si>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</si>
  <si>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</si>
  <si>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</si>
  <si>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</si>
  <si>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</si>
  <si>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</si>
  <si>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</si>
  <si>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</si>
  <si>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</si>
  <si>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</si>
  <si>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</si>
  <si>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</si>
  <si>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</si>
  <si>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</si>
  <si>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</si>
  <si>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</si>
  <si>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</si>
  <si>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</si>
  <si>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</si>
  <si>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</si>
  <si>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</si>
  <si>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</si>
  <si>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</si>
  <si>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</si>
  <si>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</si>
  <si>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</si>
  <si>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</si>
  <si>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</si>
  <si>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</si>
  <si>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</si>
  <si>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</si>
  <si>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</si>
  <si>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</si>
  <si>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</si>
  <si>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</si>
  <si>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</si>
  <si>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</si>
  <si>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</si>
  <si>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</si>
  <si>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</si>
  <si>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</si>
  <si>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</si>
  <si>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</si>
  <si>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</si>
  <si>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</si>
  <si>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</si>
  <si>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</si>
  <si>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</si>
  <si>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</si>
  <si>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</si>
  <si>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</si>
  <si>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</si>
  <si>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</si>
  <si>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</si>
  <si>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</si>
  <si>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</si>
  <si>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</si>
  <si>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</si>
  <si>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</si>
  <si>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</si>
  <si>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</si>
  <si>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</si>
  <si>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</si>
  <si>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</si>
  <si>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</si>
  <si>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</si>
  <si>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</si>
  <si>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</si>
  <si>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</si>
  <si>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</si>
  <si>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</si>
  <si>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</si>
  <si>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</si>
  <si>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</si>
  <si>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</si>
  <si>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</si>
  <si>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</si>
  <si>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</si>
  <si>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</si>
  <si>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</si>
  <si>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</si>
  <si>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</si>
  <si>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</si>
  <si>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</si>
  <si>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</si>
  <si>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</si>
  <si>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</si>
  <si>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</si>
  <si>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</si>
  <si>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</si>
  <si>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</si>
  <si>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</si>
  <si>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</si>
  <si>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</si>
  <si>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</si>
  <si>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</si>
  <si>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</si>
  <si>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</si>
  <si>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</si>
  <si>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</si>
  <si>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</si>
  <si>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</si>
  <si>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</si>
  <si>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</si>
  <si>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</si>
  <si>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</si>
  <si>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</si>
  <si>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</si>
  <si>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</si>
  <si>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</si>
  <si>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</si>
  <si>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</si>
  <si>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</si>
  <si>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</si>
  <si>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</si>
  <si>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</si>
  <si>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</si>
  <si>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</si>
  <si>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</si>
  <si>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</si>
  <si>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</si>
  <si>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</si>
  <si>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</si>
  <si>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</si>
  <si>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</si>
  <si>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</si>
  <si>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</si>
  <si>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</si>
  <si>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</si>
  <si>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</si>
  <si>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</si>
  <si>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</si>
  <si>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</si>
  <si>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</si>
  <si>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</si>
  <si>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</si>
  <si>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</si>
  <si>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</si>
  <si>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</si>
  <si>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</si>
  <si>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</si>
  <si>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</si>
  <si>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</si>
  <si>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</si>
  <si>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</si>
  <si>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</si>
  <si>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</si>
  <si>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</si>
  <si>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</si>
  <si>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</si>
  <si>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</si>
  <si>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</si>
  <si>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</si>
  <si>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</si>
  <si>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</si>
  <si>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</si>
  <si>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</si>
  <si>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</si>
  <si>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</si>
  <si>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</si>
  <si>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</si>
  <si>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</si>
  <si>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</si>
  <si>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</si>
  <si>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</si>
  <si>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</si>
  <si>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</si>
  <si>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</si>
  <si>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</si>
  <si>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</si>
  <si>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</si>
  <si>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</si>
  <si>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</si>
  <si>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</si>
  <si>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</si>
  <si>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</si>
  <si>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</si>
  <si>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</si>
  <si>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</si>
  <si>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</si>
  <si>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</si>
  <si>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</si>
  <si>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</si>
  <si>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</si>
  <si>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</si>
  <si>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</si>
  <si>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</si>
  <si>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</si>
  <si>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</si>
  <si>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</si>
  <si>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</si>
  <si>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</si>
  <si>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</si>
  <si>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</si>
  <si>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</si>
  <si>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</si>
  <si>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</si>
  <si>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</si>
  <si>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</si>
  <si>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</si>
  <si>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</si>
  <si>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</si>
  <si>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</si>
  <si>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</si>
  <si>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</si>
  <si>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</si>
  <si>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</si>
  <si>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</si>
  <si>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</si>
  <si>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</si>
  <si>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</si>
  <si>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</si>
  <si>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</si>
  <si>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</si>
  <si>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</si>
  <si>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</si>
  <si>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</si>
  <si>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</si>
  <si>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</si>
  <si>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</si>
  <si>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</si>
  <si>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</si>
  <si>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</si>
  <si>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</si>
  <si>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</si>
  <si>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</si>
  <si>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</si>
  <si>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</si>
  <si>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Ⅹ-密2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</si>
  <si>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</si>
  <si>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</si>
  <si>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</si>
  <si>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</si>
  <si>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</si>
  <si>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</si>
  <si>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</si>
  <si>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</si>
  <si>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</si>
  <si>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</si>
  <si>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</si>
  <si>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</si>
  <si>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</si>
  <si>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</si>
  <si>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</si>
  <si>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</si>
  <si>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</si>
  <si>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</si>
  <si>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</si>
  <si>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</si>
  <si>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</si>
  <si>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</si>
  <si>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</si>
  <si>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</si>
  <si>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</si>
  <si>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</si>
  <si>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</si>
  <si>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</si>
  <si>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</si>
  <si>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</si>
  <si>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</si>
  <si>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</si>
  <si>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</si>
  <si>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</si>
  <si>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</si>
  <si>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</si>
  <si>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</si>
  <si>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</si>
  <si>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</si>
  <si>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</si>
  <si>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</si>
  <si>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</si>
  <si>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</si>
  <si>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</si>
  <si>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</si>
  <si>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</si>
  <si>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</si>
  <si>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</si>
  <si>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</si>
  <si>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</si>
  <si>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</si>
  <si>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</si>
  <si>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</si>
  <si>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</si>
  <si>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</si>
  <si>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</si>
  <si>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</si>
  <si>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</si>
  <si>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</si>
  <si>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</si>
  <si>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</si>
  <si>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</si>
  <si>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</si>
  <si>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</si>
  <si>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</si>
  <si>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</si>
  <si>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</si>
  <si>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</si>
  <si>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</si>
  <si>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</si>
  <si>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</si>
  <si>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</si>
  <si>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</si>
  <si>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</si>
  <si>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</si>
  <si>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</si>
  <si>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</si>
  <si>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</si>
  <si>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</si>
  <si>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</si>
  <si>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</si>
  <si>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</si>
  <si>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</si>
  <si>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</si>
  <si>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</si>
  <si>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</si>
  <si>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</si>
  <si>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</si>
  <si>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</si>
  <si>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</si>
  <si>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</si>
  <si>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</si>
  <si>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</si>
  <si>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</si>
  <si>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</si>
  <si>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</si>
  <si>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</si>
  <si>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</si>
  <si>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</si>
  <si>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</si>
  <si>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</si>
  <si>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</si>
  <si>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</si>
  <si>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</si>
  <si>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</si>
  <si>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</si>
  <si>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</si>
  <si>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</si>
  <si>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</si>
  <si>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</si>
  <si>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</si>
  <si>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</si>
  <si>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</si>
  <si>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</si>
  <si>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</si>
  <si>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</si>
  <si>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</si>
  <si>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</si>
  <si>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</si>
  <si>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</si>
  <si>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</si>
  <si>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</si>
  <si>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</si>
  <si>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</si>
  <si>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</si>
  <si>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</si>
  <si>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</si>
  <si>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</si>
  <si>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</si>
  <si>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</si>
  <si>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</si>
  <si>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</si>
  <si>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</si>
  <si>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</si>
  <si>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</si>
  <si>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</si>
  <si>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</si>
  <si>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</si>
  <si>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</si>
  <si>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</si>
  <si>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</si>
  <si>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</si>
  <si>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</si>
  <si>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</si>
  <si>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</si>
  <si>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</si>
  <si>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</si>
  <si>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</si>
  <si>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</si>
  <si>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</si>
  <si>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</si>
  <si>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</si>
  <si>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</si>
  <si>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</si>
  <si>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</si>
  <si>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</si>
  <si>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</si>
  <si>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</si>
  <si>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</si>
  <si>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</si>
  <si>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</si>
  <si>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</si>
  <si>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</si>
  <si>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</si>
  <si>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</si>
  <si>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</si>
  <si>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</si>
  <si>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</si>
  <si>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</si>
  <si>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</si>
  <si>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</si>
  <si>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</si>
  <si>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</si>
  <si>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</si>
  <si>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</si>
  <si>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</si>
  <si>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</si>
  <si>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</si>
  <si>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</si>
  <si>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</si>
  <si>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</si>
  <si>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</si>
  <si>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</si>
  <si>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</si>
  <si>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</si>
  <si>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</si>
  <si>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</si>
  <si>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</si>
  <si>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</si>
  <si>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</si>
  <si>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</si>
  <si>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</si>
  <si>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</si>
  <si>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</si>
  <si>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</si>
  <si>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</si>
  <si>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</si>
  <si>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</si>
  <si>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</si>
  <si>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</si>
  <si>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</si>
  <si>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</si>
  <si>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</si>
  <si>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</si>
  <si>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</si>
  <si>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</si>
  <si>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</si>
  <si>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</si>
  <si>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</si>
  <si>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</si>
  <si>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</si>
  <si>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</si>
  <si>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</si>
  <si>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</si>
  <si>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</si>
  <si>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</si>
  <si>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</si>
  <si>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</si>
  <si>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</si>
  <si>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</si>
  <si>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</si>
  <si>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</si>
  <si>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</si>
  <si>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</si>
  <si>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</si>
  <si>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</si>
  <si>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</si>
  <si>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</si>
  <si>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</si>
  <si>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</si>
  <si>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</si>
  <si>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</si>
  <si>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</si>
  <si>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</si>
  <si>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</si>
  <si>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</si>
  <si>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</si>
  <si>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</si>
  <si>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</si>
  <si>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</si>
  <si>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</si>
  <si>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</si>
  <si>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</si>
  <si>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</si>
  <si>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</si>
  <si>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</si>
  <si>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</si>
  <si>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</si>
  <si>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</si>
  <si>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</si>
  <si>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</si>
  <si>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</si>
  <si>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</si>
  <si>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</si>
  <si>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</si>
  <si>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</si>
  <si>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</si>
  <si>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</si>
  <si>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</si>
  <si>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</si>
  <si>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</si>
  <si>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</si>
  <si>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</si>
  <si>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</si>
  <si>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</si>
  <si>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</si>
  <si>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</si>
  <si>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</si>
  <si>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</si>
  <si>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</si>
  <si>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</si>
  <si>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</si>
  <si>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</si>
  <si>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</si>
  <si>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</si>
  <si>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</si>
  <si>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</si>
  <si>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</si>
  <si>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</si>
  <si>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</si>
  <si>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</si>
  <si>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</si>
  <si>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</si>
  <si>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</si>
  <si>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</si>
  <si>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</si>
  <si>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</si>
  <si>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</si>
  <si>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</si>
  <si>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</si>
  <si>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</si>
  <si>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</si>
  <si>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</si>
  <si>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</si>
  <si>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</si>
  <si>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车库补缴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</si>
  <si>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</si>
  <si>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</si>
  <si>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</si>
  <si>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</si>
  <si>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</si>
  <si>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</si>
  <si>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</si>
  <si>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</si>
  <si>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</si>
  <si>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</si>
  <si>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</si>
  <si>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</si>
  <si>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</si>
  <si>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</si>
  <si>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</si>
  <si>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</si>
  <si>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</si>
  <si>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</si>
  <si>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</si>
  <si>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</si>
  <si>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</si>
  <si>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</si>
  <si>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</si>
  <si>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</si>
  <si>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</si>
  <si>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</si>
  <si>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</si>
  <si>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</si>
  <si>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</si>
  <si>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</si>
  <si>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</si>
  <si>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</si>
  <si>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</si>
  <si>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</si>
  <si>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</si>
  <si>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</si>
  <si>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</si>
  <si>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</si>
  <si>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</si>
  <si>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</si>
  <si>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</si>
  <si>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</si>
  <si>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</si>
  <si>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</si>
  <si>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</si>
  <si>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</si>
  <si>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</si>
  <si>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</si>
  <si>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</si>
  <si>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</si>
  <si>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</si>
  <si>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</si>
  <si>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</si>
  <si>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</si>
  <si>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</si>
  <si>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</si>
  <si>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</si>
  <si>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</si>
  <si>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</si>
  <si>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</si>
  <si>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</si>
  <si>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</si>
  <si>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</si>
  <si>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</si>
  <si>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</si>
  <si>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</si>
  <si>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</si>
  <si>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</si>
  <si>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</si>
  <si>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</si>
  <si>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</si>
  <si>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</si>
  <si>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</si>
  <si>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</si>
  <si>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</si>
  <si>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</si>
  <si>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</si>
  <si>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</si>
  <si>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</si>
  <si>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</si>
  <si>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</si>
  <si>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</si>
  <si>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</si>
  <si>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</si>
  <si>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</si>
  <si>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</si>
  <si>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</si>
  <si>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</si>
  <si>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</si>
  <si>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</si>
  <si>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</si>
  <si>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</si>
  <si>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</si>
  <si>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</si>
  <si>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</si>
  <si>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</si>
  <si>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</si>
  <si>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</si>
  <si>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</si>
  <si>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</si>
  <si>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</si>
  <si>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</si>
  <si>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</si>
  <si>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</si>
  <si>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</si>
  <si>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</si>
  <si>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</si>
  <si>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</si>
  <si>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</si>
  <si>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</si>
  <si>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</si>
  <si>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</si>
  <si>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</si>
  <si>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</si>
  <si>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</si>
  <si>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</si>
  <si>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</si>
  <si>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</si>
  <si>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</si>
  <si>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</si>
  <si>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</si>
  <si>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</si>
  <si>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</si>
  <si>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</si>
  <si>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</si>
  <si>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</si>
  <si>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</si>
  <si>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</si>
  <si>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</si>
  <si>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</si>
  <si>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</si>
  <si>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</si>
  <si>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</si>
  <si>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</si>
  <si>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</si>
  <si>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</si>
  <si>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</si>
  <si>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</si>
  <si>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</si>
  <si>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</si>
  <si>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</si>
  <si>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</si>
  <si>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</si>
  <si>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</si>
  <si>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</si>
  <si>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</si>
  <si>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</si>
  <si>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</si>
  <si>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</si>
  <si>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</si>
  <si>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</si>
  <si>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</si>
  <si>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</si>
  <si>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</si>
  <si>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</si>
  <si>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</si>
  <si>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</si>
  <si>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</si>
  <si>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</si>
  <si>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</si>
  <si>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</si>
  <si>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</si>
  <si>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</si>
  <si>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</si>
  <si>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</si>
  <si>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</si>
  <si>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</si>
  <si>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</si>
  <si>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</si>
  <si>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</si>
  <si>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</si>
  <si>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</si>
  <si>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</si>
  <si>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</si>
  <si>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</si>
  <si>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</si>
  <si>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</si>
  <si>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</si>
  <si>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</si>
  <si>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</si>
  <si>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</si>
  <si>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</si>
  <si>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</si>
  <si>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</si>
  <si>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</si>
  <si>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</si>
  <si>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</si>
  <si>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</si>
  <si>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</si>
  <si>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</si>
  <si>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</si>
  <si>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</si>
  <si>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</si>
  <si>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</si>
  <si>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</si>
  <si>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</si>
  <si>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</si>
  <si>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</si>
  <si>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</si>
  <si>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</si>
  <si>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</si>
  <si>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</si>
  <si>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</si>
  <si>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</si>
  <si>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</si>
  <si>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</si>
  <si>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</si>
  <si>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</si>
  <si>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</si>
  <si>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</si>
  <si>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</si>
  <si>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</si>
  <si>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</si>
  <si>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</si>
  <si>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</si>
  <si>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t>国祥源境</t>
  </si>
  <si>
    <t>国祥云著</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</si>
  <si>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</si>
  <si>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</si>
  <si>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</si>
  <si>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</si>
  <si>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</si>
  <si>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</si>
  <si>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</si>
  <si>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</si>
  <si>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</si>
  <si>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</si>
  <si>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</si>
  <si>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</si>
  <si>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</si>
  <si>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</si>
  <si>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</si>
  <si>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</si>
  <si>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</si>
  <si>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</si>
  <si>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</si>
  <si>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</si>
  <si>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</si>
  <si>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</si>
  <si>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</si>
  <si>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</si>
  <si>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</si>
  <si>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</si>
  <si>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</si>
  <si>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</si>
  <si>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</si>
  <si>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双面临街</t>
  </si>
  <si>
    <t>多面临街</t>
  </si>
  <si>
    <r>
      <rPr>
        <sz val="11"/>
        <color indexed="8"/>
        <rFont val="仿宋_GB2312"/>
        <charset val="134"/>
      </rPr>
      <t>毗邻道路的类型与等级</t>
    </r>
  </si>
  <si>
    <t>主干道</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</si>
  <si>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</si>
  <si>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</si>
  <si>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</si>
  <si>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</si>
  <si>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</si>
  <si>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</si>
  <si>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</si>
  <si>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</si>
  <si>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</si>
  <si>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</si>
  <si>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</si>
  <si>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</si>
  <si>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</si>
  <si>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</si>
  <si>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</si>
  <si>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</si>
  <si>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</si>
  <si>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</si>
  <si>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</si>
  <si>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</si>
  <si>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</si>
  <si>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</si>
  <si>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</si>
  <si>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</si>
  <si>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</si>
  <si>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</si>
  <si>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</si>
  <si>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</si>
  <si>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</si>
  <si>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</si>
  <si>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</si>
  <si>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</si>
  <si>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</si>
  <si>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</si>
  <si>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</si>
  <si>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</si>
  <si>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</si>
  <si>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</si>
  <si>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</si>
  <si>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</si>
  <si>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</si>
  <si>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</si>
  <si>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</si>
  <si>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</si>
  <si>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</si>
  <si>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</si>
  <si>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</si>
  <si>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</si>
  <si>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</si>
  <si>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</si>
  <si>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</si>
  <si>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</si>
  <si>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</si>
  <si>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</si>
  <si>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</si>
  <si>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较不规则</t>
  </si>
  <si>
    <t>不规则</t>
  </si>
  <si>
    <t>好</t>
  </si>
  <si>
    <t>差</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</si>
  <si>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</si>
  <si>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</si>
  <si>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</si>
  <si>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</si>
  <si>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</si>
  <si>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</si>
  <si>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</si>
  <si>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</si>
  <si>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</si>
  <si>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</si>
  <si>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</si>
  <si>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</si>
  <si>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</si>
  <si>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</si>
  <si>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</si>
  <si>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</si>
  <si>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</si>
  <si>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</si>
  <si>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</si>
  <si>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</si>
  <si>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</si>
  <si>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</si>
  <si>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</si>
  <si>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</si>
  <si>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</si>
  <si>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</si>
  <si>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</si>
  <si>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</si>
  <si>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</si>
  <si>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</si>
  <si>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</si>
  <si>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</si>
  <si>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</si>
  <si>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</si>
  <si>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</si>
  <si>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</si>
  <si>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</si>
  <si>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</si>
  <si>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</si>
  <si>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</si>
  <si>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</si>
  <si>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</si>
  <si>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</si>
  <si>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</si>
  <si>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</si>
  <si>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</si>
  <si>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</si>
  <si>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</si>
  <si>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</si>
  <si>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</si>
  <si>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</si>
  <si>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</si>
  <si>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</si>
  <si>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</si>
  <si>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</si>
  <si>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</si>
  <si>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</si>
  <si>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</si>
  <si>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</si>
  <si>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</si>
  <si>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</si>
  <si>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</si>
  <si>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</si>
  <si>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</si>
  <si>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</si>
  <si>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</si>
  <si>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</si>
  <si>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</si>
  <si>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</si>
  <si>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</si>
  <si>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</si>
  <si>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</si>
  <si>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</si>
  <si>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</si>
  <si>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</si>
  <si>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</si>
  <si>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</si>
  <si>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</si>
  <si>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</si>
  <si>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</si>
  <si>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</si>
  <si>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</si>
  <si>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</si>
  <si>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</si>
  <si>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</si>
  <si>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</si>
  <si>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</si>
  <si>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</si>
  <si>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</si>
  <si>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</si>
  <si>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</si>
  <si>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</si>
  <si>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</si>
  <si>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</si>
  <si>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</si>
  <si>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</si>
  <si>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</si>
  <si>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</si>
  <si>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</si>
  <si>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</si>
  <si>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</si>
  <si>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</si>
  <si>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</si>
  <si>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</si>
  <si>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</si>
  <si>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</si>
  <si>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</si>
  <si>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</si>
  <si>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</si>
  <si>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</si>
  <si>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</si>
  <si>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</si>
  <si>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</si>
  <si>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</si>
  <si>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</si>
  <si>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</si>
  <si>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</si>
  <si>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</si>
  <si>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</si>
  <si>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</si>
  <si>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</si>
  <si>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</si>
  <si>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</si>
  <si>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</si>
  <si>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</si>
  <si>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</si>
  <si>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</si>
  <si>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</si>
  <si>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</si>
  <si>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</si>
  <si>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</si>
  <si>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</si>
  <si>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</si>
  <si>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</si>
  <si>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</si>
  <si>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</si>
  <si>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</si>
  <si>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</si>
  <si>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</si>
  <si>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</si>
  <si>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</si>
  <si>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</si>
  <si>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</si>
  <si>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</si>
  <si>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</si>
  <si>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</si>
  <si>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</si>
  <si>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</si>
  <si>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</si>
  <si>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</si>
  <si>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</si>
  <si>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</si>
  <si>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</si>
  <si>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</si>
  <si>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</si>
  <si>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</si>
  <si>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</si>
  <si>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</si>
  <si>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</si>
  <si>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</si>
  <si>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</si>
  <si>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</si>
  <si>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</si>
  <si>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</si>
  <si>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</si>
  <si>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</si>
  <si>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</si>
  <si>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</si>
  <si>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</si>
  <si>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</si>
  <si>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</si>
  <si>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</si>
  <si>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</si>
  <si>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</si>
  <si>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</si>
  <si>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</si>
  <si>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</si>
  <si>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</si>
  <si>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</si>
  <si>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</si>
  <si>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</si>
  <si>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</si>
  <si>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</si>
  <si>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</si>
  <si>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</si>
  <si>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</si>
  <si>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</si>
  <si>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</si>
  <si>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</si>
  <si>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</si>
  <si>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</si>
  <si>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</si>
  <si>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</si>
  <si>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</si>
  <si>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</si>
  <si>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</si>
  <si>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</si>
  <si>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</si>
  <si>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</si>
  <si>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</si>
  <si>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</si>
  <si>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</si>
  <si>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</si>
  <si>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</si>
  <si>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</si>
  <si>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</si>
  <si>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</si>
  <si>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</si>
  <si>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</si>
  <si>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</si>
  <si>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</si>
  <si>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</si>
  <si>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</si>
  <si>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</si>
  <si>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</si>
  <si>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</si>
  <si>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</si>
  <si>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</si>
  <si>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</si>
  <si>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</si>
  <si>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</si>
  <si>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</si>
  <si>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</si>
  <si>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</si>
  <si>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</si>
  <si>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</si>
  <si>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</si>
  <si>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</si>
  <si>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</si>
  <si>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</si>
  <si>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</si>
  <si>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</si>
  <si>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</si>
  <si>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</si>
  <si>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</si>
  <si>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</si>
  <si>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</si>
  <si>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</si>
  <si>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</si>
  <si>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</si>
  <si>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</si>
  <si>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</si>
  <si>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</si>
  <si>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</si>
  <si>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</si>
  <si>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</si>
  <si>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</si>
  <si>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</si>
  <si>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</si>
  <si>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</si>
  <si>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</si>
  <si>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</si>
  <si>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</si>
  <si>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</si>
  <si>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</si>
  <si>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</si>
  <si>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</si>
  <si>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</si>
  <si>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</si>
  <si>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</si>
  <si>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</si>
  <si>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</si>
  <si>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</si>
  <si>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</si>
  <si>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</si>
  <si>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</si>
  <si>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</si>
  <si>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</si>
  <si>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</si>
  <si>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</si>
  <si>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</si>
  <si>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</si>
  <si>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</si>
  <si>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</si>
  <si>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</si>
  <si>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</si>
  <si>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</si>
  <si>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</si>
  <si>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</si>
  <si>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</si>
  <si>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</si>
  <si>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</si>
  <si>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</si>
  <si>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</si>
  <si>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</si>
  <si>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</si>
  <si>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</si>
  <si>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</si>
  <si>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</si>
  <si>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</si>
  <si>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</si>
  <si>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</si>
  <si>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</si>
  <si>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</si>
  <si>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</si>
  <si>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</si>
  <si>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</si>
  <si>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</si>
  <si>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</si>
  <si>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</si>
  <si>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</si>
  <si>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</si>
  <si>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</si>
  <si>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</si>
  <si>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</si>
  <si>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</si>
  <si>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</si>
  <si>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</si>
  <si>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</si>
  <si>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</si>
  <si>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</si>
  <si>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</si>
  <si>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</si>
  <si>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</si>
  <si>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</si>
  <si>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</si>
  <si>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</si>
  <si>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</si>
  <si>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</si>
  <si>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</si>
  <si>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</si>
  <si>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</si>
  <si>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</si>
  <si>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</si>
  <si>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</si>
  <si>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</si>
  <si>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</si>
  <si>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</si>
  <si>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</si>
  <si>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</si>
  <si>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</si>
  <si>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</si>
  <si>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</si>
  <si>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</si>
  <si>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</si>
  <si>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</si>
  <si>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</si>
  <si>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</si>
  <si>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</si>
  <si>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</si>
  <si>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</si>
  <si>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</si>
  <si>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</si>
  <si>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</si>
  <si>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</si>
  <si>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</si>
  <si>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</si>
  <si>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</si>
  <si>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</si>
  <si>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</si>
  <si>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</si>
  <si>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</si>
  <si>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</si>
  <si>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</si>
  <si>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</si>
  <si>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</si>
  <si>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</si>
  <si>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</si>
  <si>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</si>
  <si>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</si>
  <si>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</si>
  <si>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</si>
  <si>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</si>
  <si>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</si>
  <si>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</si>
  <si>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</si>
  <si>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</si>
  <si>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</si>
  <si>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</si>
  <si>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</si>
  <si>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</si>
  <si>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</si>
  <si>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</si>
  <si>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</si>
  <si>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</si>
  <si>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</si>
  <si>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</si>
  <si>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</si>
  <si>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</si>
  <si>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</si>
  <si>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</si>
  <si>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</si>
  <si>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</si>
  <si>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</si>
  <si>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</si>
  <si>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</si>
  <si>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</si>
  <si>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</si>
  <si>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</si>
  <si>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</si>
  <si>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</si>
  <si>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</si>
  <si>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</si>
  <si>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</si>
  <si>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</si>
  <si>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</si>
  <si>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</si>
  <si>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</si>
  <si>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</si>
  <si>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</si>
  <si>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</si>
  <si>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</si>
  <si>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</si>
  <si>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</si>
  <si>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</si>
  <si>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</si>
  <si>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</si>
  <si>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</si>
  <si>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</si>
  <si>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</si>
  <si>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</si>
  <si>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</si>
  <si>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</si>
  <si>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</si>
  <si>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</si>
  <si>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</si>
  <si>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</si>
  <si>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</si>
  <si>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</si>
  <si>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</si>
  <si>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</si>
  <si>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</si>
  <si>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</si>
  <si>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</si>
  <si>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</si>
  <si>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</si>
  <si>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</si>
  <si>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</si>
  <si>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</si>
  <si>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</si>
  <si>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</si>
  <si>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</si>
  <si>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</si>
  <si>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</si>
  <si>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</si>
  <si>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</si>
  <si>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</si>
  <si>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</si>
  <si>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</si>
  <si>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</si>
  <si>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</si>
  <si>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</si>
  <si>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</si>
  <si>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</si>
  <si>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</si>
  <si>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</si>
  <si>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</si>
  <si>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</si>
  <si>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</si>
  <si>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</si>
  <si>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</si>
  <si>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</si>
  <si>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</si>
  <si>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</si>
  <si>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</si>
  <si>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</si>
  <si>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</si>
  <si>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</si>
  <si>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</si>
  <si>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</si>
  <si>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</si>
  <si>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</si>
  <si>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</si>
  <si>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</si>
  <si>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</si>
  <si>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</si>
  <si>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</si>
  <si>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</si>
  <si>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</si>
  <si>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</si>
  <si>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</si>
  <si>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</si>
  <si>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</si>
  <si>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</si>
  <si>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</si>
  <si>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</si>
  <si>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</si>
  <si>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</si>
  <si>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</si>
  <si>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</si>
  <si>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</si>
  <si>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</si>
  <si>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</si>
  <si>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</si>
  <si>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</si>
  <si>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</si>
  <si>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</si>
  <si>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</si>
  <si>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</si>
  <si>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</si>
  <si>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</si>
  <si>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</si>
  <si>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</si>
  <si>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</si>
  <si>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</si>
  <si>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</si>
  <si>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</si>
  <si>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</si>
  <si>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</si>
  <si>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</si>
  <si>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</si>
  <si>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</si>
  <si>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</si>
  <si>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</si>
  <si>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</si>
  <si>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</si>
  <si>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</si>
  <si>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</si>
  <si>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</si>
  <si>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</si>
  <si>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</si>
  <si>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</si>
  <si>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</si>
  <si>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</si>
  <si>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</si>
  <si>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</si>
  <si>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</si>
  <si>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</si>
  <si>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</si>
  <si>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</si>
  <si>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</si>
  <si>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</si>
  <si>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</si>
  <si>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</si>
  <si>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</si>
  <si>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</si>
  <si>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</si>
  <si>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</si>
  <si>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</si>
  <si>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</si>
  <si>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</si>
  <si>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</si>
  <si>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</si>
  <si>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</si>
  <si>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</si>
  <si>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</si>
  <si>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</si>
  <si>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</si>
  <si>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</si>
  <si>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</si>
  <si>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</si>
  <si>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</si>
  <si>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</si>
  <si>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</si>
  <si>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</si>
  <si>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</si>
  <si>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</si>
  <si>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</si>
  <si>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</si>
  <si>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</si>
  <si>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</si>
  <si>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</si>
  <si>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</si>
  <si>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</si>
  <si>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</si>
  <si>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</si>
  <si>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</si>
  <si>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</si>
  <si>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</si>
  <si>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</si>
  <si>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</si>
  <si>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</si>
  <si>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</si>
  <si>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</si>
  <si>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</si>
  <si>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</si>
  <si>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</si>
  <si>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</si>
  <si>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</si>
  <si>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</si>
  <si>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</si>
  <si>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</si>
  <si>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</si>
  <si>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</si>
  <si>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</si>
  <si>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</si>
  <si>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</si>
  <si>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</si>
  <si>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</si>
  <si>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</si>
  <si>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</si>
  <si>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</si>
  <si>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</si>
  <si>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</si>
  <si>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</si>
  <si>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</si>
  <si>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</si>
  <si>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</si>
  <si>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</si>
  <si>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</si>
  <si>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</si>
  <si>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</si>
  <si>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</si>
  <si>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</si>
  <si>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</si>
  <si>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</si>
  <si>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</si>
  <si>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</si>
  <si>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</si>
  <si>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</si>
  <si>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</si>
  <si>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</si>
  <si>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</si>
  <si>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</si>
  <si>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</si>
  <si>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</si>
  <si>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</si>
  <si>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</si>
  <si>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</si>
  <si>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</si>
  <si>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</si>
  <si>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</si>
  <si>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</si>
  <si>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</si>
  <si>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</si>
  <si>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</si>
  <si>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</si>
  <si>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</si>
  <si>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</si>
  <si>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</si>
  <si>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</si>
  <si>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</si>
  <si>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</si>
  <si>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</si>
  <si>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</si>
  <si>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</si>
  <si>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</si>
  <si>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</si>
  <si>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</si>
  <si>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</si>
  <si>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</si>
  <si>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</si>
  <si>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</si>
  <si>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</si>
  <si>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</si>
  <si>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</si>
  <si>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</si>
  <si>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</si>
  <si>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</si>
  <si>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</si>
  <si>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</si>
  <si>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</si>
  <si>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</si>
  <si>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</si>
  <si>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</si>
  <si>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</si>
  <si>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</si>
  <si>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</si>
  <si>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</si>
  <si>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</si>
  <si>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</si>
  <si>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</si>
  <si>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</si>
  <si>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</si>
  <si>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</si>
  <si>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</si>
  <si>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</si>
  <si>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</si>
  <si>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</si>
  <si>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</si>
  <si>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</si>
  <si>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</si>
  <si>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</si>
  <si>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</si>
  <si>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</si>
  <si>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</si>
  <si>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</si>
  <si>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</si>
  <si>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</si>
  <si>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</si>
  <si>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</si>
  <si>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</si>
  <si>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</si>
  <si>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</si>
  <si>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</si>
  <si>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</si>
  <si>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</si>
  <si>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</si>
  <si>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</si>
  <si>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</si>
  <si>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</si>
  <si>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</si>
  <si>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</si>
  <si>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</si>
  <si>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</si>
  <si>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</si>
  <si>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</si>
  <si>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</si>
  <si>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</si>
  <si>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</si>
  <si>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</si>
  <si>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</si>
  <si>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</si>
  <si>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</si>
  <si>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</si>
  <si>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</si>
  <si>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</si>
  <si>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</si>
  <si>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</si>
  <si>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</si>
  <si>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</si>
  <si>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</si>
  <si>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</si>
  <si>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</si>
  <si>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</si>
  <si>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</si>
  <si>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</si>
  <si>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</si>
  <si>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</si>
  <si>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</si>
  <si>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</si>
  <si>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</si>
  <si>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</si>
  <si>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</si>
  <si>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</si>
  <si>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</si>
  <si>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</si>
  <si>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</si>
  <si>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</si>
  <si>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</si>
  <si>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</si>
  <si>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</si>
  <si>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</si>
  <si>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</si>
  <si>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</si>
  <si>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</si>
  <si>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</si>
  <si>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</si>
  <si>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</si>
  <si>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</si>
  <si>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</si>
  <si>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</si>
  <si>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</si>
  <si>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</si>
  <si>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</si>
  <si>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</si>
  <si>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</si>
  <si>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</si>
  <si>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</si>
  <si>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</si>
  <si>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</si>
  <si>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</si>
  <si>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</si>
  <si>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</si>
  <si>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</si>
  <si>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</si>
  <si>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</si>
  <si>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</si>
  <si>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</si>
  <si>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</si>
  <si>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</si>
  <si>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</si>
  <si>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</si>
  <si>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</si>
  <si>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</si>
  <si>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</si>
  <si>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</si>
  <si>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</si>
  <si>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</si>
  <si>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</si>
  <si>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</si>
  <si>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</si>
  <si>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</si>
  <si>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</si>
  <si>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</si>
  <si>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</si>
  <si>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</si>
  <si>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</si>
  <si>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</si>
  <si>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</si>
  <si>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</si>
  <si>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</si>
  <si>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</si>
  <si>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</si>
  <si>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</si>
  <si>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</si>
  <si>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</si>
  <si>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</si>
  <si>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</si>
  <si>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</si>
  <si>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</si>
  <si>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</si>
  <si>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</si>
  <si>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</si>
  <si>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</si>
  <si>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</si>
  <si>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</si>
  <si>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</si>
  <si>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</si>
  <si>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</si>
  <si>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</si>
  <si>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</si>
  <si>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</si>
  <si>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</si>
  <si>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</si>
  <si>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</si>
  <si>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</si>
  <si>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</si>
  <si>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</si>
  <si>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</si>
  <si>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</si>
  <si>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</si>
  <si>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</si>
  <si>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</si>
  <si>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</si>
  <si>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</si>
  <si>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</si>
  <si>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</si>
  <si>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</si>
  <si>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</si>
  <si>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</si>
  <si>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</si>
  <si>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</si>
  <si>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</si>
  <si>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</si>
  <si>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</si>
  <si>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</si>
  <si>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</si>
  <si>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</si>
  <si>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</si>
  <si>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</si>
  <si>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</si>
  <si>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</si>
  <si>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</si>
  <si>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</si>
  <si>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</si>
  <si>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</si>
  <si>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</si>
  <si>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</si>
  <si>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</si>
  <si>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</si>
  <si>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</si>
  <si>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</si>
  <si>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</si>
  <si>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</si>
  <si>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</si>
  <si>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</si>
  <si>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</si>
  <si>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</si>
  <si>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</si>
  <si>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</si>
  <si>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</si>
  <si>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</si>
  <si>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</si>
  <si>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</si>
  <si>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</si>
  <si>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</si>
  <si>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</si>
  <si>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</si>
  <si>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</si>
  <si>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</si>
  <si>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</si>
  <si>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</si>
  <si>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</si>
  <si>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</si>
  <si>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</si>
  <si>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</si>
  <si>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</si>
  <si>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</si>
  <si>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</si>
  <si>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</si>
  <si>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</si>
  <si>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</si>
  <si>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</si>
  <si>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</si>
  <si>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</si>
  <si>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</si>
  <si>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</si>
  <si>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</si>
  <si>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</si>
  <si>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</si>
  <si>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</si>
  <si>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</si>
  <si>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</si>
  <si>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</si>
  <si>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</si>
  <si>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</si>
  <si>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</si>
  <si>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</si>
  <si>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</si>
  <si>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</si>
  <si>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</si>
  <si>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</si>
  <si>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</si>
  <si>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</si>
  <si>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</si>
  <si>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</si>
  <si>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</si>
  <si>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</si>
  <si>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</si>
  <si>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</si>
  <si>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</si>
  <si>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</si>
  <si>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</si>
  <si>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</si>
  <si>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</si>
  <si>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</si>
  <si>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</si>
  <si>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</si>
  <si>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</si>
  <si>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</si>
  <si>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</si>
  <si>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</si>
  <si>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</si>
  <si>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</si>
  <si>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</si>
  <si>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</si>
  <si>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</si>
  <si>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</si>
  <si>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</si>
  <si>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</si>
  <si>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</si>
  <si>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</si>
  <si>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</si>
  <si>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</si>
  <si>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</si>
  <si>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</si>
  <si>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</si>
  <si>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</si>
  <si>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</si>
  <si>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</si>
  <si>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</si>
  <si>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</si>
  <si>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</si>
  <si>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</si>
  <si>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</si>
  <si>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</si>
  <si>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</si>
  <si>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</si>
  <si>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</si>
  <si>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</si>
  <si>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</si>
  <si>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</si>
  <si>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</si>
  <si>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</si>
  <si>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</si>
  <si>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</si>
  <si>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</si>
  <si>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</si>
  <si>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</si>
  <si>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</si>
  <si>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</si>
  <si>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</si>
  <si>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</si>
  <si>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</si>
  <si>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</si>
  <si>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</si>
  <si>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</si>
  <si>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</si>
  <si>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</si>
  <si>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</si>
  <si>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</si>
  <si>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</si>
  <si>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</si>
  <si>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</si>
  <si>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</si>
  <si>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</si>
  <si>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</si>
  <si>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</si>
  <si>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</si>
  <si>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</si>
  <si>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</si>
  <si>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</si>
  <si>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</si>
  <si>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</si>
  <si>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</si>
  <si>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</si>
  <si>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</si>
  <si>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</si>
  <si>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</si>
  <si>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</si>
  <si>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</si>
  <si>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</si>
  <si>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</si>
  <si>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</si>
  <si>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</si>
  <si>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</si>
  <si>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</si>
  <si>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</si>
  <si>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</si>
  <si>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</si>
  <si>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</si>
  <si>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</si>
  <si>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</si>
  <si>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</si>
  <si>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</si>
  <si>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</si>
  <si>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</si>
  <si>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</si>
  <si>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</si>
  <si>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</si>
  <si>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</si>
  <si>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</si>
  <si>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</si>
  <si>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</si>
  <si>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</si>
  <si>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</si>
  <si>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</si>
  <si>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</si>
  <si>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</si>
  <si>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</si>
  <si>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</si>
  <si>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</si>
  <si>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</si>
  <si>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</si>
  <si>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</si>
  <si>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</si>
  <si>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</si>
  <si>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</si>
  <si>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</si>
  <si>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</si>
  <si>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</si>
  <si>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</si>
  <si>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</si>
  <si>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</si>
  <si>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</si>
  <si>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</si>
  <si>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</si>
  <si>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</si>
  <si>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</si>
  <si>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</si>
  <si>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</si>
  <si>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</si>
  <si>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</si>
  <si>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</si>
  <si>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</si>
  <si>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</si>
  <si>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</si>
  <si>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</si>
  <si>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</si>
  <si>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</si>
  <si>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</si>
  <si>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</si>
  <si>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</si>
  <si>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</si>
  <si>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</si>
  <si>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</si>
  <si>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</si>
  <si>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</si>
  <si>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</si>
  <si>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</si>
  <si>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</si>
  <si>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</si>
  <si>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</si>
  <si>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</si>
  <si>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</si>
  <si>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</si>
  <si>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</si>
  <si>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</si>
  <si>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</si>
  <si>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</si>
  <si>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</si>
  <si>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</si>
  <si>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</si>
  <si>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</si>
  <si>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</si>
  <si>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</si>
  <si>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</si>
  <si>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</si>
  <si>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</si>
  <si>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</si>
  <si>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</si>
  <si>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</si>
  <si>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</si>
  <si>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</si>
  <si>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</si>
  <si>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</si>
  <si>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</si>
  <si>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</si>
  <si>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</si>
  <si>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</si>
  <si>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</si>
  <si>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</si>
  <si>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</si>
  <si>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</si>
  <si>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</si>
  <si>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</si>
  <si>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</si>
  <si>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</si>
  <si>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</si>
  <si>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</si>
  <si>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</si>
  <si>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</si>
  <si>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</si>
  <si>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</si>
  <si>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</si>
  <si>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</si>
  <si>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</si>
  <si>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</si>
  <si>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</si>
  <si>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</si>
  <si>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</si>
  <si>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</si>
  <si>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</si>
  <si>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</si>
  <si>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</si>
  <si>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</si>
  <si>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</si>
  <si>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</si>
  <si>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</si>
  <si>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</si>
  <si>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</si>
  <si>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</si>
  <si>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</si>
  <si>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</si>
  <si>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</si>
  <si>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</si>
  <si>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</si>
  <si>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</si>
  <si>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</si>
  <si>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</si>
  <si>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</si>
  <si>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</si>
  <si>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</si>
  <si>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</si>
  <si>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</si>
  <si>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</si>
  <si>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</si>
  <si>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</si>
  <si>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</si>
  <si>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</si>
  <si>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</si>
  <si>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</si>
  <si>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</si>
  <si>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</si>
  <si>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</si>
  <si>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</si>
  <si>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</si>
  <si>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</si>
  <si>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</si>
  <si>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</si>
  <si>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</si>
  <si>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</si>
  <si>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</si>
  <si>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</si>
  <si>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</si>
  <si>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</si>
  <si>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</si>
  <si>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</si>
  <si>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</si>
  <si>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</si>
  <si>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</si>
  <si>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</si>
  <si>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</si>
  <si>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</si>
  <si>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</si>
  <si>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</si>
  <si>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</si>
  <si>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</si>
  <si>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</si>
  <si>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</si>
  <si>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</si>
  <si>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</si>
  <si>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</si>
  <si>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</si>
  <si>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</si>
  <si>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</si>
  <si>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</si>
  <si>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</si>
  <si>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</si>
  <si>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</si>
  <si>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</si>
  <si>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</si>
  <si>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</si>
  <si>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</si>
  <si>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</si>
  <si>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</si>
  <si>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</si>
  <si>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</si>
  <si>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</si>
  <si>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</si>
  <si>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</si>
  <si>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</si>
  <si>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</si>
  <si>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</si>
  <si>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</si>
  <si>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</si>
  <si>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</si>
  <si>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</si>
  <si>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</si>
  <si>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</si>
  <si>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</si>
  <si>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</si>
  <si>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</si>
  <si>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</si>
  <si>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</si>
  <si>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</si>
  <si>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</si>
  <si>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</si>
  <si>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</si>
  <si>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</si>
  <si>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</si>
  <si>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</si>
  <si>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</si>
  <si>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</si>
  <si>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</si>
  <si>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</si>
  <si>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</si>
  <si>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</si>
  <si>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</si>
  <si>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</si>
  <si>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</si>
  <si>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</si>
  <si>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</si>
  <si>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</si>
  <si>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</si>
  <si>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</si>
  <si>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</si>
  <si>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</si>
  <si>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</si>
  <si>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</si>
  <si>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</si>
  <si>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</si>
  <si>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</si>
  <si>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</si>
  <si>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</si>
  <si>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</si>
  <si>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</si>
  <si>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</si>
  <si>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</si>
  <si>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</si>
  <si>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</si>
  <si>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</si>
  <si>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</si>
  <si>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</si>
  <si>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</si>
  <si>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</si>
  <si>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</si>
  <si>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</si>
  <si>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</si>
  <si>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</si>
  <si>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</si>
  <si>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</si>
  <si>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</si>
  <si>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</si>
  <si>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</si>
  <si>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</si>
  <si>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</si>
  <si>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</si>
  <si>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</si>
  <si>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</si>
  <si>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</si>
  <si>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</si>
  <si>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</si>
  <si>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</si>
  <si>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</si>
  <si>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</si>
  <si>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</si>
  <si>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</si>
  <si>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</si>
  <si>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</si>
  <si>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</si>
  <si>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</si>
  <si>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</si>
  <si>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</si>
  <si>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</si>
  <si>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</si>
  <si>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</si>
  <si>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</si>
  <si>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</si>
  <si>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</si>
  <si>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</si>
  <si>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</si>
  <si>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</si>
  <si>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</si>
  <si>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详细规划</t>
  </si>
  <si>
    <t>集中供地</t>
  </si>
  <si>
    <t>商业比例(%)</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</si>
  <si>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</si>
  <si>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</si>
  <si>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</si>
  <si>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</si>
  <si>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</si>
  <si>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</si>
  <si>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</si>
  <si>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</si>
  <si>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</si>
  <si>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</si>
  <si>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</si>
  <si>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</si>
  <si>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</si>
  <si>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触达限地价</t>
  </si>
  <si>
    <t>限售价(均价)(元/㎡)</t>
  </si>
  <si>
    <t>楼面价上限(元/㎡)</t>
  </si>
  <si>
    <t>政府指导价(元/㎡)</t>
  </si>
  <si>
    <t>北京市怀柔区雁栖镇、怀北镇02-01、02-02、02-03、02-04、02-05、02-06、02-07、02-08、02-09地块F1住宅混合公建用地(怀柔雁栖小镇B区土地一级开发项目)</t>
  </si>
  <si>
    <t>京土储挂(怀)[2023]055号</t>
  </si>
  <si>
    <t xml:space="preserve"> 住宅用地</t>
  </si>
  <si>
    <t xml:space="preserve"> ≤1.09</t>
  </si>
  <si>
    <t xml:space="preserve"> 挂牌</t>
  </si>
  <si>
    <t xml:space="preserve"> F1住宅混合公建用地</t>
  </si>
  <si>
    <t xml:space="preserve">-- </t>
  </si>
  <si>
    <t xml:space="preserve"> -- </t>
  </si>
  <si>
    <t xml:space="preserve"> 已成交</t>
  </si>
  <si>
    <t xml:space="preserve"> 北京怀柔科学城置业有限公司  </t>
  </si>
  <si>
    <t>2023-11-01 15:00</t>
  </si>
  <si>
    <t xml:space="preserve"> 居住70年商业40年办公50年</t>
  </si>
  <si>
    <t xml:space="preserve"> 未触达</t>
  </si>
  <si>
    <t>北京市密云区水源路南侧C-2地块土地一级开发项目MY00-0105-6038、6040地块R2二类居住用地</t>
  </si>
  <si>
    <t>京土储挂(密)[2023]049号</t>
  </si>
  <si>
    <t xml:space="preserve"> 城镇住宅-普通商品住房用地</t>
  </si>
  <si>
    <t xml:space="preserve"> 北京祥业房地产有限公司  </t>
  </si>
  <si>
    <t>2023-10-04 15:00</t>
  </si>
  <si>
    <t xml:space="preserve"> 70年</t>
  </si>
  <si>
    <t xml:space="preserve"> --</t>
  </si>
  <si>
    <t>北京市密云区十里堡镇王各庄棚户区改造项目MY00-0500-0001地块R2二类居住用地</t>
  </si>
  <si>
    <t>京土储挂(密)[2022]058号</t>
  </si>
  <si>
    <t xml:space="preserve"> R2二类居住用地</t>
  </si>
  <si>
    <t xml:space="preserve">2022年第3批次 </t>
  </si>
  <si>
    <t xml:space="preserve"> 北京住总置业有限公司 、北京密云城市建设投资集团有限公司 、北京建工地产有限责任公司 、北京众智房地产开发有限公司  </t>
  </si>
  <si>
    <t>2022-09-21 15:00</t>
  </si>
  <si>
    <t xml:space="preserve"> 住宅70年</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</si>
  <si>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</si>
  <si>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</si>
  <si>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</si>
  <si>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</si>
  <si>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</si>
  <si>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</si>
  <si>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</si>
  <si>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</si>
  <si>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</si>
  <si>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北京怀柔科学城建设发展有限公司  </t>
  </si>
  <si>
    <t>2022-02-15 15:00</t>
  </si>
  <si>
    <t xml:space="preserve"> 住宅70年、办公50年</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</si>
  <si>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</si>
  <si>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</si>
  <si>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</si>
  <si>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</si>
  <si>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2021-12-23 15:00</t>
  </si>
  <si>
    <t xml:space="preserve"> 居住70年,商业40年,办公53年</t>
  </si>
  <si>
    <t>北京市密云区檀营乡6005地块R2二类居住用地</t>
  </si>
  <si>
    <t>京土整储挂(密)[2021]026号</t>
  </si>
  <si>
    <t xml:space="preserve"> ≤2.0</t>
  </si>
  <si>
    <t xml:space="preserve">2021年第1批次 </t>
  </si>
  <si>
    <t xml:space="preserve"> 北京祥业房地产有限公司 、北京首都开发股份有限公司 、北京兴添咨询服务有限公司 、北京花亿里房地产开发有限公司  </t>
  </si>
  <si>
    <t>2021-05-07 15:00</t>
  </si>
  <si>
    <t xml:space="preserve"> 居住70年、商业40年、办公50年</t>
  </si>
  <si>
    <t xml:space="preserve"> 触达</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</si>
  <si>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</si>
  <si>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</si>
  <si>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</si>
  <si>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</si>
  <si>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 北京天恒正同资产管理有限公司 、青岛越星房地产开发有限公司  </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</si>
  <si>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</si>
  <si>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</si>
  <si>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</si>
  <si>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</si>
  <si>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</si>
  <si>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</si>
  <si>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</si>
  <si>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</si>
  <si>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</si>
  <si>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</si>
  <si>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</si>
  <si>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</si>
  <si>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</si>
  <si>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</si>
  <si>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</si>
  <si>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</si>
  <si>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</si>
  <si>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</si>
  <si>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</si>
  <si>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</si>
  <si>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</si>
  <si>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</si>
  <si>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</si>
  <si>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</si>
  <si>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</si>
  <si>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</si>
  <si>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</si>
  <si>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</si>
  <si>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</si>
  <si>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</si>
  <si>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</si>
  <si>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</si>
  <si>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</si>
  <si>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</si>
  <si>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</si>
  <si>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</si>
  <si>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</si>
  <si>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</si>
  <si>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</si>
  <si>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</si>
  <si>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</si>
  <si>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</si>
  <si>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</si>
  <si>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</si>
  <si>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</si>
  <si>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</si>
  <si>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</si>
  <si>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</si>
  <si>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</si>
  <si>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</si>
  <si>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</si>
  <si>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</si>
  <si>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</si>
  <si>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</si>
  <si>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</si>
  <si>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</si>
  <si>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</si>
  <si>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</si>
  <si>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</si>
  <si>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</si>
  <si>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</si>
  <si>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</si>
  <si>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</si>
  <si>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</si>
  <si>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</si>
  <si>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</si>
  <si>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</si>
  <si>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</si>
  <si>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</si>
  <si>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</si>
  <si>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</si>
  <si>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</si>
  <si>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</si>
  <si>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</si>
  <si>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</si>
  <si>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</si>
  <si>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</si>
  <si>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</si>
  <si>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</si>
  <si>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</si>
  <si>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</si>
  <si>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</si>
  <si>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</si>
  <si>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</si>
  <si>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</si>
  <si>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</si>
  <si>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</si>
  <si>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</si>
  <si>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</si>
  <si>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</si>
  <si>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</si>
  <si>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</si>
  <si>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</si>
  <si>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</si>
  <si>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</si>
  <si>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</si>
  <si>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</si>
  <si>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</si>
  <si>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</si>
  <si>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</si>
  <si>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</si>
  <si>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</si>
  <si>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</si>
  <si>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</si>
  <si>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</si>
  <si>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</si>
  <si>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</si>
  <si>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</si>
  <si>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</si>
  <si>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</si>
  <si>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</si>
  <si>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</si>
  <si>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</si>
  <si>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</si>
  <si>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</si>
  <si>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</si>
  <si>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</si>
  <si>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</si>
  <si>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</si>
  <si>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</si>
  <si>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</si>
  <si>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</si>
  <si>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</si>
  <si>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</si>
  <si>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</si>
  <si>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</si>
  <si>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</si>
  <si>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</si>
  <si>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</si>
  <si>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</si>
  <si>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</si>
  <si>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</si>
  <si>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</si>
  <si>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</si>
  <si>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</si>
  <si>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</si>
  <si>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</si>
  <si>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</si>
  <si>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</si>
  <si>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</si>
  <si>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</si>
  <si>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</si>
  <si>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</si>
  <si>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</si>
  <si>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</si>
  <si>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</si>
  <si>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</si>
  <si>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</si>
  <si>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</si>
  <si>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</si>
  <si>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</si>
  <si>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</si>
  <si>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</si>
  <si>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</si>
  <si>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</si>
  <si>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</si>
  <si>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</si>
  <si>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</si>
  <si>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</si>
  <si>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</si>
  <si>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</si>
  <si>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</si>
  <si>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</si>
  <si>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</si>
  <si>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</si>
  <si>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</si>
  <si>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</si>
  <si>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</si>
  <si>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</si>
  <si>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</si>
  <si>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</si>
  <si>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</si>
  <si>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</si>
  <si>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</si>
  <si>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</si>
  <si>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</si>
  <si>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</si>
  <si>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</si>
  <si>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</si>
  <si>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</si>
  <si>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</si>
  <si>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</si>
  <si>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</si>
  <si>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</si>
  <si>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</si>
  <si>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</si>
  <si>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</si>
  <si>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</si>
  <si>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</si>
  <si>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</si>
  <si>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估价对象周边居住用地比例、居住小区规模和社区发展完善程度，有王各庄新庄、明珠花园、枫林园公寓综合评价居住社区成熟度一般</t>
    <phoneticPr fontId="248" type="noConversion"/>
  </si>
  <si>
    <t>估价对象所在区域公共配套设施齐备情况较差</t>
    <phoneticPr fontId="248"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</si>
  <si>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京密路</t>
    </r>
    <phoneticPr fontId="248" type="noConversion"/>
  </si>
  <si>
    <t>省份</t>
  </si>
  <si>
    <t>板块</t>
  </si>
  <si>
    <t>土地位置</t>
  </si>
  <si>
    <t>容积率上限</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</si>
  <si>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</si>
  <si>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</si>
  <si>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</si>
  <si>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</si>
  <si>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</si>
  <si>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</si>
  <si>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</si>
  <si>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</si>
  <si>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</si>
  <si>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</si>
  <si>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</si>
  <si>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</si>
  <si>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</si>
  <si>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</si>
  <si>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</si>
  <si>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</si>
  <si>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</si>
  <si>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</si>
  <si>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推出楼面价(元/㎡)</t>
  </si>
  <si>
    <t>推出楼面价(除保障房)(元/㎡)</t>
  </si>
  <si>
    <t>成交楼面价(除保障房)(元/㎡)</t>
  </si>
  <si>
    <t>溢价率上限(%)</t>
  </si>
  <si>
    <t>房地价差(元/㎡)</t>
  </si>
  <si>
    <t>开工进度</t>
  </si>
  <si>
    <t xml:space="preserve"> 北京</t>
  </si>
  <si>
    <t xml:space="preserve"> 密云区</t>
  </si>
  <si>
    <t xml:space="preserve"> 密云</t>
  </si>
  <si>
    <t xml:space="preserve"> 密云区水源路南侧</t>
  </si>
  <si>
    <t xml:space="preserve"> 24米</t>
  </si>
  <si>
    <t xml:space="preserve"> 限地价,摇号/摇珠/抽签</t>
  </si>
  <si>
    <t xml:space="preserve"> 京土储挂(密)[2023]049号</t>
  </si>
  <si>
    <t xml:space="preserve"> 北京住总集团</t>
  </si>
  <si>
    <t xml:space="preserve"> 地方国有企业</t>
  </si>
  <si>
    <t xml:space="preserve"> 已开工</t>
  </si>
  <si>
    <t>北京市延庆区南辛堡村、民主村、百眼泉村棚户区改造项目YQ00-0309-0007地块R2二类居住用地</t>
  </si>
  <si>
    <t>京土储挂(延)[2023]041号</t>
  </si>
  <si>
    <t xml:space="preserve"> 延庆区</t>
  </si>
  <si>
    <t xml:space="preserve"> 延庆</t>
  </si>
  <si>
    <t xml:space="preserve"> 延庆区延庆新城09街区</t>
  </si>
  <si>
    <t xml:space="preserve"> 限地价,摇号/摇珠/抽签,限房价</t>
  </si>
  <si>
    <t xml:space="preserve"> 限地价,限房价</t>
  </si>
  <si>
    <t xml:space="preserve"> 京土储挂(延)[2023]041号</t>
  </si>
  <si>
    <t xml:space="preserve"> 北京住总房地产开发有限责任公司  </t>
  </si>
  <si>
    <t>2023-08-09 15:00</t>
  </si>
  <si>
    <t>估价对象周边道路状况、公共交通通达情况970、980、郊80、密6路等、停车便捷程度，综合评价交通便捷度一般</t>
    <phoneticPr fontId="248" type="noConversion"/>
  </si>
  <si>
    <t>否</t>
    <phoneticPr fontId="248" type="noConversion"/>
  </si>
  <si>
    <t>是</t>
    <phoneticPr fontId="248" type="noConversion"/>
  </si>
  <si>
    <t>高速路</t>
    <phoneticPr fontId="97" type="noConversion"/>
  </si>
  <si>
    <t>快速路</t>
    <phoneticPr fontId="97" type="noConversion"/>
  </si>
  <si>
    <t>主干道</t>
    <phoneticPr fontId="97" type="noConversion"/>
  </si>
  <si>
    <t>次干道</t>
    <phoneticPr fontId="97" type="noConversion"/>
  </si>
  <si>
    <t>支路</t>
    <phoneticPr fontId="97" type="noConversion"/>
  </si>
  <si>
    <t>洋房</t>
    <phoneticPr fontId="97" type="noConversion"/>
  </si>
  <si>
    <t>小高层</t>
    <phoneticPr fontId="97" type="noConversion"/>
  </si>
  <si>
    <t>高层</t>
    <phoneticPr fontId="97" type="noConversion"/>
  </si>
  <si>
    <t>钢混</t>
    <phoneticPr fontId="97" type="noConversion"/>
  </si>
  <si>
    <t>高档</t>
    <phoneticPr fontId="97" type="noConversion"/>
  </si>
  <si>
    <t>中档</t>
    <phoneticPr fontId="97" type="noConversion"/>
  </si>
  <si>
    <t>精装修</t>
    <phoneticPr fontId="97" type="noConversion"/>
  </si>
  <si>
    <t>普通装修</t>
    <phoneticPr fontId="97" type="noConversion"/>
  </si>
  <si>
    <t>简单装修</t>
    <phoneticPr fontId="97" type="noConversion"/>
  </si>
  <si>
    <t>毛坯</t>
    <phoneticPr fontId="97" type="noConversion"/>
  </si>
  <si>
    <t>专业</t>
    <phoneticPr fontId="97" type="noConversion"/>
  </si>
  <si>
    <t>普通</t>
    <phoneticPr fontId="97" type="noConversion"/>
  </si>
  <si>
    <t>小高层</t>
  </si>
  <si>
    <t>中档</t>
  </si>
  <si>
    <t>精装修</t>
  </si>
  <si>
    <t>专业</t>
  </si>
  <si>
    <t>否</t>
    <phoneticPr fontId="97" type="noConversion"/>
  </si>
  <si>
    <t>车库</t>
    <phoneticPr fontId="248" type="noConversion"/>
  </si>
  <si>
    <t>专业</t>
    <phoneticPr fontId="97" type="noConversion"/>
  </si>
  <si>
    <t>平面</t>
    <phoneticPr fontId="97" type="noConversion"/>
  </si>
  <si>
    <t>是</t>
    <phoneticPr fontId="97" type="noConversion"/>
  </si>
  <si>
    <t>平面</t>
  </si>
  <si>
    <t>较适宜</t>
  </si>
  <si>
    <t>较适宜</t>
    <phoneticPr fontId="248" type="noConversion"/>
  </si>
  <si>
    <t>国祥源境</t>
    <phoneticPr fontId="248" type="noConversion"/>
  </si>
  <si>
    <t>国祥府</t>
    <phoneticPr fontId="248" type="noConversion"/>
  </si>
  <si>
    <t>限价</t>
    <phoneticPr fontId="248" type="noConversion"/>
  </si>
  <si>
    <t>有</t>
    <phoneticPr fontId="248" type="noConversion"/>
  </si>
  <si>
    <t>无</t>
    <phoneticPr fontId="248" type="noConversion"/>
  </si>
  <si>
    <t>无</t>
    <phoneticPr fontId="248" type="noConversion"/>
  </si>
  <si>
    <t>国祥府</t>
    <phoneticPr fontId="248" type="noConversion"/>
  </si>
  <si>
    <t>元/车位</t>
  </si>
  <si>
    <t>绿地·朗山国际健康产业园</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</si>
</sst>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theme="1"/>
      <name val="华文细黑"/>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1"/>
      <color theme="9" tint="-0.249977111117893"/>
      <name val="宋体"/>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55"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55" fillId="0" borderId="0"/>
    <xf numFmtId="0" fontId="247" fillId="0" borderId="0">
      <alignment vertical="center"/>
    </xf>
    <xf numFmtId="0" fontId="247" fillId="0" borderId="0"/>
    <xf numFmtId="0" fontId="73" fillId="0" borderId="0">
      <alignment vertical="center"/>
    </xf>
    <xf numFmtId="0" fontId="73" fillId="0" borderId="0">
      <alignment vertical="center"/>
    </xf>
    <xf numFmtId="0" fontId="247" fillId="0" borderId="0">
      <alignment vertical="center"/>
    </xf>
    <xf numFmtId="0" fontId="73" fillId="0" borderId="0">
      <alignment vertical="center"/>
    </xf>
    <xf numFmtId="0" fontId="247" fillId="0" borderId="0"/>
  </cellStyleXfs>
  <cellXfs count="3988">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0" fontId="29" fillId="0" borderId="7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33" fillId="2" borderId="73"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6"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5"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4" xfId="0" applyFont="1" applyFill="1" applyBorder="1" applyAlignment="1" applyProtection="1">
      <alignment vertical="center" wrapText="1"/>
    </xf>
    <xf numFmtId="0" fontId="29" fillId="2" borderId="95" xfId="0" applyFont="1" applyFill="1" applyBorder="1" applyAlignment="1" applyProtection="1">
      <alignment horizontal="center"/>
    </xf>
    <xf numFmtId="0" fontId="29" fillId="9" borderId="95" xfId="0" applyFont="1" applyFill="1" applyBorder="1" applyAlignment="1" applyProtection="1">
      <protection locked="0"/>
    </xf>
    <xf numFmtId="0" fontId="29" fillId="9" borderId="96"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9" xfId="0" applyFont="1" applyFill="1" applyBorder="1" applyAlignment="1" applyProtection="1">
      <alignment horizontal="left" vertical="center"/>
    </xf>
    <xf numFmtId="0" fontId="66" fillId="2" borderId="100" xfId="0" applyFont="1" applyFill="1" applyBorder="1" applyAlignment="1" applyProtection="1">
      <alignment vertical="center"/>
    </xf>
    <xf numFmtId="0" fontId="66" fillId="2" borderId="98"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101" xfId="0" applyFont="1" applyFill="1" applyBorder="1" applyAlignment="1" applyProtection="1">
      <alignment vertical="center"/>
      <protection locked="0"/>
    </xf>
    <xf numFmtId="0" fontId="47" fillId="6" borderId="95" xfId="0" applyFont="1" applyFill="1" applyBorder="1" applyAlignment="1" applyProtection="1">
      <alignment vertical="center"/>
      <protection locked="0"/>
    </xf>
    <xf numFmtId="0" fontId="47" fillId="6" borderId="96" xfId="0" applyFont="1" applyFill="1" applyBorder="1" applyAlignment="1" applyProtection="1">
      <alignment horizontal="left" vertical="center"/>
      <protection locked="0"/>
    </xf>
    <xf numFmtId="0" fontId="71" fillId="2" borderId="102"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2" xfId="0" applyFont="1" applyFill="1" applyBorder="1" applyAlignment="1" applyProtection="1">
      <alignment vertical="center" wrapText="1"/>
    </xf>
    <xf numFmtId="0" fontId="73" fillId="2" borderId="96"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3"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3"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94"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9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8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88"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 applyNumberFormat="1" applyFont="1" applyFill="1" applyBorder="1" applyAlignment="1" applyProtection="1"/>
    <xf numFmtId="177" fontId="40" fillId="2" borderId="12" xfId="5"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2" fillId="3" borderId="0" xfId="0" applyNumberFormat="1" applyFont="1" applyFill="1" applyAlignment="1">
      <alignment horizontal="left" vertical="center"/>
    </xf>
    <xf numFmtId="0" fontId="92" fillId="10" borderId="0" xfId="0" applyNumberFormat="1" applyFont="1" applyFill="1" applyAlignment="1">
      <alignment horizontal="left" vertical="center"/>
    </xf>
    <xf numFmtId="0" fontId="92" fillId="11"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0" borderId="0" xfId="0" applyNumberFormat="1" applyFont="1" applyFill="1" applyAlignment="1">
      <alignment horizontal="left" vertical="center"/>
    </xf>
    <xf numFmtId="14" fontId="92"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3" fillId="3" borderId="14" xfId="5" applyFont="1" applyFill="1" applyBorder="1" applyAlignment="1" applyProtection="1">
      <alignment vertical="center"/>
      <protection locked="0"/>
    </xf>
    <xf numFmtId="0" fontId="94"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5" fillId="2" borderId="10" xfId="5" applyFont="1" applyFill="1" applyBorder="1" applyAlignment="1" applyProtection="1">
      <alignment vertical="center"/>
    </xf>
    <xf numFmtId="177" fontId="95" fillId="2" borderId="1" xfId="5" applyNumberFormat="1" applyFont="1" applyFill="1" applyBorder="1" applyAlignment="1" applyProtection="1">
      <alignment horizontal="center" vertical="center"/>
    </xf>
    <xf numFmtId="0" fontId="96" fillId="2" borderId="10" xfId="5" applyFont="1" applyFill="1" applyBorder="1" applyAlignment="1" applyProtection="1">
      <alignment vertical="center"/>
    </xf>
    <xf numFmtId="177" fontId="9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50"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5" xfId="10" applyFont="1" applyFill="1" applyBorder="1" applyAlignment="1">
      <alignment vertical="center"/>
    </xf>
    <xf numFmtId="0" fontId="21" fillId="2" borderId="96"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1"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99" fillId="0" borderId="10" xfId="10" applyFont="1" applyFill="1" applyBorder="1" applyAlignment="1" applyProtection="1">
      <alignment horizontal="left" vertical="center"/>
      <protection locked="0"/>
    </xf>
    <xf numFmtId="0" fontId="99" fillId="0" borderId="111" xfId="10" applyFont="1" applyFill="1" applyBorder="1" applyAlignment="1" applyProtection="1">
      <alignment horizontal="left" vertical="center"/>
      <protection locked="0"/>
    </xf>
    <xf numFmtId="0" fontId="9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1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11"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11"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111"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112" xfId="10" applyNumberFormat="1" applyFont="1" applyFill="1" applyBorder="1" applyAlignment="1" applyProtection="1">
      <alignment horizontal="left" vertical="center"/>
      <protection locked="0"/>
    </xf>
    <xf numFmtId="184" fontId="18" fillId="0" borderId="110"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5"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0"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0" fillId="0" borderId="8" xfId="10" applyNumberFormat="1" applyFont="1" applyFill="1" applyBorder="1" applyAlignment="1" applyProtection="1">
      <alignment horizontal="left" vertical="center"/>
      <protection locked="0"/>
    </xf>
    <xf numFmtId="0" fontId="100"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98" fillId="0" borderId="0" xfId="10"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5" fillId="2" borderId="113" xfId="4" applyNumberFormat="1" applyFont="1" applyFill="1" applyBorder="1" applyAlignment="1" applyProtection="1">
      <alignment horizontal="left" vertical="center"/>
    </xf>
    <xf numFmtId="0" fontId="106" fillId="2" borderId="113" xfId="4" applyNumberFormat="1" applyFont="1" applyFill="1" applyBorder="1" applyAlignment="1" applyProtection="1">
      <alignment horizontal="left" vertical="center"/>
    </xf>
    <xf numFmtId="0" fontId="107" fillId="13" borderId="0" xfId="14" applyNumberFormat="1" applyFont="1" applyFill="1" applyAlignment="1" applyProtection="1">
      <alignment horizontal="left" vertical="center"/>
    </xf>
    <xf numFmtId="0" fontId="99" fillId="13" borderId="115" xfId="14" applyNumberFormat="1" applyFont="1" applyFill="1" applyBorder="1" applyAlignment="1" applyProtection="1">
      <alignment horizontal="left" vertical="center"/>
    </xf>
    <xf numFmtId="0" fontId="99" fillId="13"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9" borderId="117" xfId="14" applyNumberFormat="1" applyFont="1" applyFill="1" applyBorder="1" applyAlignment="1" applyProtection="1">
      <alignment horizontal="left" vertical="center" wrapText="1"/>
      <protection locked="0"/>
    </xf>
    <xf numFmtId="0" fontId="108" fillId="9" borderId="118" xfId="14" applyNumberFormat="1" applyFont="1" applyFill="1" applyBorder="1" applyAlignment="1" applyProtection="1">
      <alignment horizontal="left" vertical="center" wrapText="1"/>
      <protection locked="0"/>
    </xf>
    <xf numFmtId="0" fontId="21" fillId="15" borderId="1" xfId="14" applyNumberFormat="1" applyFont="1" applyFill="1" applyBorder="1" applyAlignment="1" applyProtection="1">
      <alignment horizontal="left" vertical="center" wrapText="1"/>
    </xf>
    <xf numFmtId="0" fontId="109" fillId="15" borderId="116" xfId="14" applyNumberFormat="1" applyFont="1" applyFill="1" applyBorder="1" applyAlignment="1" applyProtection="1">
      <alignment horizontal="left" vertical="center" wrapText="1"/>
      <protection locked="0"/>
    </xf>
    <xf numFmtId="0" fontId="109" fillId="15" borderId="117" xfId="14" applyNumberFormat="1" applyFont="1" applyFill="1" applyBorder="1" applyAlignment="1" applyProtection="1">
      <alignment horizontal="left" vertical="center" wrapText="1"/>
      <protection locked="0"/>
    </xf>
    <xf numFmtId="0" fontId="109" fillId="15"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108"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6"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6" borderId="0" xfId="14" applyNumberFormat="1" applyFont="1" applyFill="1" applyAlignment="1" applyProtection="1">
      <alignment horizontal="left" vertical="center"/>
    </xf>
    <xf numFmtId="0" fontId="27" fillId="16" borderId="113" xfId="14" applyNumberFormat="1" applyFont="1" applyFill="1" applyBorder="1" applyAlignment="1" applyProtection="1">
      <alignment horizontal="left" vertical="center"/>
    </xf>
    <xf numFmtId="0" fontId="99" fillId="16" borderId="0" xfId="14" applyNumberFormat="1" applyFont="1" applyFill="1" applyAlignment="1" applyProtection="1">
      <alignment horizontal="left" vertical="center"/>
    </xf>
    <xf numFmtId="10" fontId="99" fillId="13" borderId="115" xfId="14" applyNumberFormat="1" applyFont="1" applyFill="1" applyBorder="1" applyAlignment="1" applyProtection="1">
      <alignment horizontal="left" vertical="center"/>
    </xf>
    <xf numFmtId="10" fontId="99" fillId="13"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3" xfId="14" applyNumberFormat="1" applyFont="1" applyFill="1" applyBorder="1" applyAlignment="1" applyProtection="1">
      <alignment horizontal="left" vertical="center" wrapText="1"/>
      <protection locked="0"/>
    </xf>
    <xf numFmtId="0" fontId="60" fillId="16" borderId="0" xfId="14" applyNumberFormat="1" applyFont="1" applyFill="1" applyAlignment="1" applyProtection="1">
      <alignment horizontal="left" vertical="center"/>
    </xf>
    <xf numFmtId="10" fontId="60" fillId="0" borderId="115"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5" borderId="123" xfId="14" applyNumberFormat="1" applyFont="1" applyFill="1" applyBorder="1" applyAlignment="1" applyProtection="1">
      <alignment horizontal="left" vertical="center" wrapText="1"/>
      <protection locked="0"/>
    </xf>
    <xf numFmtId="0" fontId="27" fillId="15" borderId="0" xfId="14" applyNumberFormat="1" applyFont="1" applyFill="1" applyAlignment="1" applyProtection="1">
      <alignment horizontal="left" vertical="center"/>
    </xf>
    <xf numFmtId="10" fontId="27" fillId="15" borderId="115" xfId="14" applyNumberFormat="1" applyFont="1" applyFill="1" applyBorder="1" applyAlignment="1" applyProtection="1">
      <alignment horizontal="left" vertical="center"/>
    </xf>
    <xf numFmtId="10" fontId="27" fillId="15" borderId="0" xfId="14" applyNumberFormat="1" applyFont="1" applyFill="1" applyAlignment="1" applyProtection="1">
      <alignment horizontal="left" vertical="center"/>
    </xf>
    <xf numFmtId="0" fontId="108" fillId="8" borderId="124" xfId="14" applyNumberFormat="1" applyFont="1" applyFill="1" applyBorder="1" applyAlignment="1" applyProtection="1">
      <alignment horizontal="left" vertical="center" wrapText="1"/>
      <protection locked="0"/>
    </xf>
    <xf numFmtId="0" fontId="60" fillId="16" borderId="125" xfId="14" applyNumberFormat="1" applyFont="1" applyFill="1" applyBorder="1" applyAlignment="1" applyProtection="1">
      <alignment horizontal="left" vertical="center"/>
    </xf>
    <xf numFmtId="10" fontId="60" fillId="8" borderId="126"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3" borderId="0" xfId="14" applyNumberFormat="1" applyFont="1" applyFill="1" applyAlignment="1" applyProtection="1">
      <alignment horizontal="left" vertical="center"/>
    </xf>
    <xf numFmtId="0" fontId="23" fillId="13" borderId="127"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129"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5" xfId="14" applyNumberFormat="1" applyFont="1" applyFill="1" applyBorder="1" applyAlignment="1" applyProtection="1">
      <alignment horizontal="left" vertical="center"/>
    </xf>
    <xf numFmtId="10" fontId="23" fillId="13" borderId="0" xfId="14" applyNumberFormat="1" applyFont="1" applyFill="1" applyAlignment="1" applyProtection="1">
      <alignment horizontal="left" vertical="center"/>
    </xf>
    <xf numFmtId="10" fontId="23" fillId="13" borderId="127" xfId="14" applyNumberFormat="1" applyFont="1" applyFill="1" applyBorder="1" applyAlignment="1" applyProtection="1">
      <alignment horizontal="left" vertical="center"/>
    </xf>
    <xf numFmtId="10" fontId="23" fillId="13" borderId="128" xfId="14" applyNumberFormat="1" applyFont="1" applyFill="1" applyBorder="1" applyAlignment="1" applyProtection="1">
      <alignment horizontal="left" vertical="center"/>
    </xf>
    <xf numFmtId="10" fontId="23" fillId="13" borderId="129" xfId="14" applyNumberFormat="1" applyFont="1" applyFill="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129"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0" borderId="129"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5" borderId="127" xfId="14" applyNumberFormat="1" applyFont="1" applyFill="1" applyBorder="1" applyAlignment="1" applyProtection="1">
      <alignment horizontal="left" vertical="center"/>
    </xf>
    <xf numFmtId="10" fontId="27" fillId="15" borderId="128" xfId="14" applyNumberFormat="1" applyFont="1" applyFill="1" applyBorder="1" applyAlignment="1" applyProtection="1">
      <alignment horizontal="left" vertical="center"/>
    </xf>
    <xf numFmtId="10" fontId="27" fillId="15"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10" fontId="60"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3" borderId="0" xfId="13" applyFont="1" applyFill="1" applyAlignment="1">
      <alignment horizontal="left" vertical="center"/>
    </xf>
    <xf numFmtId="0" fontId="27" fillId="0" borderId="0" xfId="13" applyFont="1" applyFill="1" applyAlignment="1">
      <alignment horizontal="left" vertical="center"/>
    </xf>
    <xf numFmtId="0" fontId="110" fillId="17"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76" fillId="0" borderId="0" xfId="13" applyFont="1" applyAlignment="1">
      <alignment horizontal="left" vertical="center"/>
    </xf>
    <xf numFmtId="0" fontId="60" fillId="0" borderId="0" xfId="13" applyFont="1" applyAlignment="1">
      <alignment horizontal="left" vertical="center"/>
    </xf>
    <xf numFmtId="0" fontId="60" fillId="0" borderId="115" xfId="13" applyFont="1" applyBorder="1" applyAlignment="1">
      <alignment horizontal="left" vertical="center"/>
    </xf>
    <xf numFmtId="0" fontId="75" fillId="2" borderId="113" xfId="4" applyFont="1" applyFill="1" applyBorder="1" applyAlignment="1" applyProtection="1">
      <alignment horizontal="left" vertical="center"/>
    </xf>
    <xf numFmtId="0" fontId="106"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3" borderId="0" xfId="14" applyFont="1" applyFill="1" applyAlignment="1">
      <alignment horizontal="left" vertical="center"/>
    </xf>
    <xf numFmtId="0" fontId="48" fillId="13" borderId="0" xfId="4" applyFont="1" applyFill="1" applyAlignment="1" applyProtection="1">
      <alignment horizontal="left" vertical="center"/>
    </xf>
    <xf numFmtId="0" fontId="106" fillId="13" borderId="0" xfId="4" applyFont="1" applyFill="1" applyAlignment="1" applyProtection="1">
      <alignment horizontal="left" vertical="center"/>
    </xf>
    <xf numFmtId="0" fontId="27" fillId="13" borderId="115" xfId="13" applyFont="1" applyFill="1" applyBorder="1" applyAlignment="1">
      <alignment horizontal="left" vertical="center"/>
    </xf>
    <xf numFmtId="0" fontId="27" fillId="13"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0" fillId="0" borderId="0" xfId="13" applyNumberFormat="1" applyFont="1" applyAlignment="1">
      <alignment horizontal="left" vertical="center"/>
    </xf>
    <xf numFmtId="0" fontId="108" fillId="9" borderId="117" xfId="13" applyFont="1" applyFill="1" applyBorder="1" applyAlignment="1" applyProtection="1">
      <alignment horizontal="left" vertical="center" wrapText="1"/>
    </xf>
    <xf numFmtId="0" fontId="108" fillId="14" borderId="133" xfId="13" applyFont="1" applyFill="1" applyBorder="1" applyAlignment="1" applyProtection="1">
      <alignment horizontal="left" vertical="center" wrapText="1"/>
    </xf>
    <xf numFmtId="182" fontId="27" fillId="14" borderId="133" xfId="14" applyNumberFormat="1" applyFont="1" applyFill="1" applyBorder="1" applyAlignment="1" applyProtection="1">
      <alignment horizontal="left" vertical="center" wrapText="1"/>
    </xf>
    <xf numFmtId="182" fontId="27" fillId="14" borderId="134" xfId="14" applyNumberFormat="1" applyFont="1" applyFill="1" applyBorder="1" applyAlignment="1" applyProtection="1">
      <alignment horizontal="left" vertical="center" wrapText="1"/>
    </xf>
    <xf numFmtId="0" fontId="108" fillId="14" borderId="117" xfId="13" applyFont="1" applyFill="1" applyBorder="1" applyAlignment="1" applyProtection="1">
      <alignment horizontal="left" vertical="center" wrapText="1"/>
    </xf>
    <xf numFmtId="182" fontId="27" fillId="14" borderId="133" xfId="14" applyNumberFormat="1" applyFont="1" applyFill="1" applyBorder="1" applyAlignment="1">
      <alignment horizontal="left" vertical="center" wrapText="1"/>
    </xf>
    <xf numFmtId="182" fontId="27" fillId="14" borderId="134" xfId="14" applyNumberFormat="1" applyFont="1" applyFill="1" applyBorder="1" applyAlignment="1">
      <alignment horizontal="left" vertical="center" wrapText="1"/>
    </xf>
    <xf numFmtId="182" fontId="27" fillId="14" borderId="133" xfId="13" applyNumberFormat="1" applyFont="1" applyFill="1" applyBorder="1" applyAlignment="1">
      <alignment horizontal="left" vertical="center" wrapText="1"/>
    </xf>
    <xf numFmtId="182" fontId="27" fillId="14" borderId="134" xfId="13" applyNumberFormat="1" applyFont="1" applyFill="1" applyBorder="1" applyAlignment="1">
      <alignment horizontal="left" vertical="center" wrapText="1"/>
    </xf>
    <xf numFmtId="0" fontId="108" fillId="14" borderId="139" xfId="13" applyFont="1" applyFill="1" applyBorder="1" applyAlignment="1" applyProtection="1">
      <alignment horizontal="left" vertical="center" wrapText="1"/>
    </xf>
    <xf numFmtId="0" fontId="108" fillId="9" borderId="133" xfId="13" applyFont="1" applyFill="1" applyBorder="1" applyAlignment="1" applyProtection="1">
      <alignment horizontal="left" vertical="center" wrapText="1"/>
    </xf>
    <xf numFmtId="182" fontId="27" fillId="14" borderId="117" xfId="13" applyNumberFormat="1" applyFont="1" applyFill="1" applyBorder="1" applyAlignment="1">
      <alignment horizontal="left" vertical="center" wrapText="1"/>
    </xf>
    <xf numFmtId="182" fontId="27" fillId="14" borderId="118" xfId="13" applyNumberFormat="1" applyFont="1" applyFill="1" applyBorder="1" applyAlignment="1">
      <alignment horizontal="left" vertical="center" wrapText="1"/>
    </xf>
    <xf numFmtId="0" fontId="60"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0" fillId="3" borderId="0" xfId="13" applyNumberFormat="1" applyFont="1" applyFill="1" applyAlignment="1">
      <alignment horizontal="left" vertical="center"/>
    </xf>
    <xf numFmtId="0" fontId="60" fillId="3" borderId="117" xfId="13" applyFont="1" applyFill="1" applyBorder="1" applyAlignment="1" applyProtection="1">
      <alignment horizontal="left" vertical="center" wrapText="1"/>
    </xf>
    <xf numFmtId="0" fontId="60" fillId="14" borderId="139" xfId="13" applyFont="1" applyFill="1" applyBorder="1" applyAlignment="1" applyProtection="1">
      <alignment horizontal="left" vertical="center" wrapText="1"/>
    </xf>
    <xf numFmtId="182" fontId="27" fillId="14" borderId="139" xfId="13" applyNumberFormat="1" applyFont="1" applyFill="1" applyBorder="1" applyAlignment="1">
      <alignment horizontal="left" vertical="center" wrapText="1"/>
    </xf>
    <xf numFmtId="182" fontId="27" fillId="14" borderId="140" xfId="13" applyNumberFormat="1" applyFont="1" applyFill="1" applyBorder="1" applyAlignment="1">
      <alignment horizontal="left" vertical="center" wrapText="1"/>
    </xf>
    <xf numFmtId="182" fontId="60" fillId="17" borderId="0" xfId="13" applyNumberFormat="1" applyFont="1" applyFill="1" applyAlignment="1">
      <alignment horizontal="left" vertical="center"/>
    </xf>
    <xf numFmtId="0" fontId="110" fillId="13"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7" xfId="14" applyFont="1" applyFill="1" applyBorder="1" applyAlignment="1" applyProtection="1">
      <alignment horizontal="left" vertical="center" wrapText="1"/>
    </xf>
    <xf numFmtId="0" fontId="108" fillId="9" borderId="123" xfId="14" applyFont="1" applyFill="1" applyBorder="1" applyAlignment="1" applyProtection="1">
      <alignment horizontal="left" vertical="center" wrapText="1"/>
    </xf>
    <xf numFmtId="10" fontId="60" fillId="0" borderId="115"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3" xfId="13" applyFont="1" applyFill="1" applyBorder="1" applyAlignment="1" applyProtection="1">
      <alignment horizontal="left" vertical="center" wrapText="1"/>
    </xf>
    <xf numFmtId="0" fontId="108" fillId="14" borderId="141" xfId="13" applyFont="1" applyFill="1" applyBorder="1" applyAlignment="1" applyProtection="1">
      <alignment horizontal="left" vertical="center" wrapText="1"/>
    </xf>
    <xf numFmtId="0" fontId="108" fillId="14" borderId="123" xfId="13" applyFont="1" applyFill="1" applyBorder="1" applyAlignment="1" applyProtection="1">
      <alignment horizontal="left" vertical="center" wrapText="1"/>
    </xf>
    <xf numFmtId="10" fontId="60" fillId="0" borderId="142"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3" xfId="13" applyNumberFormat="1" applyFont="1" applyBorder="1" applyAlignment="1">
      <alignment horizontal="left" vertical="center"/>
    </xf>
    <xf numFmtId="10" fontId="60" fillId="0" borderId="89" xfId="13" applyNumberFormat="1" applyFont="1" applyBorder="1" applyAlignment="1">
      <alignment horizontal="left" vertical="center"/>
    </xf>
    <xf numFmtId="0" fontId="108" fillId="14" borderId="144" xfId="13" applyFont="1" applyFill="1" applyBorder="1" applyAlignment="1" applyProtection="1">
      <alignment horizontal="left" vertical="center" wrapText="1"/>
    </xf>
    <xf numFmtId="0" fontId="108" fillId="9" borderId="141" xfId="13" applyFont="1" applyFill="1" applyBorder="1" applyAlignment="1" applyProtection="1">
      <alignment horizontal="left" vertical="center" wrapText="1"/>
    </xf>
    <xf numFmtId="0" fontId="60" fillId="9" borderId="141" xfId="13" applyFont="1" applyFill="1" applyBorder="1" applyAlignment="1" applyProtection="1">
      <alignment horizontal="left" vertical="center" wrapText="1"/>
    </xf>
    <xf numFmtId="0" fontId="60" fillId="3" borderId="123" xfId="13" applyFont="1" applyFill="1" applyBorder="1" applyAlignment="1" applyProtection="1">
      <alignment horizontal="left" vertical="center" wrapText="1"/>
    </xf>
    <xf numFmtId="10" fontId="60" fillId="3" borderId="115"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4" borderId="144" xfId="13" applyFont="1" applyFill="1" applyBorder="1" applyAlignment="1" applyProtection="1">
      <alignment horizontal="left" vertical="center" wrapText="1"/>
    </xf>
    <xf numFmtId="0" fontId="11" fillId="13" borderId="0" xfId="14" applyFont="1" applyFill="1" applyAlignment="1">
      <alignment horizontal="left" vertical="center"/>
    </xf>
    <xf numFmtId="0" fontId="60" fillId="13" borderId="0" xfId="13" applyFont="1" applyFill="1" applyAlignment="1">
      <alignment horizontal="left" vertical="center"/>
    </xf>
    <xf numFmtId="0" fontId="27" fillId="0" borderId="0" xfId="14" applyFont="1" applyFill="1" applyAlignment="1">
      <alignment horizontal="left" vertical="center"/>
    </xf>
    <xf numFmtId="177" fontId="60" fillId="0" borderId="0" xfId="13" applyNumberFormat="1" applyFont="1" applyAlignment="1">
      <alignment horizontal="left" vertical="center"/>
    </xf>
    <xf numFmtId="181" fontId="60" fillId="0" borderId="115" xfId="13" applyNumberFormat="1" applyFont="1" applyBorder="1" applyAlignment="1">
      <alignment horizontal="left" vertical="center"/>
    </xf>
    <xf numFmtId="181" fontId="60" fillId="0" borderId="0" xfId="13" applyNumberFormat="1" applyFont="1" applyAlignment="1">
      <alignment horizontal="left" vertical="center"/>
    </xf>
    <xf numFmtId="177" fontId="60" fillId="3" borderId="0" xfId="13" applyNumberFormat="1" applyFont="1" applyFill="1" applyAlignment="1">
      <alignment horizontal="left" vertical="center"/>
    </xf>
    <xf numFmtId="10" fontId="60" fillId="3" borderId="143" xfId="13" applyNumberFormat="1" applyFont="1" applyFill="1" applyBorder="1" applyAlignment="1">
      <alignment horizontal="left" vertical="center"/>
    </xf>
    <xf numFmtId="10" fontId="60"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3" borderId="0" xfId="13" applyNumberFormat="1" applyFont="1" applyFill="1" applyAlignment="1">
      <alignment horizontal="left" vertical="center"/>
    </xf>
    <xf numFmtId="0" fontId="6" fillId="0" borderId="0" xfId="13" applyFont="1" applyAlignment="1">
      <alignment horizontal="left" vertical="center"/>
    </xf>
    <xf numFmtId="182" fontId="60" fillId="0" borderId="17" xfId="13" applyNumberFormat="1" applyFont="1" applyBorder="1" applyAlignment="1">
      <alignment horizontal="left" vertical="center"/>
    </xf>
    <xf numFmtId="0" fontId="108" fillId="9" borderId="145" xfId="13" applyFont="1" applyFill="1" applyBorder="1" applyAlignment="1" applyProtection="1">
      <alignment horizontal="left" vertical="center" wrapText="1"/>
    </xf>
    <xf numFmtId="0" fontId="108" fillId="14"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0" fillId="18" borderId="0" xfId="13" applyNumberFormat="1" applyFont="1" applyFill="1" applyAlignment="1">
      <alignment horizontal="left" vertical="center"/>
    </xf>
    <xf numFmtId="0" fontId="108" fillId="9" borderId="139" xfId="13" applyFont="1" applyFill="1" applyBorder="1" applyAlignment="1" applyProtection="1">
      <alignment horizontal="left" vertical="center" wrapText="1"/>
    </xf>
    <xf numFmtId="0" fontId="27" fillId="14" borderId="139" xfId="13" applyFont="1" applyFill="1" applyBorder="1" applyAlignment="1">
      <alignment horizontal="left" vertical="center" wrapText="1"/>
    </xf>
    <xf numFmtId="0" fontId="27" fillId="14" borderId="140" xfId="13" applyFont="1" applyFill="1" applyBorder="1" applyAlignment="1">
      <alignment horizontal="left" vertical="center" wrapText="1"/>
    </xf>
    <xf numFmtId="0" fontId="108" fillId="3" borderId="117" xfId="13" applyFont="1" applyFill="1" applyBorder="1" applyAlignment="1" applyProtection="1">
      <alignment horizontal="left" vertical="center" wrapText="1"/>
    </xf>
    <xf numFmtId="0" fontId="27" fillId="14" borderId="149" xfId="13" applyFont="1" applyFill="1" applyBorder="1" applyAlignment="1">
      <alignment horizontal="left" vertical="center" wrapText="1"/>
    </xf>
    <xf numFmtId="0" fontId="27" fillId="14" borderId="150" xfId="13" applyFont="1" applyFill="1" applyBorder="1" applyAlignment="1">
      <alignment horizontal="left" vertical="center" wrapText="1"/>
    </xf>
    <xf numFmtId="0" fontId="27" fillId="14" borderId="151" xfId="13" applyFont="1" applyFill="1" applyBorder="1" applyAlignment="1">
      <alignment horizontal="left" vertical="center" wrapText="1"/>
    </xf>
    <xf numFmtId="0" fontId="14" fillId="0" borderId="0" xfId="13" applyFont="1" applyAlignment="1">
      <alignment horizontal="left" vertical="center"/>
    </xf>
    <xf numFmtId="0" fontId="76" fillId="0" borderId="115" xfId="13" applyFont="1" applyBorder="1" applyAlignment="1">
      <alignment horizontal="left" vertical="center"/>
    </xf>
    <xf numFmtId="0" fontId="108" fillId="9" borderId="152" xfId="13" applyFont="1" applyFill="1" applyBorder="1" applyAlignment="1" applyProtection="1">
      <alignment horizontal="left" vertical="center" wrapText="1"/>
    </xf>
    <xf numFmtId="10" fontId="60" fillId="0" borderId="153"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4" borderId="154" xfId="13" applyFont="1" applyFill="1" applyBorder="1" applyAlignment="1" applyProtection="1">
      <alignment horizontal="left" vertical="center" wrapText="1"/>
    </xf>
    <xf numFmtId="10" fontId="60" fillId="18" borderId="115" xfId="13" applyNumberFormat="1" applyFont="1" applyFill="1" applyBorder="1" applyAlignment="1">
      <alignment horizontal="left" vertical="center"/>
    </xf>
    <xf numFmtId="10" fontId="60" fillId="18" borderId="0" xfId="13" applyNumberFormat="1" applyFont="1" applyFill="1" applyAlignment="1">
      <alignment horizontal="left" vertical="center"/>
    </xf>
    <xf numFmtId="10" fontId="60" fillId="18" borderId="143" xfId="13" applyNumberFormat="1" applyFont="1" applyFill="1" applyBorder="1" applyAlignment="1">
      <alignment horizontal="left" vertical="center"/>
    </xf>
    <xf numFmtId="10" fontId="60" fillId="18" borderId="89" xfId="13" applyNumberFormat="1" applyFont="1" applyFill="1" applyBorder="1" applyAlignment="1">
      <alignment horizontal="left" vertical="center"/>
    </xf>
    <xf numFmtId="10" fontId="60" fillId="18" borderId="153" xfId="13" applyNumberFormat="1" applyFont="1" applyFill="1" applyBorder="1" applyAlignment="1">
      <alignment horizontal="left" vertical="center"/>
    </xf>
    <xf numFmtId="10" fontId="60" fillId="18" borderId="17" xfId="13" applyNumberFormat="1" applyFont="1" applyFill="1" applyBorder="1" applyAlignment="1">
      <alignment horizontal="left" vertical="center"/>
    </xf>
    <xf numFmtId="192" fontId="60" fillId="0" borderId="0" xfId="13" applyNumberFormat="1" applyFont="1" applyAlignment="1">
      <alignment horizontal="left" vertical="center"/>
    </xf>
    <xf numFmtId="192" fontId="60" fillId="0" borderId="115" xfId="13" applyNumberFormat="1" applyFont="1" applyBorder="1" applyAlignment="1">
      <alignment horizontal="left" vertical="center"/>
    </xf>
    <xf numFmtId="192" fontId="60" fillId="3" borderId="0" xfId="13" applyNumberFormat="1" applyFont="1" applyFill="1" applyAlignment="1">
      <alignment horizontal="left" vertical="center"/>
    </xf>
    <xf numFmtId="0" fontId="60" fillId="3" borderId="115" xfId="13" applyFont="1" applyFill="1" applyBorder="1" applyAlignment="1">
      <alignment horizontal="left" vertical="center"/>
    </xf>
    <xf numFmtId="192" fontId="76" fillId="0" borderId="0" xfId="13" applyNumberFormat="1" applyFont="1" applyAlignment="1">
      <alignment horizontal="left" vertical="center"/>
    </xf>
    <xf numFmtId="192" fontId="76" fillId="0" borderId="115" xfId="13" applyNumberFormat="1" applyFont="1" applyBorder="1" applyAlignment="1">
      <alignment horizontal="left" vertical="center"/>
    </xf>
    <xf numFmtId="177" fontId="60" fillId="0" borderId="17" xfId="13" applyNumberFormat="1" applyFont="1" applyBorder="1" applyAlignment="1">
      <alignment horizontal="left" vertical="center"/>
    </xf>
    <xf numFmtId="190" fontId="60" fillId="0" borderId="0" xfId="13" applyNumberFormat="1" applyFont="1" applyAlignment="1">
      <alignment horizontal="left" vertical="center"/>
    </xf>
    <xf numFmtId="190" fontId="60" fillId="0" borderId="17" xfId="13" applyNumberFormat="1" applyFont="1" applyBorder="1" applyAlignment="1">
      <alignment horizontal="left" vertical="center"/>
    </xf>
    <xf numFmtId="190" fontId="60" fillId="3" borderId="0" xfId="13" applyNumberFormat="1" applyFont="1" applyFill="1" applyAlignment="1">
      <alignment horizontal="left" vertical="center"/>
    </xf>
    <xf numFmtId="0" fontId="108" fillId="9" borderId="155" xfId="13" applyFont="1" applyFill="1" applyBorder="1" applyAlignment="1">
      <alignment horizontal="left" vertical="center" wrapText="1"/>
    </xf>
    <xf numFmtId="0" fontId="108" fillId="9" borderId="133" xfId="13" applyFont="1" applyFill="1" applyBorder="1" applyAlignment="1">
      <alignment horizontal="left" vertical="center" wrapText="1"/>
    </xf>
    <xf numFmtId="0" fontId="108" fillId="14" borderId="156" xfId="13" applyFont="1" applyFill="1" applyBorder="1" applyAlignment="1">
      <alignment horizontal="left" vertical="center" wrapText="1"/>
    </xf>
    <xf numFmtId="0" fontId="108" fillId="14" borderId="117" xfId="13" applyFont="1" applyFill="1" applyBorder="1" applyAlignment="1">
      <alignment horizontal="left" vertical="center" wrapText="1"/>
    </xf>
    <xf numFmtId="0" fontId="108" fillId="9" borderId="156" xfId="13" applyFont="1" applyFill="1" applyBorder="1" applyAlignment="1">
      <alignment horizontal="left" vertical="center" wrapText="1"/>
    </xf>
    <xf numFmtId="0" fontId="108" fillId="9" borderId="117" xfId="13" applyFont="1" applyFill="1" applyBorder="1" applyAlignment="1">
      <alignment horizontal="left" vertical="center" wrapText="1"/>
    </xf>
    <xf numFmtId="0" fontId="108" fillId="14" borderId="157" xfId="13" applyFont="1" applyFill="1" applyBorder="1" applyAlignment="1">
      <alignment horizontal="left" vertical="center" wrapText="1"/>
    </xf>
    <xf numFmtId="0" fontId="108" fillId="14"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69"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4" fontId="117"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79"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21"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3" fillId="2" borderId="69"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8"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85"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85"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85"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69" xfId="6" applyFill="1" applyBorder="1" applyAlignment="1" applyProtection="1">
      <alignment horizontal="left" vertical="center"/>
    </xf>
    <xf numFmtId="0" fontId="247"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247"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3" fillId="2" borderId="81" xfId="6" applyFont="1" applyFill="1" applyBorder="1" applyAlignment="1" applyProtection="1">
      <alignment horizontal="left" vertical="center" wrapText="1"/>
    </xf>
    <xf numFmtId="0" fontId="247" fillId="2" borderId="70" xfId="6" applyFill="1" applyBorder="1" applyAlignment="1" applyProtection="1">
      <alignment horizontal="left" vertical="center"/>
    </xf>
    <xf numFmtId="0" fontId="247" fillId="2" borderId="34" xfId="6" applyFill="1" applyBorder="1" applyAlignment="1" applyProtection="1">
      <alignment horizontal="left" vertical="center"/>
    </xf>
    <xf numFmtId="0" fontId="247" fillId="2" borderId="18"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5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69" xfId="6" applyFill="1" applyBorder="1" applyAlignment="1" applyProtection="1">
      <alignment horizontal="right" vertical="center"/>
    </xf>
    <xf numFmtId="0" fontId="24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4"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247"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91" fillId="6" borderId="0" xfId="6" applyFont="1" applyFill="1" applyAlignment="1" applyProtection="1">
      <alignment vertical="center" wrapText="1"/>
    </xf>
    <xf numFmtId="0" fontId="91" fillId="6" borderId="0" xfId="6" applyFont="1" applyFill="1" applyAlignment="1" applyProtection="1">
      <alignment horizontal="left" vertical="center" wrapText="1"/>
    </xf>
    <xf numFmtId="0" fontId="91" fillId="0" borderId="0" xfId="6" applyFont="1" applyAlignment="1" applyProtection="1">
      <alignment horizontal="left" vertical="center" wrapText="1"/>
    </xf>
    <xf numFmtId="0" fontId="91" fillId="0" borderId="0" xfId="6" applyFont="1" applyAlignment="1" applyProtection="1">
      <alignment horizontal="center" vertical="center" wrapText="1"/>
    </xf>
    <xf numFmtId="0" fontId="91" fillId="0" borderId="0" xfId="6" applyFont="1" applyAlignment="1" applyProtection="1">
      <alignment vertical="center" wrapText="1"/>
    </xf>
    <xf numFmtId="0" fontId="91"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91" fillId="2" borderId="1" xfId="6" applyFont="1" applyFill="1" applyBorder="1" applyAlignment="1" applyProtection="1">
      <alignment vertical="center" wrapText="1"/>
    </xf>
    <xf numFmtId="0" fontId="91" fillId="0" borderId="1" xfId="6" applyFont="1" applyFill="1" applyBorder="1" applyAlignment="1" applyProtection="1">
      <alignment vertical="center" wrapText="1"/>
      <protection locked="0"/>
    </xf>
    <xf numFmtId="0" fontId="9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91" fillId="2" borderId="1" xfId="6" applyNumberFormat="1" applyFont="1" applyFill="1" applyBorder="1" applyAlignment="1" applyProtection="1">
      <alignment horizontal="left" vertical="center" wrapText="1"/>
    </xf>
    <xf numFmtId="0" fontId="91" fillId="3" borderId="1" xfId="6" applyNumberFormat="1" applyFont="1" applyFill="1" applyBorder="1" applyAlignment="1" applyProtection="1">
      <alignment horizontal="center" vertical="center" wrapText="1"/>
      <protection locked="0"/>
    </xf>
    <xf numFmtId="0" fontId="91"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91" fillId="3" borderId="1" xfId="6"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91"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3" fillId="2" borderId="95"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91" fillId="2" borderId="95"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1" fillId="2" borderId="55" xfId="6" applyFont="1" applyFill="1" applyBorder="1" applyAlignment="1" applyProtection="1">
      <alignment horizontal="left" vertical="center" wrapText="1"/>
    </xf>
    <xf numFmtId="49" fontId="56"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1" fillId="2" borderId="10" xfId="6" applyFont="1" applyFill="1" applyBorder="1" applyAlignment="1" applyProtection="1">
      <alignment horizontal="left" vertical="center"/>
    </xf>
    <xf numFmtId="0" fontId="9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1" fillId="2" borderId="18" xfId="6" applyFont="1" applyFill="1" applyBorder="1" applyAlignment="1" applyProtection="1">
      <alignment horizontal="left" vertical="center"/>
    </xf>
    <xf numFmtId="0" fontId="91" fillId="2" borderId="54" xfId="6" applyFont="1" applyFill="1" applyBorder="1" applyAlignment="1" applyProtection="1">
      <alignment horizontal="left" vertical="center" wrapText="1"/>
    </xf>
    <xf numFmtId="0" fontId="21" fillId="2" borderId="94"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wrapText="1"/>
      <protection locked="0"/>
    </xf>
    <xf numFmtId="0" fontId="9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1" fillId="2" borderId="78"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91" fillId="0" borderId="1" xfId="6" applyFont="1" applyFill="1" applyBorder="1" applyAlignment="1" applyProtection="1">
      <alignment horizontal="left" vertical="center"/>
      <protection locked="0"/>
    </xf>
    <xf numFmtId="0" fontId="91"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5"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1" fillId="3" borderId="5" xfId="6" applyFont="1" applyFill="1" applyBorder="1" applyAlignment="1" applyProtection="1">
      <alignment horizontal="center" vertical="center" wrapText="1"/>
      <protection locked="0"/>
    </xf>
    <xf numFmtId="0" fontId="9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6" applyFont="1" applyFill="1" applyBorder="1" applyAlignment="1" applyProtection="1">
      <alignment horizontal="center" vertical="center" wrapText="1"/>
    </xf>
    <xf numFmtId="0" fontId="9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1"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9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2" fillId="2" borderId="94" xfId="6" applyFont="1" applyFill="1" applyBorder="1" applyAlignment="1" applyProtection="1">
      <alignment horizontal="left" vertical="center" wrapText="1"/>
    </xf>
    <xf numFmtId="189" fontId="38" fillId="2" borderId="94" xfId="6" applyNumberFormat="1" applyFont="1" applyFill="1" applyBorder="1" applyAlignment="1" applyProtection="1">
      <alignment horizontal="center" vertical="center" wrapText="1"/>
    </xf>
    <xf numFmtId="0" fontId="49" fillId="2" borderId="94" xfId="6"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14" fontId="33" fillId="2" borderId="95" xfId="6" applyNumberFormat="1" applyFont="1" applyFill="1" applyBorder="1" applyAlignment="1" applyProtection="1">
      <alignment horizontal="center" vertical="center" wrapText="1"/>
    </xf>
    <xf numFmtId="0" fontId="49" fillId="3" borderId="94"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9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0"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93" fillId="2" borderId="78" xfId="6" applyFont="1" applyFill="1" applyBorder="1" applyAlignment="1" applyProtection="1">
      <alignment horizontal="center" vertical="center" wrapText="1"/>
    </xf>
    <xf numFmtId="0" fontId="91" fillId="2" borderId="55" xfId="6" applyFont="1" applyFill="1" applyBorder="1" applyAlignment="1" applyProtection="1">
      <alignment vertical="center" wrapText="1"/>
    </xf>
    <xf numFmtId="0" fontId="93"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1" fillId="2" borderId="20" xfId="6" applyFont="1" applyFill="1" applyBorder="1" applyAlignment="1" applyProtection="1">
      <alignment vertical="center" wrapText="1"/>
    </xf>
    <xf numFmtId="0" fontId="91" fillId="2" borderId="0" xfId="6" applyFont="1" applyFill="1" applyBorder="1" applyAlignment="1" applyProtection="1">
      <alignment vertical="center" wrapText="1"/>
    </xf>
    <xf numFmtId="0" fontId="9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1" fillId="2" borderId="16" xfId="6" applyFont="1" applyFill="1" applyBorder="1" applyAlignment="1" applyProtection="1">
      <alignment vertical="center" wrapText="1"/>
    </xf>
    <xf numFmtId="0" fontId="91" fillId="2" borderId="17" xfId="6" applyFont="1" applyFill="1" applyBorder="1" applyAlignment="1" applyProtection="1">
      <alignment vertical="center" wrapText="1"/>
    </xf>
    <xf numFmtId="0" fontId="93"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93"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93" fillId="2" borderId="39" xfId="6" applyFont="1" applyFill="1" applyBorder="1" applyAlignment="1" applyProtection="1">
      <alignment vertical="center" wrapText="1"/>
    </xf>
    <xf numFmtId="0" fontId="91" fillId="2" borderId="78" xfId="6" applyFont="1" applyFill="1" applyBorder="1" applyAlignment="1" applyProtection="1">
      <alignment vertical="center" wrapText="1"/>
    </xf>
    <xf numFmtId="0" fontId="91" fillId="2" borderId="68" xfId="6" applyFont="1" applyFill="1" applyBorder="1" applyAlignment="1" applyProtection="1">
      <alignment horizontal="center" vertical="center" wrapText="1"/>
    </xf>
    <xf numFmtId="0" fontId="9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1"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61"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93" fillId="2" borderId="76" xfId="6" applyFont="1" applyFill="1" applyBorder="1" applyAlignment="1" applyProtection="1">
      <alignment vertical="center" wrapText="1"/>
    </xf>
    <xf numFmtId="0" fontId="91" fillId="2" borderId="110" xfId="6" applyFont="1" applyFill="1" applyBorder="1" applyAlignment="1" applyProtection="1">
      <alignment horizontal="left" vertical="center" wrapText="1"/>
    </xf>
    <xf numFmtId="0" fontId="9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1" fillId="2" borderId="79" xfId="6" applyFont="1" applyFill="1" applyBorder="1" applyAlignment="1" applyProtection="1">
      <alignment vertical="center" wrapText="1"/>
    </xf>
    <xf numFmtId="0" fontId="93" fillId="2" borderId="69" xfId="6" applyFont="1" applyFill="1" applyBorder="1" applyAlignment="1" applyProtection="1">
      <alignment vertical="center" wrapText="1"/>
    </xf>
    <xf numFmtId="0" fontId="93" fillId="2" borderId="71" xfId="6" applyFont="1" applyFill="1" applyBorder="1" applyAlignment="1" applyProtection="1">
      <alignment horizontal="left" vertical="center" wrapText="1"/>
    </xf>
    <xf numFmtId="0" fontId="91" fillId="2" borderId="78" xfId="6" applyFont="1" applyFill="1" applyBorder="1" applyAlignment="1" applyProtection="1">
      <alignment vertical="center"/>
    </xf>
    <xf numFmtId="0" fontId="91" fillId="2" borderId="39" xfId="6" applyFont="1" applyFill="1" applyBorder="1" applyAlignment="1" applyProtection="1">
      <alignment vertical="center"/>
    </xf>
    <xf numFmtId="0" fontId="93"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3"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93" fillId="2" borderId="68" xfId="6" applyFont="1" applyFill="1" applyBorder="1" applyAlignment="1" applyProtection="1">
      <alignment vertical="center" wrapText="1"/>
    </xf>
    <xf numFmtId="0" fontId="113"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7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75"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9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1" fillId="2" borderId="0" xfId="6" applyNumberFormat="1" applyFont="1" applyFill="1" applyAlignment="1" applyProtection="1">
      <alignment vertical="center" wrapText="1"/>
    </xf>
    <xf numFmtId="0" fontId="9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1" fillId="2" borderId="96" xfId="6" applyFont="1" applyFill="1" applyBorder="1" applyAlignment="1" applyProtection="1">
      <alignment horizontal="left" vertical="center" wrapText="1"/>
    </xf>
    <xf numFmtId="0" fontId="91" fillId="2" borderId="0" xfId="6" applyFont="1" applyFill="1" applyBorder="1" applyAlignment="1" applyProtection="1">
      <alignment vertical="center" wrapText="1"/>
      <protection locked="0"/>
    </xf>
    <xf numFmtId="0" fontId="91" fillId="2" borderId="0" xfId="6" applyFont="1" applyFill="1" applyAlignment="1" applyProtection="1">
      <alignment vertical="center"/>
      <protection locked="0"/>
    </xf>
    <xf numFmtId="0" fontId="91" fillId="2" borderId="45" xfId="6" applyFont="1" applyFill="1" applyBorder="1" applyAlignment="1" applyProtection="1">
      <alignment horizontal="left" vertical="center" wrapText="1"/>
    </xf>
    <xf numFmtId="0" fontId="91" fillId="2" borderId="46" xfId="6" applyFont="1" applyFill="1" applyBorder="1" applyAlignment="1" applyProtection="1">
      <alignment horizontal="left" vertical="center" wrapText="1"/>
    </xf>
    <xf numFmtId="0" fontId="91" fillId="2" borderId="47" xfId="6" applyFont="1" applyFill="1" applyBorder="1" applyAlignment="1" applyProtection="1">
      <alignment horizontal="left" vertical="center" wrapText="1"/>
    </xf>
    <xf numFmtId="0" fontId="18" fillId="2" borderId="96"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1" fillId="2" borderId="44" xfId="6" applyFont="1" applyFill="1" applyBorder="1" applyAlignment="1" applyProtection="1">
      <alignment horizontal="left" vertical="center" wrapText="1"/>
    </xf>
    <xf numFmtId="0" fontId="91" fillId="2" borderId="0"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6" fillId="2" borderId="89" xfId="0" applyNumberFormat="1" applyFont="1" applyFill="1" applyBorder="1" applyAlignment="1" applyProtection="1">
      <alignment horizontal="left" vertical="center"/>
    </xf>
    <xf numFmtId="0" fontId="76"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94" xfId="6" applyNumberFormat="1" applyFont="1" applyFill="1" applyBorder="1" applyAlignment="1" applyProtection="1">
      <alignment horizontal="center" vertical="center" wrapText="1"/>
    </xf>
    <xf numFmtId="0" fontId="33" fillId="3" borderId="96"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1" fillId="2" borderId="19" xfId="6" applyFont="1" applyFill="1" applyBorder="1" applyAlignment="1" applyProtection="1">
      <alignment horizontal="center" vertical="center" wrapText="1"/>
    </xf>
    <xf numFmtId="0" fontId="60"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2" fillId="2" borderId="19" xfId="6" applyFont="1" applyFill="1" applyBorder="1" applyAlignment="1" applyProtection="1">
      <alignment horizontal="center" vertical="center" wrapText="1"/>
      <protection locked="0"/>
    </xf>
    <xf numFmtId="0" fontId="142" fillId="2" borderId="5" xfId="6" applyFont="1" applyFill="1" applyBorder="1" applyAlignment="1" applyProtection="1">
      <alignment vertical="center" wrapText="1"/>
      <protection locked="0"/>
    </xf>
    <xf numFmtId="0" fontId="142"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42"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1" fillId="2" borderId="48" xfId="6" applyFont="1" applyFill="1" applyBorder="1" applyAlignment="1" applyProtection="1">
      <alignment vertical="center" wrapText="1"/>
    </xf>
    <xf numFmtId="0" fontId="91" fillId="2" borderId="4" xfId="6" applyFont="1" applyFill="1" applyBorder="1" applyAlignment="1" applyProtection="1">
      <alignment horizontal="center" vertical="center" wrapText="1"/>
    </xf>
    <xf numFmtId="0" fontId="91" fillId="2" borderId="5" xfId="6" applyFont="1" applyFill="1" applyBorder="1" applyAlignment="1" applyProtection="1">
      <alignment horizontal="center" vertical="center" wrapText="1"/>
    </xf>
    <xf numFmtId="0" fontId="91" fillId="2" borderId="13" xfId="6" applyFont="1" applyFill="1" applyBorder="1" applyAlignment="1" applyProtection="1">
      <alignment horizontal="center" vertical="center" wrapText="1"/>
    </xf>
    <xf numFmtId="0" fontId="91" fillId="2" borderId="67" xfId="6" applyFont="1" applyFill="1" applyBorder="1" applyAlignment="1" applyProtection="1">
      <alignment vertical="center" wrapText="1"/>
    </xf>
    <xf numFmtId="0" fontId="9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1" fillId="2" borderId="44" xfId="6" applyFont="1" applyFill="1" applyBorder="1" applyAlignment="1" applyProtection="1">
      <alignment vertical="center" wrapText="1"/>
    </xf>
    <xf numFmtId="9" fontId="9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1" fillId="2" borderId="53" xfId="6" applyFont="1" applyFill="1" applyBorder="1" applyAlignment="1" applyProtection="1">
      <alignment vertical="center" wrapText="1"/>
    </xf>
    <xf numFmtId="0" fontId="91" fillId="2" borderId="56" xfId="6" applyFont="1" applyFill="1" applyBorder="1" applyAlignment="1" applyProtection="1">
      <alignment vertical="center"/>
    </xf>
    <xf numFmtId="0" fontId="9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8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1" fillId="2" borderId="0" xfId="6" applyFont="1" applyFill="1" applyAlignment="1" applyProtection="1">
      <alignment horizontal="center" vertical="center" wrapText="1"/>
      <protection locked="0"/>
    </xf>
    <xf numFmtId="0" fontId="9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76" fillId="0" borderId="1" xfId="6" applyNumberFormat="1" applyFont="1" applyFill="1" applyBorder="1" applyAlignment="1" applyProtection="1">
      <alignment horizontal="center" vertical="center"/>
      <protection locked="0"/>
    </xf>
    <xf numFmtId="177" fontId="76" fillId="2" borderId="1" xfId="6" applyNumberFormat="1" applyFont="1" applyFill="1" applyBorder="1" applyAlignment="1" applyProtection="1">
      <alignment horizontal="center" vertical="center"/>
    </xf>
    <xf numFmtId="189" fontId="76"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1" fillId="6" borderId="0" xfId="6" applyNumberFormat="1" applyFont="1" applyFill="1" applyAlignment="1" applyProtection="1">
      <alignment horizontal="center" vertical="center" wrapText="1"/>
    </xf>
    <xf numFmtId="10" fontId="9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2" fontId="129" fillId="2" borderId="1" xfId="6" applyNumberFormat="1" applyFont="1" applyFill="1" applyBorder="1" applyAlignment="1" applyProtection="1">
      <alignment horizontal="center" vertical="center"/>
    </xf>
    <xf numFmtId="189" fontId="129" fillId="2" borderId="1" xfId="6" applyNumberFormat="1" applyFont="1" applyFill="1" applyBorder="1" applyAlignment="1" applyProtection="1">
      <alignment horizontal="center" vertical="center"/>
    </xf>
    <xf numFmtId="177" fontId="143" fillId="2" borderId="1" xfId="6" applyNumberFormat="1" applyFont="1" applyFill="1" applyBorder="1" applyAlignment="1" applyProtection="1">
      <alignment horizontal="center" vertical="center"/>
    </xf>
    <xf numFmtId="189" fontId="143"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7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1"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14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8"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91" fillId="2" borderId="6" xfId="5" applyFont="1" applyFill="1" applyBorder="1" applyAlignment="1" applyProtection="1"/>
    <xf numFmtId="179"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8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50" fillId="9" borderId="0" xfId="0" applyFont="1" applyFill="1" applyBorder="1" applyAlignment="1" applyProtection="1">
      <alignment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6" fillId="2" borderId="3" xfId="6" applyNumberFormat="1" applyFont="1" applyFill="1" applyBorder="1" applyAlignment="1" applyProtection="1">
      <alignment horizontal="center" vertical="center" wrapText="1"/>
      <protection locked="0"/>
    </xf>
    <xf numFmtId="0" fontId="142"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1"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94" xfId="0" applyNumberFormat="1" applyFont="1" applyFill="1" applyBorder="1" applyAlignment="1" applyProtection="1">
      <alignment horizontal="center"/>
    </xf>
    <xf numFmtId="189" fontId="150" fillId="2" borderId="94" xfId="0" applyNumberFormat="1" applyFont="1" applyFill="1" applyBorder="1" applyAlignment="1" applyProtection="1">
      <alignment horizontal="center" vertical="center"/>
    </xf>
    <xf numFmtId="177" fontId="150" fillId="2" borderId="95" xfId="5" applyNumberFormat="1" applyFont="1" applyFill="1" applyBorder="1" applyAlignment="1" applyProtection="1">
      <alignment vertical="center"/>
    </xf>
    <xf numFmtId="10" fontId="150" fillId="2" borderId="94" xfId="0" applyNumberFormat="1" applyFont="1" applyFill="1" applyBorder="1" applyAlignment="1" applyProtection="1">
      <alignment horizontal="center" vertical="center"/>
    </xf>
    <xf numFmtId="0" fontId="40" fillId="2" borderId="95" xfId="0" applyFont="1" applyFill="1" applyBorder="1" applyAlignment="1" applyProtection="1"/>
    <xf numFmtId="10" fontId="40" fillId="2" borderId="94" xfId="0" applyNumberFormat="1" applyFont="1" applyFill="1" applyBorder="1" applyAlignment="1" applyProtection="1">
      <alignment horizontal="center"/>
    </xf>
    <xf numFmtId="0" fontId="40" fillId="2" borderId="63" xfId="0" applyFont="1" applyFill="1" applyBorder="1" applyAlignment="1" applyProtection="1"/>
    <xf numFmtId="0" fontId="150" fillId="2" borderId="94" xfId="0"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10" fontId="150" fillId="2" borderId="94" xfId="0" applyNumberFormat="1" applyFont="1" applyFill="1" applyBorder="1" applyAlignment="1" applyProtection="1">
      <alignment horizontal="center" vertical="center" wrapText="1"/>
    </xf>
    <xf numFmtId="0" fontId="150" fillId="2" borderId="95"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89"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96" xfId="0" applyFont="1" applyFill="1" applyBorder="1" applyAlignment="1" applyProtection="1"/>
    <xf numFmtId="0" fontId="44" fillId="2" borderId="95" xfId="0" applyFont="1" applyFill="1" applyBorder="1" applyAlignment="1" applyProtection="1">
      <alignment vertical="center" wrapText="1"/>
    </xf>
    <xf numFmtId="0" fontId="44" fillId="2" borderId="96"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5"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6" xfId="0" applyFont="1" applyFill="1" applyBorder="1" applyProtection="1">
      <alignment vertical="center"/>
      <protection locked="0"/>
    </xf>
    <xf numFmtId="0" fontId="40" fillId="2" borderId="91"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3" fillId="0" borderId="6" xfId="0" applyFont="1" applyFill="1" applyBorder="1" applyAlignment="1" applyProtection="1">
      <alignment horizontal="center" vertical="center"/>
      <protection locked="0"/>
    </xf>
    <xf numFmtId="10" fontId="153" fillId="0" borderId="1" xfId="0" applyNumberFormat="1" applyFont="1" applyFill="1" applyBorder="1" applyAlignment="1" applyProtection="1">
      <alignment horizontal="center" vertical="center"/>
      <protection locked="0"/>
    </xf>
    <xf numFmtId="0" fontId="17" fillId="2" borderId="103"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6"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02" xfId="0" applyFont="1" applyFill="1" applyBorder="1" applyAlignment="1" applyProtection="1">
      <alignment horizontal="center" vertical="center" wrapText="1"/>
    </xf>
    <xf numFmtId="0" fontId="163" fillId="2" borderId="96" xfId="0" applyFont="1" applyFill="1" applyBorder="1" applyAlignment="1" applyProtection="1">
      <alignment horizontal="center" vertical="center" wrapText="1"/>
    </xf>
    <xf numFmtId="0" fontId="164" fillId="2" borderId="96"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80"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61"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100" xfId="0" applyFont="1" applyFill="1" applyBorder="1" applyAlignment="1" applyProtection="1">
      <alignment horizontal="center" vertical="center" wrapText="1"/>
    </xf>
    <xf numFmtId="0" fontId="170" fillId="2" borderId="93"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8" fillId="6" borderId="0" xfId="0" applyFont="1" applyFill="1" applyProtection="1">
      <alignment vertical="center"/>
    </xf>
    <xf numFmtId="0" fontId="127" fillId="2" borderId="0" xfId="0" applyFont="1" applyFill="1" applyProtection="1">
      <alignment vertical="center"/>
    </xf>
    <xf numFmtId="0" fontId="75"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89" fillId="2" borderId="101" xfId="0" applyFont="1" applyFill="1" applyBorder="1" applyAlignment="1" applyProtection="1">
      <alignment horizontal="left" vertical="center" wrapText="1"/>
    </xf>
    <xf numFmtId="0" fontId="89" fillId="2" borderId="63" xfId="0" applyFont="1" applyFill="1" applyBorder="1" applyAlignment="1" applyProtection="1">
      <alignment horizontal="left" vertical="center" wrapText="1"/>
    </xf>
    <xf numFmtId="0" fontId="89" fillId="2" borderId="96"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xf>
    <xf numFmtId="0" fontId="8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43" fillId="2" borderId="0" xfId="0" applyNumberFormat="1" applyFont="1" applyFill="1" applyBorder="1" applyAlignment="1" applyProtection="1">
      <alignment horizontal="left" vertical="center" wrapText="1"/>
      <protection locked="0"/>
    </xf>
    <xf numFmtId="0" fontId="8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8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2" xfId="0" applyFont="1" applyFill="1" applyBorder="1" applyAlignment="1" applyProtection="1">
      <alignment horizontal="left" vertical="center" wrapText="1"/>
    </xf>
    <xf numFmtId="0" fontId="89"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89"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8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89" fillId="2" borderId="103"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89" fillId="2" borderId="103"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101" xfId="0" applyFont="1" applyFill="1" applyBorder="1" applyAlignment="1" applyProtection="1">
      <alignment vertical="center"/>
    </xf>
    <xf numFmtId="0" fontId="29" fillId="2" borderId="95" xfId="0" applyFont="1" applyFill="1" applyBorder="1" applyAlignment="1" applyProtection="1">
      <alignment vertical="center"/>
    </xf>
    <xf numFmtId="179" fontId="29" fillId="2" borderId="95" xfId="0" applyNumberFormat="1" applyFont="1" applyFill="1" applyBorder="1" applyAlignment="1" applyProtection="1">
      <alignment vertical="center"/>
    </xf>
    <xf numFmtId="0" fontId="149" fillId="2" borderId="95"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8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6" xfId="0" applyFont="1" applyFill="1" applyBorder="1" applyAlignment="1" applyProtection="1">
      <alignment vertical="center"/>
    </xf>
    <xf numFmtId="0" fontId="29" fillId="2" borderId="101" xfId="0" applyFont="1" applyFill="1" applyBorder="1" applyAlignment="1" applyProtection="1">
      <alignment horizontal="center" vertical="center"/>
    </xf>
    <xf numFmtId="0" fontId="29" fillId="2" borderId="95"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2"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73" fillId="0" borderId="1" xfId="4" applyFont="1" applyBorder="1" applyAlignment="1" applyProtection="1">
      <alignment horizontal="center" vertical="center" wrapText="1"/>
      <protection locked="0"/>
    </xf>
    <xf numFmtId="0" fontId="75" fillId="0" borderId="1" xfId="4" applyFont="1" applyBorder="1" applyAlignment="1" applyProtection="1">
      <alignment horizontal="center" vertical="center" wrapText="1"/>
      <protection locked="0"/>
    </xf>
    <xf numFmtId="0" fontId="75" fillId="0" borderId="1" xfId="4" applyFont="1" applyFill="1" applyBorder="1" applyAlignment="1" applyProtection="1">
      <alignment horizontal="center" vertical="center" wrapText="1"/>
      <protection locked="0"/>
    </xf>
    <xf numFmtId="0" fontId="7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2" fillId="0" borderId="1" xfId="4"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99" xfId="0" applyFont="1" applyFill="1" applyBorder="1" applyAlignment="1" applyProtection="1">
      <alignment vertical="center" wrapText="1"/>
    </xf>
    <xf numFmtId="0" fontId="181" fillId="3" borderId="99" xfId="0" applyFont="1" applyFill="1" applyBorder="1" applyAlignment="1" applyProtection="1">
      <alignment horizontal="left" vertical="center"/>
      <protection locked="0"/>
    </xf>
    <xf numFmtId="0" fontId="181" fillId="3" borderId="100"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3" fontId="59"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91"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3"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0"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8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78"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86" fillId="0" borderId="0" xfId="11" applyFont="1" applyAlignment="1">
      <alignment horizontal="left" vertical="center"/>
    </xf>
    <xf numFmtId="0" fontId="187" fillId="3" borderId="9" xfId="11" applyFont="1" applyFill="1" applyBorder="1" applyAlignment="1">
      <alignment horizontal="left" vertical="center"/>
    </xf>
    <xf numFmtId="0" fontId="188" fillId="0" borderId="1" xfId="11" applyFont="1" applyFill="1" applyBorder="1" applyAlignment="1">
      <alignment horizontal="left" vertical="center"/>
    </xf>
    <xf numFmtId="0" fontId="188" fillId="0" borderId="10" xfId="11" applyFont="1" applyFill="1" applyBorder="1" applyAlignment="1">
      <alignment horizontal="left" vertical="center"/>
    </xf>
    <xf numFmtId="0" fontId="187" fillId="3" borderId="169" xfId="11" applyFont="1" applyFill="1" applyBorder="1" applyAlignment="1">
      <alignment horizontal="left" vertical="center"/>
    </xf>
    <xf numFmtId="194" fontId="188" fillId="0" borderId="10" xfId="11" applyNumberFormat="1" applyFont="1" applyFill="1" applyBorder="1" applyAlignment="1">
      <alignment horizontal="left" vertical="center"/>
    </xf>
    <xf numFmtId="0" fontId="188" fillId="0" borderId="170" xfId="11" applyFont="1" applyFill="1" applyBorder="1" applyAlignment="1">
      <alignment horizontal="left" vertical="center"/>
    </xf>
    <xf numFmtId="183" fontId="188" fillId="0" borderId="1" xfId="11" applyNumberFormat="1" applyFont="1" applyFill="1" applyBorder="1" applyAlignment="1">
      <alignment horizontal="left" vertical="center"/>
    </xf>
    <xf numFmtId="0" fontId="188" fillId="0" borderId="9" xfId="11" applyFont="1" applyFill="1" applyBorder="1" applyAlignment="1">
      <alignment horizontal="left" vertical="center"/>
    </xf>
    <xf numFmtId="194" fontId="188" fillId="0" borderId="170" xfId="11" applyNumberFormat="1" applyFont="1" applyFill="1" applyBorder="1" applyAlignment="1">
      <alignment horizontal="left" vertical="center"/>
    </xf>
    <xf numFmtId="0" fontId="178" fillId="0" borderId="0" xfId="11" applyFont="1" applyFill="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0" borderId="1" xfId="11" applyFont="1" applyFill="1" applyBorder="1" applyAlignment="1">
      <alignment horizontal="left" vertical="center"/>
    </xf>
    <xf numFmtId="0" fontId="104" fillId="0" borderId="1" xfId="11" applyFont="1" applyBorder="1" applyAlignment="1">
      <alignment horizontal="left" vertical="center"/>
    </xf>
    <xf numFmtId="183" fontId="188" fillId="0" borderId="10" xfId="11" applyNumberFormat="1" applyFont="1" applyFill="1" applyBorder="1" applyAlignment="1">
      <alignment horizontal="left" vertical="center"/>
    </xf>
    <xf numFmtId="0" fontId="104" fillId="0" borderId="170" xfId="11" applyFont="1" applyBorder="1" applyAlignment="1">
      <alignment horizontal="left" vertical="center"/>
    </xf>
    <xf numFmtId="183" fontId="188"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78" fillId="0" borderId="0" xfId="11" applyNumberFormat="1" applyFont="1" applyAlignment="1">
      <alignment horizontal="left" vertical="center"/>
    </xf>
    <xf numFmtId="14" fontId="178" fillId="0" borderId="171" xfId="11" applyNumberFormat="1" applyFont="1" applyBorder="1" applyAlignment="1">
      <alignment horizontal="left" vertical="center"/>
    </xf>
    <xf numFmtId="0" fontId="178" fillId="0" borderId="0" xfId="11" applyFont="1" applyBorder="1" applyAlignment="1">
      <alignment horizontal="left" vertical="center"/>
    </xf>
    <xf numFmtId="0" fontId="189" fillId="0" borderId="0" xfId="11" applyFont="1" applyBorder="1" applyAlignment="1">
      <alignment horizontal="left" vertical="center"/>
    </xf>
    <xf numFmtId="0" fontId="80"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7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85" fillId="0" borderId="0" xfId="0" applyFont="1" applyProtection="1">
      <alignment vertical="center"/>
    </xf>
    <xf numFmtId="0" fontId="200" fillId="0" borderId="0" xfId="0" applyFont="1" applyBorder="1" applyAlignment="1" applyProtection="1">
      <alignment horizontal="center" vertical="center"/>
    </xf>
    <xf numFmtId="0" fontId="8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7" fillId="0" borderId="0" xfId="11">
      <alignment vertical="center"/>
    </xf>
    <xf numFmtId="0" fontId="205" fillId="0" borderId="0" xfId="11"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49" fontId="82" fillId="0" borderId="13" xfId="0" applyNumberFormat="1" applyFont="1" applyFill="1" applyBorder="1" applyAlignment="1" applyProtection="1">
      <alignment horizontal="left" vertical="center" wrapText="1"/>
      <protection locked="0"/>
    </xf>
    <xf numFmtId="0" fontId="82" fillId="0" borderId="14" xfId="0" applyFont="1" applyBorder="1" applyAlignment="1" applyProtection="1">
      <alignment horizontal="left" vertical="center" wrapText="1"/>
      <protection locked="0"/>
    </xf>
    <xf numFmtId="179" fontId="29" fillId="0" borderId="43"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149" fillId="0" borderId="10" xfId="0" applyFont="1" applyFill="1" applyBorder="1" applyAlignment="1" applyProtection="1">
      <alignment horizontal="center" vertical="center" wrapText="1"/>
      <protection locked="0"/>
    </xf>
    <xf numFmtId="0" fontId="149" fillId="0" borderId="64" xfId="0" applyNumberFormat="1" applyFont="1" applyFill="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142" fillId="0" borderId="5" xfId="0" applyFont="1" applyBorder="1" applyAlignment="1" applyProtection="1">
      <alignment horizontal="center" vertical="center" wrapText="1"/>
      <protection locked="0"/>
    </xf>
    <xf numFmtId="0" fontId="142" fillId="0" borderId="85"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149" fillId="0" borderId="64" xfId="0" applyFont="1" applyBorder="1" applyAlignment="1" applyProtection="1">
      <alignment horizontal="center" vertical="center" wrapText="1"/>
      <protection locked="0"/>
    </xf>
    <xf numFmtId="0" fontId="149" fillId="0" borderId="59" xfId="0" applyNumberFormat="1"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149" fillId="0" borderId="57"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49" fontId="29" fillId="0" borderId="64" xfId="0" applyNumberFormat="1" applyFont="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90" fillId="6" borderId="66" xfId="0" applyFont="1" applyFill="1" applyBorder="1" applyAlignment="1" applyProtection="1">
      <alignment horizontal="left" vertical="center" wrapText="1"/>
      <protection locked="0"/>
    </xf>
    <xf numFmtId="0" fontId="142" fillId="0" borderId="12"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2" fontId="29" fillId="0" borderId="64" xfId="0" applyNumberFormat="1" applyFont="1" applyBorder="1" applyAlignment="1" applyProtection="1">
      <alignment horizontal="center" vertical="center" wrapText="1"/>
      <protection locked="0"/>
    </xf>
    <xf numFmtId="0" fontId="205" fillId="0" borderId="0" xfId="11"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7" fillId="3" borderId="10" xfId="11" applyFont="1" applyFill="1" applyBorder="1" applyAlignment="1">
      <alignment horizontal="left" vertical="center"/>
    </xf>
    <xf numFmtId="0" fontId="187" fillId="3"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0"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5" xfId="0" applyFont="1" applyFill="1" applyBorder="1" applyAlignment="1" applyProtection="1">
      <alignment vertical="center" wrapText="1"/>
    </xf>
    <xf numFmtId="0" fontId="181" fillId="2" borderId="96"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20" borderId="9" xfId="0" applyFont="1" applyFill="1" applyBorder="1" applyAlignment="1" applyProtection="1">
      <alignment horizontal="center" vertical="center" wrapText="1"/>
    </xf>
    <xf numFmtId="0" fontId="181" fillId="20" borderId="164" xfId="0" applyFont="1" applyFill="1" applyBorder="1" applyAlignment="1" applyProtection="1">
      <alignment horizontal="center" vertical="center" wrapText="1"/>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179"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3" fillId="0" borderId="101" xfId="0" applyFont="1" applyBorder="1" applyAlignment="1" applyProtection="1">
      <alignment horizontal="center" vertical="center"/>
      <protection locked="0"/>
    </xf>
    <xf numFmtId="0" fontId="153" fillId="0" borderId="95"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6"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3" fillId="2" borderId="83" xfId="0" applyFont="1" applyFill="1" applyBorder="1" applyAlignment="1" applyProtection="1">
      <alignment horizontal="center" vertical="center" wrapText="1"/>
    </xf>
    <xf numFmtId="0" fontId="113" fillId="2" borderId="99"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18"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59"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3" fillId="2" borderId="91" xfId="0" applyFont="1" applyFill="1" applyBorder="1" applyAlignment="1" applyProtection="1">
      <alignment horizontal="center" vertical="center" wrapText="1"/>
    </xf>
    <xf numFmtId="0" fontId="163" fillId="2" borderId="106" xfId="0" applyFont="1" applyFill="1" applyBorder="1" applyAlignment="1" applyProtection="1">
      <alignment horizontal="center" vertical="center" wrapText="1"/>
    </xf>
    <xf numFmtId="0" fontId="163" fillId="2" borderId="10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5" fillId="2" borderId="96" xfId="0" applyFont="1" applyFill="1" applyBorder="1" applyAlignment="1" applyProtection="1">
      <alignment horizontal="center" vertical="center" wrapText="1"/>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50" fillId="2" borderId="101" xfId="0" applyFont="1" applyFill="1" applyBorder="1" applyAlignment="1" applyProtection="1">
      <alignment vertical="center"/>
    </xf>
    <xf numFmtId="0" fontId="150" fillId="2" borderId="95"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142" fillId="2" borderId="4"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2" fillId="2" borderId="6" xfId="0" applyFont="1" applyFill="1" applyBorder="1" applyAlignment="1" applyProtection="1">
      <alignment horizontal="center" vertical="center" wrapText="1"/>
    </xf>
    <xf numFmtId="0" fontId="142"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9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1" fillId="2" borderId="40" xfId="6" applyFont="1" applyFill="1" applyBorder="1" applyAlignment="1" applyProtection="1">
      <alignment horizontal="center" vertical="center" wrapText="1"/>
    </xf>
    <xf numFmtId="0" fontId="91"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5"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8" fillId="14" borderId="116" xfId="13" applyFont="1" applyFill="1" applyBorder="1" applyAlignment="1" applyProtection="1">
      <alignment horizontal="left" vertical="center" wrapText="1"/>
    </xf>
    <xf numFmtId="0" fontId="108" fillId="14" borderId="135" xfId="13" applyFont="1" applyFill="1" applyBorder="1" applyAlignment="1" applyProtection="1">
      <alignment horizontal="left" vertical="center" wrapText="1"/>
    </xf>
    <xf numFmtId="0" fontId="108" fillId="14" borderId="136" xfId="13" applyFont="1" applyFill="1" applyBorder="1" applyAlignment="1" applyProtection="1">
      <alignment horizontal="left" vertical="center" wrapText="1"/>
    </xf>
    <xf numFmtId="0" fontId="108" fillId="14" borderId="137" xfId="13" applyFont="1" applyFill="1" applyBorder="1" applyAlignment="1" applyProtection="1">
      <alignment horizontal="left" vertical="center" wrapText="1"/>
    </xf>
    <xf numFmtId="0" fontId="108" fillId="14" borderId="138" xfId="13" applyFont="1" applyFill="1" applyBorder="1" applyAlignment="1" applyProtection="1">
      <alignment horizontal="left" vertical="center" wrapText="1"/>
    </xf>
    <xf numFmtId="0" fontId="60" fillId="14" borderId="138" xfId="13" applyFont="1" applyFill="1" applyBorder="1" applyAlignment="1" applyProtection="1">
      <alignment horizontal="left" vertical="center" wrapText="1"/>
    </xf>
    <xf numFmtId="0" fontId="60" fillId="14" borderId="116" xfId="13" applyFont="1" applyFill="1" applyBorder="1" applyAlignment="1" applyProtection="1">
      <alignment horizontal="left" vertical="center" wrapText="1"/>
    </xf>
    <xf numFmtId="0" fontId="60" fillId="14"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21" fillId="12" borderId="65" xfId="10" applyFont="1" applyFill="1" applyBorder="1" applyAlignment="1" applyProtection="1">
      <alignment vertical="center"/>
      <protection locked="0"/>
    </xf>
    <xf numFmtId="0" fontId="21" fillId="12"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101" xfId="10" applyFont="1" applyFill="1" applyBorder="1" applyAlignment="1">
      <alignment horizontal="left" vertical="center"/>
    </xf>
    <xf numFmtId="0" fontId="27" fillId="2" borderId="95"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8" fillId="8" borderId="1" xfId="0" applyNumberFormat="1"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96" xfId="0" applyFont="1" applyFill="1" applyBorder="1" applyAlignment="1" applyProtection="1">
      <alignment horizontal="left" vertical="center"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17</xdr:col>
      <xdr:colOff>352425</xdr:colOff>
      <xdr:row>19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228600"/>
          <a:ext cx="11953875" cy="3124200"/>
        </a:xfrm>
        <a:prstGeom prst="rect">
          <a:avLst/>
        </a:prstGeom>
        <a:noFill/>
        <a:ln w="9525">
          <a:noFill/>
        </a:ln>
      </xdr:spPr>
    </xdr:pic>
    <xdr:clientData/>
  </xdr:twoCellAnchor>
  <xdr:twoCellAnchor editAs="oneCell">
    <xdr:from>
      <xdr:col>0</xdr:col>
      <xdr:colOff>381000</xdr:colOff>
      <xdr:row>20</xdr:row>
      <xdr:rowOff>28575</xdr:rowOff>
    </xdr:from>
    <xdr:to>
      <xdr:col>13</xdr:col>
      <xdr:colOff>361950</xdr:colOff>
      <xdr:row>41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3457575"/>
          <a:ext cx="8896350" cy="3571875"/>
        </a:xfrm>
        <a:prstGeom prst="rect">
          <a:avLst/>
        </a:prstGeom>
        <a:noFill/>
        <a:ln w="9525">
          <a:noFill/>
        </a:ln>
      </xdr:spPr>
    </xdr:pic>
    <xdr:clientData/>
  </xdr:twoCellAnchor>
  <xdr:twoCellAnchor editAs="oneCell">
    <xdr:from>
      <xdr:col>0</xdr:col>
      <xdr:colOff>447675</xdr:colOff>
      <xdr:row>41</xdr:row>
      <xdr:rowOff>9525</xdr:rowOff>
    </xdr:from>
    <xdr:to>
      <xdr:col>13</xdr:col>
      <xdr:colOff>314325</xdr:colOff>
      <xdr:row>64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 y="7038975"/>
          <a:ext cx="8782050" cy="4000500"/>
        </a:xfrm>
        <a:prstGeom prst="rect">
          <a:avLst/>
        </a:prstGeom>
        <a:noFill/>
        <a:ln w="9525">
          <a:noFill/>
        </a:ln>
      </xdr:spPr>
    </xdr:pic>
    <xdr:clientData/>
  </xdr:twoCellAnchor>
  <xdr:twoCellAnchor editAs="oneCell">
    <xdr:from>
      <xdr:col>0</xdr:col>
      <xdr:colOff>523875</xdr:colOff>
      <xdr:row>65</xdr:row>
      <xdr:rowOff>0</xdr:rowOff>
    </xdr:from>
    <xdr:to>
      <xdr:col>13</xdr:col>
      <xdr:colOff>342900</xdr:colOff>
      <xdr:row>92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1144250"/>
          <a:ext cx="8734425" cy="4648200"/>
        </a:xfrm>
        <a:prstGeom prst="rect">
          <a:avLst/>
        </a:prstGeom>
        <a:noFill/>
        <a:ln w="9525">
          <a:noFill/>
        </a:ln>
      </xdr:spPr>
    </xdr:pic>
    <xdr:clientData/>
  </xdr:twoCellAnchor>
  <xdr:twoCellAnchor editAs="oneCell">
    <xdr:from>
      <xdr:col>0</xdr:col>
      <xdr:colOff>571500</xdr:colOff>
      <xdr:row>93</xdr:row>
      <xdr:rowOff>0</xdr:rowOff>
    </xdr:from>
    <xdr:to>
      <xdr:col>13</xdr:col>
      <xdr:colOff>123825</xdr:colOff>
      <xdr:row>106</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571500" y="15944850"/>
          <a:ext cx="8467725" cy="2295525"/>
        </a:xfrm>
        <a:prstGeom prst="rect">
          <a:avLst/>
        </a:prstGeom>
        <a:noFill/>
        <a:ln w="9525">
          <a:noFill/>
        </a:ln>
      </xdr:spPr>
    </xdr:pic>
    <xdr:clientData/>
  </xdr:twoCellAnchor>
  <xdr:twoCellAnchor editAs="oneCell">
    <xdr:from>
      <xdr:col>1</xdr:col>
      <xdr:colOff>0</xdr:colOff>
      <xdr:row>107</xdr:row>
      <xdr:rowOff>0</xdr:rowOff>
    </xdr:from>
    <xdr:to>
      <xdr:col>17</xdr:col>
      <xdr:colOff>28575</xdr:colOff>
      <xdr:row>137</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8345150"/>
          <a:ext cx="11277600" cy="5162550"/>
        </a:xfrm>
        <a:prstGeom prst="rect">
          <a:avLst/>
        </a:prstGeom>
        <a:noFill/>
        <a:ln w="9525">
          <a:noFill/>
        </a:ln>
      </xdr:spPr>
    </xdr:pic>
    <xdr:clientData/>
  </xdr:twoCellAnchor>
  <xdr:twoCellAnchor editAs="oneCell">
    <xdr:from>
      <xdr:col>1</xdr:col>
      <xdr:colOff>28575</xdr:colOff>
      <xdr:row>137</xdr:row>
      <xdr:rowOff>142875</xdr:rowOff>
    </xdr:from>
    <xdr:to>
      <xdr:col>15</xdr:col>
      <xdr:colOff>552450</xdr:colOff>
      <xdr:row>143</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 y="23631525"/>
          <a:ext cx="10401300" cy="904875"/>
        </a:xfrm>
        <a:prstGeom prst="rect">
          <a:avLst/>
        </a:prstGeom>
        <a:noFill/>
        <a:ln w="9525">
          <a:noFill/>
        </a:ln>
      </xdr:spPr>
    </xdr:pic>
    <xdr:clientData/>
  </xdr:twoCellAnchor>
  <xdr:twoCellAnchor editAs="oneCell">
    <xdr:from>
      <xdr:col>18</xdr:col>
      <xdr:colOff>409575</xdr:colOff>
      <xdr:row>1</xdr:row>
      <xdr:rowOff>0</xdr:rowOff>
    </xdr:from>
    <xdr:to>
      <xdr:col>28</xdr:col>
      <xdr:colOff>523875</xdr:colOff>
      <xdr:row>35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171450"/>
          <a:ext cx="6972300" cy="5981700"/>
        </a:xfrm>
        <a:prstGeom prst="rect">
          <a:avLst/>
        </a:prstGeom>
        <a:noFill/>
        <a:ln w="9525">
          <a:noFill/>
        </a:ln>
      </xdr:spPr>
    </xdr:pic>
    <xdr:clientData/>
  </xdr:twoCellAnchor>
  <xdr:twoCellAnchor editAs="oneCell">
    <xdr:from>
      <xdr:col>18</xdr:col>
      <xdr:colOff>399415</xdr:colOff>
      <xdr:row>35</xdr:row>
      <xdr:rowOff>160020</xdr:rowOff>
    </xdr:from>
    <xdr:to>
      <xdr:col>28</xdr:col>
      <xdr:colOff>504190</xdr:colOff>
      <xdr:row>50</xdr:row>
      <xdr:rowOff>55245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20040" y="6160770"/>
          <a:ext cx="6962775" cy="24669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324485</xdr:colOff>
      <xdr:row>13</xdr:row>
      <xdr:rowOff>96611</xdr:rowOff>
    </xdr:from>
    <xdr:to>
      <xdr:col>12</xdr:col>
      <xdr:colOff>591185</xdr:colOff>
      <xdr:row>42</xdr:row>
      <xdr:rowOff>106136</xdr:rowOff>
    </xdr:to>
    <xdr:pic>
      <xdr:nvPicPr>
        <xdr:cNvPr id="2" name="图片 1"/>
        <xdr:cNvPicPr>
          <a:picLocks noChangeAspect="1"/>
        </xdr:cNvPicPr>
      </xdr:nvPicPr>
      <xdr:blipFill>
        <a:blip xmlns:r="http://schemas.openxmlformats.org/officeDocument/2006/relationships" r:embed="rId1"/>
        <a:srcRect b="4498"/>
        <a:stretch>
          <a:fillRect/>
        </a:stretch>
      </xdr:blipFill>
      <xdr:spPr>
        <a:xfrm>
          <a:off x="324485" y="2396218"/>
          <a:ext cx="11859986" cy="5139418"/>
        </a:xfrm>
        <a:prstGeom prst="rect">
          <a:avLst/>
        </a:prstGeom>
        <a:noFill/>
        <a:ln w="9525">
          <a:noFill/>
        </a:ln>
      </xdr:spPr>
    </xdr:pic>
    <xdr:clientData/>
  </xdr:twoCellAnchor>
  <xdr:twoCellAnchor editAs="oneCell">
    <xdr:from>
      <xdr:col>0</xdr:col>
      <xdr:colOff>114935</xdr:colOff>
      <xdr:row>67</xdr:row>
      <xdr:rowOff>133350</xdr:rowOff>
    </xdr:from>
    <xdr:to>
      <xdr:col>12</xdr:col>
      <xdr:colOff>429260</xdr:colOff>
      <xdr:row>84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12258675"/>
          <a:ext cx="11887200" cy="2981325"/>
        </a:xfrm>
        <a:prstGeom prst="rect">
          <a:avLst/>
        </a:prstGeom>
        <a:noFill/>
        <a:ln w="9525">
          <a:noFill/>
        </a:ln>
      </xdr:spPr>
    </xdr:pic>
    <xdr:clientData/>
  </xdr:twoCellAnchor>
  <xdr:twoCellAnchor editAs="oneCell">
    <xdr:from>
      <xdr:col>0</xdr:col>
      <xdr:colOff>562610</xdr:colOff>
      <xdr:row>42</xdr:row>
      <xdr:rowOff>91167</xdr:rowOff>
    </xdr:from>
    <xdr:to>
      <xdr:col>6</xdr:col>
      <xdr:colOff>543560</xdr:colOff>
      <xdr:row>70</xdr:row>
      <xdr:rowOff>34017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2610" y="7520667"/>
          <a:ext cx="6648450" cy="4895850"/>
        </a:xfrm>
        <a:prstGeom prst="rect">
          <a:avLst/>
        </a:prstGeom>
        <a:noFill/>
        <a:ln w="9525">
          <a:noFill/>
        </a:ln>
      </xdr:spPr>
    </xdr:pic>
    <xdr:clientData/>
  </xdr:twoCellAnchor>
  <xdr:twoCellAnchor editAs="oneCell">
    <xdr:from>
      <xdr:col>0</xdr:col>
      <xdr:colOff>276860</xdr:colOff>
      <xdr:row>85</xdr:row>
      <xdr:rowOff>28575</xdr:rowOff>
    </xdr:from>
    <xdr:to>
      <xdr:col>9</xdr:col>
      <xdr:colOff>19685</xdr:colOff>
      <xdr:row>102</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5411450"/>
          <a:ext cx="8848725" cy="3076575"/>
        </a:xfrm>
        <a:prstGeom prst="rect">
          <a:avLst/>
        </a:prstGeom>
        <a:noFill/>
        <a:ln w="9525">
          <a:noFill/>
        </a:ln>
      </xdr:spPr>
    </xdr:pic>
    <xdr:clientData/>
  </xdr:twoCellAnchor>
  <xdr:twoCellAnchor editAs="oneCell">
    <xdr:from>
      <xdr:col>0</xdr:col>
      <xdr:colOff>314960</xdr:colOff>
      <xdr:row>102</xdr:row>
      <xdr:rowOff>133350</xdr:rowOff>
    </xdr:from>
    <xdr:to>
      <xdr:col>9</xdr:col>
      <xdr:colOff>257810</xdr:colOff>
      <xdr:row>123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4960" y="18592800"/>
          <a:ext cx="9048750" cy="3743325"/>
        </a:xfrm>
        <a:prstGeom prst="rect">
          <a:avLst/>
        </a:prstGeom>
        <a:noFill/>
        <a:ln w="9525">
          <a:noFill/>
        </a:ln>
      </xdr:spPr>
    </xdr:pic>
    <xdr:clientData/>
  </xdr:twoCellAnchor>
  <xdr:twoCellAnchor editAs="oneCell">
    <xdr:from>
      <xdr:col>0</xdr:col>
      <xdr:colOff>257810</xdr:colOff>
      <xdr:row>124</xdr:row>
      <xdr:rowOff>0</xdr:rowOff>
    </xdr:from>
    <xdr:to>
      <xdr:col>8</xdr:col>
      <xdr:colOff>934085</xdr:colOff>
      <xdr:row>143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57810" y="22440900"/>
          <a:ext cx="8601075" cy="3590925"/>
        </a:xfrm>
        <a:prstGeom prst="rect">
          <a:avLst/>
        </a:prstGeom>
        <a:noFill/>
        <a:ln w="9525">
          <a:noFill/>
        </a:ln>
      </xdr:spPr>
    </xdr:pic>
    <xdr:clientData/>
  </xdr:twoCellAnchor>
  <xdr:twoCellAnchor editAs="oneCell">
    <xdr:from>
      <xdr:col>0</xdr:col>
      <xdr:colOff>362585</xdr:colOff>
      <xdr:row>144</xdr:row>
      <xdr:rowOff>57150</xdr:rowOff>
    </xdr:from>
    <xdr:to>
      <xdr:col>9</xdr:col>
      <xdr:colOff>76835</xdr:colOff>
      <xdr:row>174</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362585" y="26117550"/>
          <a:ext cx="8820150" cy="5543550"/>
        </a:xfrm>
        <a:prstGeom prst="rect">
          <a:avLst/>
        </a:prstGeom>
        <a:noFill/>
        <a:ln w="9525">
          <a:noFill/>
        </a:ln>
      </xdr:spPr>
    </xdr:pic>
    <xdr:clientData/>
  </xdr:twoCellAnchor>
  <xdr:twoCellAnchor editAs="oneCell">
    <xdr:from>
      <xdr:col>0</xdr:col>
      <xdr:colOff>343535</xdr:colOff>
      <xdr:row>175</xdr:row>
      <xdr:rowOff>38100</xdr:rowOff>
    </xdr:from>
    <xdr:to>
      <xdr:col>8</xdr:col>
      <xdr:colOff>200660</xdr:colOff>
      <xdr:row>190</xdr:row>
      <xdr:rowOff>9525</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31708725"/>
          <a:ext cx="7781925" cy="2686050"/>
        </a:xfrm>
        <a:prstGeom prst="rect">
          <a:avLst/>
        </a:prstGeom>
        <a:noFill/>
        <a:ln w="9525">
          <a:noFill/>
        </a:ln>
      </xdr:spPr>
    </xdr:pic>
    <xdr:clientData/>
  </xdr:twoCellAnchor>
  <xdr:twoCellAnchor editAs="oneCell">
    <xdr:from>
      <xdr:col>12</xdr:col>
      <xdr:colOff>619125</xdr:colOff>
      <xdr:row>68</xdr:row>
      <xdr:rowOff>85725</xdr:rowOff>
    </xdr:from>
    <xdr:to>
      <xdr:col>26</xdr:col>
      <xdr:colOff>409575</xdr:colOff>
      <xdr:row>82</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192000" y="12392025"/>
          <a:ext cx="10706100" cy="2600325"/>
        </a:xfrm>
        <a:prstGeom prst="rect">
          <a:avLst/>
        </a:prstGeom>
        <a:noFill/>
        <a:ln w="9525">
          <a:noFill/>
        </a:ln>
      </xdr:spPr>
    </xdr:pic>
    <xdr:clientData/>
  </xdr:twoCellAnchor>
  <xdr:twoCellAnchor editAs="oneCell">
    <xdr:from>
      <xdr:col>12</xdr:col>
      <xdr:colOff>782955</xdr:colOff>
      <xdr:row>84</xdr:row>
      <xdr:rowOff>38100</xdr:rowOff>
    </xdr:from>
    <xdr:to>
      <xdr:col>23</xdr:col>
      <xdr:colOff>354330</xdr:colOff>
      <xdr:row>104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55830" y="15240000"/>
          <a:ext cx="8705850" cy="3657600"/>
        </a:xfrm>
        <a:prstGeom prst="rect">
          <a:avLst/>
        </a:prstGeom>
        <a:noFill/>
        <a:ln w="9525">
          <a:noFill/>
        </a:ln>
      </xdr:spPr>
    </xdr:pic>
    <xdr:clientData/>
  </xdr:twoCellAnchor>
  <xdr:twoCellAnchor editAs="oneCell">
    <xdr:from>
      <xdr:col>13</xdr:col>
      <xdr:colOff>0</xdr:colOff>
      <xdr:row>106</xdr:row>
      <xdr:rowOff>0</xdr:rowOff>
    </xdr:from>
    <xdr:to>
      <xdr:col>23</xdr:col>
      <xdr:colOff>495300</xdr:colOff>
      <xdr:row>126</xdr:row>
      <xdr:rowOff>38100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382500" y="19183350"/>
          <a:ext cx="8820150" cy="3657600"/>
        </a:xfrm>
        <a:prstGeom prst="rect">
          <a:avLst/>
        </a:prstGeom>
        <a:noFill/>
        <a:ln w="9525">
          <a:noFill/>
        </a:ln>
      </xdr:spPr>
    </xdr:pic>
    <xdr:clientData/>
  </xdr:twoCellAnchor>
  <xdr:twoCellAnchor editAs="oneCell">
    <xdr:from>
      <xdr:col>13</xdr:col>
      <xdr:colOff>0</xdr:colOff>
      <xdr:row>127</xdr:row>
      <xdr:rowOff>0</xdr:rowOff>
    </xdr:from>
    <xdr:to>
      <xdr:col>23</xdr:col>
      <xdr:colOff>266700</xdr:colOff>
      <xdr:row>157</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382500" y="22983825"/>
          <a:ext cx="8591550" cy="5448300"/>
        </a:xfrm>
        <a:prstGeom prst="rect">
          <a:avLst/>
        </a:prstGeom>
        <a:noFill/>
        <a:ln w="9525">
          <a:noFill/>
        </a:ln>
      </xdr:spPr>
    </xdr:pic>
    <xdr:clientData/>
  </xdr:twoCellAnchor>
  <xdr:twoCellAnchor editAs="oneCell">
    <xdr:from>
      <xdr:col>13</xdr:col>
      <xdr:colOff>0</xdr:colOff>
      <xdr:row>158</xdr:row>
      <xdr:rowOff>0</xdr:rowOff>
    </xdr:from>
    <xdr:to>
      <xdr:col>27</xdr:col>
      <xdr:colOff>723900</xdr:colOff>
      <xdr:row>178</xdr:row>
      <xdr:rowOff>161925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382500" y="28594050"/>
          <a:ext cx="11439525" cy="3781425"/>
        </a:xfrm>
        <a:prstGeom prst="rect">
          <a:avLst/>
        </a:prstGeom>
        <a:noFill/>
        <a:ln w="9525">
          <a:noFill/>
        </a:ln>
      </xdr:spPr>
    </xdr:pic>
    <xdr:clientData/>
  </xdr:twoCellAnchor>
  <xdr:twoCellAnchor editAs="oneCell">
    <xdr:from>
      <xdr:col>8</xdr:col>
      <xdr:colOff>316048</xdr:colOff>
      <xdr:row>44</xdr:row>
      <xdr:rowOff>117682</xdr:rowOff>
    </xdr:from>
    <xdr:to>
      <xdr:col>14</xdr:col>
      <xdr:colOff>347985</xdr:colOff>
      <xdr:row>68</xdr:row>
      <xdr:rowOff>173152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49012" y="7900968"/>
          <a:ext cx="5093794" cy="4300898"/>
        </a:xfrm>
        <a:prstGeom prst="rect">
          <a:avLst/>
        </a:prstGeom>
        <a:noFill/>
        <a:ln w="9525">
          <a:noFill/>
        </a:ln>
      </xdr:spPr>
    </xdr:pic>
    <xdr:clientData/>
  </xdr:twoCellAnchor>
  <xdr:twoCellAnchor editAs="oneCell">
    <xdr:from>
      <xdr:col>28</xdr:col>
      <xdr:colOff>0</xdr:colOff>
      <xdr:row>85</xdr:row>
      <xdr:rowOff>0</xdr:rowOff>
    </xdr:from>
    <xdr:to>
      <xdr:col>40</xdr:col>
      <xdr:colOff>85725</xdr:colOff>
      <xdr:row>105</xdr:row>
      <xdr:rowOff>76200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917275" y="15382875"/>
          <a:ext cx="9153525" cy="3695700"/>
        </a:xfrm>
        <a:prstGeom prst="rect">
          <a:avLst/>
        </a:prstGeom>
        <a:noFill/>
        <a:ln w="9525">
          <a:noFill/>
        </a:ln>
      </xdr:spPr>
    </xdr:pic>
    <xdr:clientData/>
  </xdr:twoCellAnchor>
  <xdr:twoCellAnchor editAs="oneCell">
    <xdr:from>
      <xdr:col>27</xdr:col>
      <xdr:colOff>685800</xdr:colOff>
      <xdr:row>106</xdr:row>
      <xdr:rowOff>85725</xdr:rowOff>
    </xdr:from>
    <xdr:to>
      <xdr:col>39</xdr:col>
      <xdr:colOff>38100</xdr:colOff>
      <xdr:row>129</xdr:row>
      <xdr:rowOff>95250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783925" y="19269075"/>
          <a:ext cx="8553450" cy="4171950"/>
        </a:xfrm>
        <a:prstGeom prst="rect">
          <a:avLst/>
        </a:prstGeom>
        <a:noFill/>
        <a:ln w="9525">
          <a:noFill/>
        </a:ln>
      </xdr:spPr>
    </xdr:pic>
    <xdr:clientData/>
  </xdr:twoCellAnchor>
  <xdr:twoCellAnchor editAs="oneCell">
    <xdr:from>
      <xdr:col>28</xdr:col>
      <xdr:colOff>0</xdr:colOff>
      <xdr:row>131</xdr:row>
      <xdr:rowOff>0</xdr:rowOff>
    </xdr:from>
    <xdr:to>
      <xdr:col>39</xdr:col>
      <xdr:colOff>400050</xdr:colOff>
      <xdr:row>161</xdr:row>
      <xdr:rowOff>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3917275" y="23707725"/>
          <a:ext cx="8782050" cy="5429250"/>
        </a:xfrm>
        <a:prstGeom prst="rect">
          <a:avLst/>
        </a:prstGeom>
        <a:noFill/>
        <a:ln w="9525">
          <a:noFill/>
        </a:ln>
      </xdr:spPr>
    </xdr:pic>
    <xdr:clientData/>
  </xdr:twoCellAnchor>
  <xdr:twoCellAnchor editAs="oneCell">
    <xdr:from>
      <xdr:col>28</xdr:col>
      <xdr:colOff>0</xdr:colOff>
      <xdr:row>162</xdr:row>
      <xdr:rowOff>0</xdr:rowOff>
    </xdr:from>
    <xdr:to>
      <xdr:col>43</xdr:col>
      <xdr:colOff>276225</xdr:colOff>
      <xdr:row>187</xdr:row>
      <xdr:rowOff>28575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3917275" y="29317950"/>
          <a:ext cx="11401425" cy="4552950"/>
        </a:xfrm>
        <a:prstGeom prst="rect">
          <a:avLst/>
        </a:prstGeom>
        <a:noFill/>
        <a:ln w="9525">
          <a:noFill/>
        </a:ln>
      </xdr:spPr>
    </xdr:pic>
    <xdr:clientData/>
  </xdr:twoCellAnchor>
  <xdr:twoCellAnchor editAs="oneCell">
    <xdr:from>
      <xdr:col>43</xdr:col>
      <xdr:colOff>114300</xdr:colOff>
      <xdr:row>63</xdr:row>
      <xdr:rowOff>66675</xdr:rowOff>
    </xdr:from>
    <xdr:to>
      <xdr:col>60</xdr:col>
      <xdr:colOff>257175</xdr:colOff>
      <xdr:row>84</xdr:row>
      <xdr:rowOff>57150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35156775" y="11468100"/>
          <a:ext cx="11801475" cy="3790950"/>
        </a:xfrm>
        <a:prstGeom prst="rect">
          <a:avLst/>
        </a:prstGeom>
        <a:noFill/>
        <a:ln w="9525">
          <a:noFill/>
        </a:ln>
      </xdr:spPr>
    </xdr:pic>
    <xdr:clientData/>
  </xdr:twoCellAnchor>
  <xdr:twoCellAnchor editAs="oneCell">
    <xdr:from>
      <xdr:col>26</xdr:col>
      <xdr:colOff>457200</xdr:colOff>
      <xdr:row>61</xdr:row>
      <xdr:rowOff>104775</xdr:rowOff>
    </xdr:from>
    <xdr:to>
      <xdr:col>42</xdr:col>
      <xdr:colOff>533400</xdr:colOff>
      <xdr:row>84</xdr:row>
      <xdr:rowOff>28575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22945725" y="11144250"/>
          <a:ext cx="11944350" cy="4086225"/>
        </a:xfrm>
        <a:prstGeom prst="rect">
          <a:avLst/>
        </a:prstGeom>
        <a:noFill/>
        <a:ln w="9525">
          <a:noFill/>
        </a:ln>
      </xdr:spPr>
    </xdr:pic>
    <xdr:clientData/>
  </xdr:twoCellAnchor>
  <xdr:twoCellAnchor editAs="oneCell">
    <xdr:from>
      <xdr:col>28</xdr:col>
      <xdr:colOff>1181100</xdr:colOff>
      <xdr:row>36</xdr:row>
      <xdr:rowOff>85725</xdr:rowOff>
    </xdr:from>
    <xdr:to>
      <xdr:col>36</xdr:col>
      <xdr:colOff>381000</xdr:colOff>
      <xdr:row>59</xdr:row>
      <xdr:rowOff>104775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25098375" y="6600825"/>
          <a:ext cx="5524500" cy="4181475"/>
        </a:xfrm>
        <a:prstGeom prst="rect">
          <a:avLst/>
        </a:prstGeom>
        <a:noFill/>
        <a:ln w="9525">
          <a:noFill/>
        </a:ln>
      </xdr:spPr>
    </xdr:pic>
    <xdr:clientData/>
  </xdr:twoCellAnchor>
  <xdr:twoCellAnchor editAs="oneCell">
    <xdr:from>
      <xdr:col>44</xdr:col>
      <xdr:colOff>0</xdr:colOff>
      <xdr:row>86</xdr:row>
      <xdr:rowOff>0</xdr:rowOff>
    </xdr:from>
    <xdr:to>
      <xdr:col>57</xdr:col>
      <xdr:colOff>9525</xdr:colOff>
      <xdr:row>106</xdr:row>
      <xdr:rowOff>19050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5728275" y="15563850"/>
          <a:ext cx="8924925" cy="3638550"/>
        </a:xfrm>
        <a:prstGeom prst="rect">
          <a:avLst/>
        </a:prstGeom>
        <a:noFill/>
        <a:ln w="9525">
          <a:noFill/>
        </a:ln>
      </xdr:spPr>
    </xdr:pic>
    <xdr:clientData/>
  </xdr:twoCellAnchor>
  <xdr:twoCellAnchor editAs="oneCell">
    <xdr:from>
      <xdr:col>44</xdr:col>
      <xdr:colOff>0</xdr:colOff>
      <xdr:row>107</xdr:row>
      <xdr:rowOff>104775</xdr:rowOff>
    </xdr:from>
    <xdr:to>
      <xdr:col>56</xdr:col>
      <xdr:colOff>447675</xdr:colOff>
      <xdr:row>128</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5728275" y="19469100"/>
          <a:ext cx="8677275" cy="3857625"/>
        </a:xfrm>
        <a:prstGeom prst="rect">
          <a:avLst/>
        </a:prstGeom>
        <a:noFill/>
        <a:ln w="9525">
          <a:noFill/>
        </a:ln>
      </xdr:spPr>
    </xdr:pic>
    <xdr:clientData/>
  </xdr:twoCellAnchor>
  <xdr:twoCellAnchor editAs="oneCell">
    <xdr:from>
      <xdr:col>44</xdr:col>
      <xdr:colOff>0</xdr:colOff>
      <xdr:row>130</xdr:row>
      <xdr:rowOff>0</xdr:rowOff>
    </xdr:from>
    <xdr:to>
      <xdr:col>56</xdr:col>
      <xdr:colOff>447675</xdr:colOff>
      <xdr:row>160</xdr:row>
      <xdr:rowOff>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5728275" y="23526750"/>
          <a:ext cx="8677275" cy="5429250"/>
        </a:xfrm>
        <a:prstGeom prst="rect">
          <a:avLst/>
        </a:prstGeom>
        <a:noFill/>
        <a:ln w="9525">
          <a:noFill/>
        </a:ln>
      </xdr:spPr>
    </xdr:pic>
    <xdr:clientData/>
  </xdr:twoCellAnchor>
  <xdr:twoCellAnchor editAs="oneCell">
    <xdr:from>
      <xdr:col>44</xdr:col>
      <xdr:colOff>0</xdr:colOff>
      <xdr:row>162</xdr:row>
      <xdr:rowOff>0</xdr:rowOff>
    </xdr:from>
    <xdr:to>
      <xdr:col>60</xdr:col>
      <xdr:colOff>400050</xdr:colOff>
      <xdr:row>186</xdr:row>
      <xdr:rowOff>47625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5728275" y="29317950"/>
          <a:ext cx="11372850" cy="4391025"/>
        </a:xfrm>
        <a:prstGeom prst="rect">
          <a:avLst/>
        </a:prstGeom>
        <a:noFill/>
        <a:ln w="9525">
          <a:noFill/>
        </a:ln>
      </xdr:spPr>
    </xdr:pic>
    <xdr:clientData/>
  </xdr:twoCellAnchor>
  <xdr:twoCellAnchor editAs="oneCell">
    <xdr:from>
      <xdr:col>46</xdr:col>
      <xdr:colOff>0</xdr:colOff>
      <xdr:row>37</xdr:row>
      <xdr:rowOff>0</xdr:rowOff>
    </xdr:from>
    <xdr:to>
      <xdr:col>55</xdr:col>
      <xdr:colOff>476250</xdr:colOff>
      <xdr:row>59</xdr:row>
      <xdr:rowOff>28575</xdr:rowOff>
    </xdr:to>
    <xdr:pic>
      <xdr:nvPicPr>
        <xdr:cNvPr id="27" name="图片 26"/>
        <xdr:cNvPicPr>
          <a:picLocks noChangeAspect="1"/>
        </xdr:cNvPicPr>
      </xdr:nvPicPr>
      <xdr:blipFill>
        <a:blip xmlns:r="http://schemas.openxmlformats.org/officeDocument/2006/relationships" r:embed="rId26"/>
        <a:stretch>
          <a:fillRect/>
        </a:stretch>
      </xdr:blipFill>
      <xdr:spPr>
        <a:xfrm>
          <a:off x="37099875" y="6696075"/>
          <a:ext cx="6648450" cy="4010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29210</xdr:rowOff>
    </xdr:from>
    <xdr:to>
      <xdr:col>16</xdr:col>
      <xdr:colOff>438150</xdr:colOff>
      <xdr:row>38</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9210"/>
          <a:ext cx="11344275" cy="6543675"/>
        </a:xfrm>
        <a:prstGeom prst="rect">
          <a:avLst/>
        </a:prstGeom>
        <a:noFill/>
        <a:ln w="9525">
          <a:noFill/>
        </a:ln>
      </xdr:spPr>
    </xdr:pic>
    <xdr:clientData/>
  </xdr:twoCellAnchor>
  <xdr:twoCellAnchor editAs="oneCell">
    <xdr:from>
      <xdr:col>0</xdr:col>
      <xdr:colOff>22860</xdr:colOff>
      <xdr:row>38</xdr:row>
      <xdr:rowOff>50800</xdr:rowOff>
    </xdr:from>
    <xdr:to>
      <xdr:col>16</xdr:col>
      <xdr:colOff>441960</xdr:colOff>
      <xdr:row>56</xdr:row>
      <xdr:rowOff>50800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6565900"/>
          <a:ext cx="11391900" cy="3086100"/>
        </a:xfrm>
        <a:prstGeom prst="rect">
          <a:avLst/>
        </a:prstGeom>
        <a:noFill/>
        <a:ln w="9525">
          <a:noFill/>
        </a:ln>
      </xdr:spPr>
    </xdr:pic>
    <xdr:clientData/>
  </xdr:twoCellAnchor>
  <xdr:twoCellAnchor>
    <xdr:from>
      <xdr:col>0</xdr:col>
      <xdr:colOff>81915</xdr:colOff>
      <xdr:row>6</xdr:row>
      <xdr:rowOff>156845</xdr:rowOff>
    </xdr:from>
    <xdr:to>
      <xdr:col>16</xdr:col>
      <xdr:colOff>415290</xdr:colOff>
      <xdr:row>8</xdr:row>
      <xdr:rowOff>128270</xdr:rowOff>
    </xdr:to>
    <xdr:sp macro="" textlink="">
      <xdr:nvSpPr>
        <xdr:cNvPr id="4" name="矩形 3"/>
        <xdr:cNvSpPr/>
      </xdr:nvSpPr>
      <xdr:spPr>
        <a:xfrm>
          <a:off x="81915" y="118554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0</xdr:col>
      <xdr:colOff>537845</xdr:colOff>
      <xdr:row>130</xdr:row>
      <xdr:rowOff>52705</xdr:rowOff>
    </xdr:from>
    <xdr:to>
      <xdr:col>17</xdr:col>
      <xdr:colOff>223520</xdr:colOff>
      <xdr:row>163</xdr:row>
      <xdr:rowOff>62230</xdr:rowOff>
    </xdr:to>
    <xdr:pic>
      <xdr:nvPicPr>
        <xdr:cNvPr id="6" name="图片 5"/>
        <xdr:cNvPicPr>
          <a:picLocks noChangeAspect="1"/>
        </xdr:cNvPicPr>
      </xdr:nvPicPr>
      <xdr:blipFill>
        <a:blip xmlns:r="http://schemas.openxmlformats.org/officeDocument/2006/relationships" r:embed="rId3"/>
        <a:stretch>
          <a:fillRect/>
        </a:stretch>
      </xdr:blipFill>
      <xdr:spPr>
        <a:xfrm>
          <a:off x="537845" y="22341205"/>
          <a:ext cx="11344275" cy="5667375"/>
        </a:xfrm>
        <a:prstGeom prst="rect">
          <a:avLst/>
        </a:prstGeom>
        <a:noFill/>
        <a:ln w="9525">
          <a:noFill/>
        </a:ln>
      </xdr:spPr>
    </xdr:pic>
    <xdr:clientData/>
  </xdr:twoCellAnchor>
  <xdr:twoCellAnchor>
    <xdr:from>
      <xdr:col>0</xdr:col>
      <xdr:colOff>82550</xdr:colOff>
      <xdr:row>4</xdr:row>
      <xdr:rowOff>155575</xdr:rowOff>
    </xdr:from>
    <xdr:to>
      <xdr:col>16</xdr:col>
      <xdr:colOff>415925</xdr:colOff>
      <xdr:row>6</xdr:row>
      <xdr:rowOff>127000</xdr:rowOff>
    </xdr:to>
    <xdr:sp macro="" textlink="">
      <xdr:nvSpPr>
        <xdr:cNvPr id="8" name="矩形 7"/>
        <xdr:cNvSpPr/>
      </xdr:nvSpPr>
      <xdr:spPr>
        <a:xfrm>
          <a:off x="82550" y="84137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xdr:from>
      <xdr:col>0</xdr:col>
      <xdr:colOff>82550</xdr:colOff>
      <xdr:row>12</xdr:row>
      <xdr:rowOff>150495</xdr:rowOff>
    </xdr:from>
    <xdr:to>
      <xdr:col>16</xdr:col>
      <xdr:colOff>415925</xdr:colOff>
      <xdr:row>14</xdr:row>
      <xdr:rowOff>121920</xdr:rowOff>
    </xdr:to>
    <xdr:sp macro="" textlink="">
      <xdr:nvSpPr>
        <xdr:cNvPr id="13" name="矩形 12"/>
        <xdr:cNvSpPr/>
      </xdr:nvSpPr>
      <xdr:spPr>
        <a:xfrm>
          <a:off x="82550" y="220789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editAs="oneCell">
    <xdr:from>
      <xdr:col>0</xdr:col>
      <xdr:colOff>161925</xdr:colOff>
      <xdr:row>58</xdr:row>
      <xdr:rowOff>99695</xdr:rowOff>
    </xdr:from>
    <xdr:to>
      <xdr:col>17</xdr:col>
      <xdr:colOff>266700</xdr:colOff>
      <xdr:row>75</xdr:row>
      <xdr:rowOff>33020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61925" y="10043795"/>
          <a:ext cx="11763375" cy="2847975"/>
        </a:xfrm>
        <a:prstGeom prst="rect">
          <a:avLst/>
        </a:prstGeom>
        <a:noFill/>
        <a:ln w="9525">
          <a:noFill/>
        </a:ln>
      </xdr:spPr>
    </xdr:pic>
    <xdr:clientData/>
  </xdr:twoCellAnchor>
  <xdr:twoCellAnchor editAs="oneCell">
    <xdr:from>
      <xdr:col>0</xdr:col>
      <xdr:colOff>376555</xdr:colOff>
      <xdr:row>75</xdr:row>
      <xdr:rowOff>170815</xdr:rowOff>
    </xdr:from>
    <xdr:to>
      <xdr:col>17</xdr:col>
      <xdr:colOff>62230</xdr:colOff>
      <xdr:row>108</xdr:row>
      <xdr:rowOff>104140</xdr:rowOff>
    </xdr:to>
    <xdr:pic>
      <xdr:nvPicPr>
        <xdr:cNvPr id="15" name="图片 14"/>
        <xdr:cNvPicPr>
          <a:picLocks noChangeAspect="1"/>
        </xdr:cNvPicPr>
      </xdr:nvPicPr>
      <xdr:blipFill>
        <a:blip xmlns:r="http://schemas.openxmlformats.org/officeDocument/2006/relationships" r:embed="rId5"/>
        <a:stretch>
          <a:fillRect/>
        </a:stretch>
      </xdr:blipFill>
      <xdr:spPr>
        <a:xfrm>
          <a:off x="376555" y="13029565"/>
          <a:ext cx="11344275" cy="5591175"/>
        </a:xfrm>
        <a:prstGeom prst="rect">
          <a:avLst/>
        </a:prstGeom>
        <a:noFill/>
        <a:ln w="9525">
          <a:noFill/>
        </a:ln>
      </xdr:spPr>
    </xdr:pic>
    <xdr:clientData/>
  </xdr:twoCellAnchor>
  <xdr:twoCellAnchor editAs="oneCell">
    <xdr:from>
      <xdr:col>17</xdr:col>
      <xdr:colOff>375920</xdr:colOff>
      <xdr:row>66</xdr:row>
      <xdr:rowOff>100965</xdr:rowOff>
    </xdr:from>
    <xdr:to>
      <xdr:col>33</xdr:col>
      <xdr:colOff>194945</xdr:colOff>
      <xdr:row>103</xdr:row>
      <xdr:rowOff>5715</xdr:rowOff>
    </xdr:to>
    <xdr:pic>
      <xdr:nvPicPr>
        <xdr:cNvPr id="16" name="图片 15"/>
        <xdr:cNvPicPr>
          <a:picLocks noChangeAspect="1"/>
        </xdr:cNvPicPr>
      </xdr:nvPicPr>
      <xdr:blipFill>
        <a:blip xmlns:r="http://schemas.openxmlformats.org/officeDocument/2006/relationships" r:embed="rId6"/>
        <a:stretch>
          <a:fillRect/>
        </a:stretch>
      </xdr:blipFill>
      <xdr:spPr>
        <a:xfrm>
          <a:off x="12034520" y="11416665"/>
          <a:ext cx="11344275" cy="6248400"/>
        </a:xfrm>
        <a:prstGeom prst="rect">
          <a:avLst/>
        </a:prstGeom>
        <a:noFill/>
        <a:ln w="9525">
          <a:noFill/>
        </a:ln>
      </xdr:spPr>
    </xdr:pic>
    <xdr:clientData/>
  </xdr:twoCellAnchor>
  <xdr:twoCellAnchor editAs="oneCell">
    <xdr:from>
      <xdr:col>0</xdr:col>
      <xdr:colOff>352425</xdr:colOff>
      <xdr:row>109</xdr:row>
      <xdr:rowOff>123825</xdr:rowOff>
    </xdr:from>
    <xdr:to>
      <xdr:col>17</xdr:col>
      <xdr:colOff>485775</xdr:colOff>
      <xdr:row>129</xdr:row>
      <xdr:rowOff>28575</xdr:rowOff>
    </xdr:to>
    <xdr:pic>
      <xdr:nvPicPr>
        <xdr:cNvPr id="17" name="图片 16"/>
        <xdr:cNvPicPr>
          <a:picLocks noChangeAspect="1"/>
        </xdr:cNvPicPr>
      </xdr:nvPicPr>
      <xdr:blipFill>
        <a:blip xmlns:r="http://schemas.openxmlformats.org/officeDocument/2006/relationships" r:embed="rId7"/>
        <a:stretch>
          <a:fillRect/>
        </a:stretch>
      </xdr:blipFill>
      <xdr:spPr>
        <a:xfrm>
          <a:off x="352425" y="18811875"/>
          <a:ext cx="11791950" cy="3333750"/>
        </a:xfrm>
        <a:prstGeom prst="rect">
          <a:avLst/>
        </a:prstGeom>
        <a:noFill/>
        <a:ln w="9525">
          <a:noFill/>
        </a:ln>
      </xdr:spPr>
    </xdr:pic>
    <xdr:clientData/>
  </xdr:twoCellAnchor>
  <xdr:twoCellAnchor editAs="oneCell">
    <xdr:from>
      <xdr:col>0</xdr:col>
      <xdr:colOff>590550</xdr:colOff>
      <xdr:row>164</xdr:row>
      <xdr:rowOff>155575</xdr:rowOff>
    </xdr:from>
    <xdr:to>
      <xdr:col>18</xdr:col>
      <xdr:colOff>66675</xdr:colOff>
      <xdr:row>185</xdr:row>
      <xdr:rowOff>3175</xdr:rowOff>
    </xdr:to>
    <xdr:pic>
      <xdr:nvPicPr>
        <xdr:cNvPr id="18" name="图片 17"/>
        <xdr:cNvPicPr>
          <a:picLocks noChangeAspect="1"/>
        </xdr:cNvPicPr>
      </xdr:nvPicPr>
      <xdr:blipFill>
        <a:blip xmlns:r="http://schemas.openxmlformats.org/officeDocument/2006/relationships" r:embed="rId8"/>
        <a:stretch>
          <a:fillRect/>
        </a:stretch>
      </xdr:blipFill>
      <xdr:spPr>
        <a:xfrm>
          <a:off x="590550" y="28273375"/>
          <a:ext cx="11820525" cy="3448050"/>
        </a:xfrm>
        <a:prstGeom prst="rect">
          <a:avLst/>
        </a:prstGeom>
        <a:noFill/>
        <a:ln w="9525">
          <a:noFill/>
        </a:ln>
      </xdr:spPr>
    </xdr:pic>
    <xdr:clientData/>
  </xdr:twoCellAnchor>
  <xdr:twoCellAnchor editAs="oneCell">
    <xdr:from>
      <xdr:col>1</xdr:col>
      <xdr:colOff>0</xdr:colOff>
      <xdr:row>186</xdr:row>
      <xdr:rowOff>0</xdr:rowOff>
    </xdr:from>
    <xdr:to>
      <xdr:col>17</xdr:col>
      <xdr:colOff>381000</xdr:colOff>
      <xdr:row>218</xdr:row>
      <xdr:rowOff>133350</xdr:rowOff>
    </xdr:to>
    <xdr:pic>
      <xdr:nvPicPr>
        <xdr:cNvPr id="19" name="图片 18"/>
        <xdr:cNvPicPr>
          <a:picLocks noChangeAspect="1"/>
        </xdr:cNvPicPr>
      </xdr:nvPicPr>
      <xdr:blipFill>
        <a:blip xmlns:r="http://schemas.openxmlformats.org/officeDocument/2006/relationships" r:embed="rId9"/>
        <a:stretch>
          <a:fillRect/>
        </a:stretch>
      </xdr:blipFill>
      <xdr:spPr>
        <a:xfrm>
          <a:off x="685800" y="31889700"/>
          <a:ext cx="11353800" cy="5619750"/>
        </a:xfrm>
        <a:prstGeom prst="rect">
          <a:avLst/>
        </a:prstGeom>
        <a:noFill/>
        <a:ln w="9525">
          <a:noFill/>
        </a:ln>
      </xdr:spPr>
    </xdr:pic>
    <xdr:clientData/>
  </xdr:twoCellAnchor>
  <xdr:twoCellAnchor editAs="oneCell">
    <xdr:from>
      <xdr:col>1</xdr:col>
      <xdr:colOff>0</xdr:colOff>
      <xdr:row>220</xdr:row>
      <xdr:rowOff>0</xdr:rowOff>
    </xdr:from>
    <xdr:to>
      <xdr:col>18</xdr:col>
      <xdr:colOff>209550</xdr:colOff>
      <xdr:row>236</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685800" y="37719000"/>
          <a:ext cx="11868150" cy="2886075"/>
        </a:xfrm>
        <a:prstGeom prst="rect">
          <a:avLst/>
        </a:prstGeom>
        <a:noFill/>
        <a:ln w="9525">
          <a:noFill/>
        </a:ln>
      </xdr:spPr>
    </xdr:pic>
    <xdr:clientData/>
  </xdr:twoCellAnchor>
  <xdr:twoCellAnchor editAs="oneCell">
    <xdr:from>
      <xdr:col>1</xdr:col>
      <xdr:colOff>0</xdr:colOff>
      <xdr:row>238</xdr:row>
      <xdr:rowOff>0</xdr:rowOff>
    </xdr:from>
    <xdr:to>
      <xdr:col>17</xdr:col>
      <xdr:colOff>323850</xdr:colOff>
      <xdr:row>270</xdr:row>
      <xdr:rowOff>95250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685800" y="40805100"/>
          <a:ext cx="11296650" cy="5581650"/>
        </a:xfrm>
        <a:prstGeom prst="rect">
          <a:avLst/>
        </a:prstGeom>
        <a:noFill/>
        <a:ln w="9525">
          <a:noFill/>
        </a:ln>
      </xdr:spPr>
    </xdr:pic>
    <xdr:clientData/>
  </xdr:twoCellAnchor>
  <xdr:twoCellAnchor editAs="oneCell">
    <xdr:from>
      <xdr:col>17</xdr:col>
      <xdr:colOff>384175</xdr:colOff>
      <xdr:row>231</xdr:row>
      <xdr:rowOff>107950</xdr:rowOff>
    </xdr:from>
    <xdr:to>
      <xdr:col>33</xdr:col>
      <xdr:colOff>307975</xdr:colOff>
      <xdr:row>257</xdr:row>
      <xdr:rowOff>3175</xdr:rowOff>
    </xdr:to>
    <xdr:pic>
      <xdr:nvPicPr>
        <xdr:cNvPr id="23" name="图片 22"/>
        <xdr:cNvPicPr>
          <a:picLocks noChangeAspect="1"/>
        </xdr:cNvPicPr>
      </xdr:nvPicPr>
      <xdr:blipFill>
        <a:blip xmlns:r="http://schemas.openxmlformats.org/officeDocument/2006/relationships" r:embed="rId12"/>
        <a:stretch>
          <a:fillRect/>
        </a:stretch>
      </xdr:blipFill>
      <xdr:spPr>
        <a:xfrm>
          <a:off x="12042775" y="39712900"/>
          <a:ext cx="11449050" cy="4352925"/>
        </a:xfrm>
        <a:prstGeom prst="rect">
          <a:avLst/>
        </a:prstGeom>
        <a:noFill/>
        <a:ln w="9525">
          <a:noFill/>
        </a:ln>
      </xdr:spPr>
    </xdr:pic>
    <xdr:clientData/>
  </xdr:twoCellAnchor>
  <xdr:twoCellAnchor editAs="oneCell">
    <xdr:from>
      <xdr:col>17</xdr:col>
      <xdr:colOff>511175</xdr:colOff>
      <xdr:row>120</xdr:row>
      <xdr:rowOff>139700</xdr:rowOff>
    </xdr:from>
    <xdr:to>
      <xdr:col>33</xdr:col>
      <xdr:colOff>415925</xdr:colOff>
      <xdr:row>153</xdr:row>
      <xdr:rowOff>149225</xdr:rowOff>
    </xdr:to>
    <xdr:pic>
      <xdr:nvPicPr>
        <xdr:cNvPr id="24" name="图片 23"/>
        <xdr:cNvPicPr>
          <a:picLocks noChangeAspect="1"/>
        </xdr:cNvPicPr>
      </xdr:nvPicPr>
      <xdr:blipFill>
        <a:blip xmlns:r="http://schemas.openxmlformats.org/officeDocument/2006/relationships" r:embed="rId13"/>
        <a:stretch>
          <a:fillRect/>
        </a:stretch>
      </xdr:blipFill>
      <xdr:spPr>
        <a:xfrm>
          <a:off x="12169775" y="20713700"/>
          <a:ext cx="11430000" cy="5667375"/>
        </a:xfrm>
        <a:prstGeom prst="rect">
          <a:avLst/>
        </a:prstGeom>
        <a:noFill/>
        <a:ln w="9525">
          <a:noFill/>
        </a:ln>
      </xdr:spPr>
    </xdr:pic>
    <xdr:clientData/>
  </xdr:twoCellAnchor>
  <xdr:twoCellAnchor editAs="oneCell">
    <xdr:from>
      <xdr:col>0</xdr:col>
      <xdr:colOff>622300</xdr:colOff>
      <xdr:row>271</xdr:row>
      <xdr:rowOff>107950</xdr:rowOff>
    </xdr:from>
    <xdr:to>
      <xdr:col>18</xdr:col>
      <xdr:colOff>12700</xdr:colOff>
      <xdr:row>290</xdr:row>
      <xdr:rowOff>155575</xdr:rowOff>
    </xdr:to>
    <xdr:pic>
      <xdr:nvPicPr>
        <xdr:cNvPr id="25" name="图片 24"/>
        <xdr:cNvPicPr>
          <a:picLocks noChangeAspect="1"/>
        </xdr:cNvPicPr>
      </xdr:nvPicPr>
      <xdr:blipFill>
        <a:blip xmlns:r="http://schemas.openxmlformats.org/officeDocument/2006/relationships" r:embed="rId14"/>
        <a:stretch>
          <a:fillRect/>
        </a:stretch>
      </xdr:blipFill>
      <xdr:spPr>
        <a:xfrm>
          <a:off x="622300" y="46570900"/>
          <a:ext cx="11734800" cy="3305175"/>
        </a:xfrm>
        <a:prstGeom prst="rect">
          <a:avLst/>
        </a:prstGeom>
        <a:noFill/>
        <a:ln w="9525">
          <a:noFill/>
        </a:ln>
      </xdr:spPr>
    </xdr:pic>
    <xdr:clientData/>
  </xdr:twoCellAnchor>
  <xdr:twoCellAnchor editAs="oneCell">
    <xdr:from>
      <xdr:col>1</xdr:col>
      <xdr:colOff>0</xdr:colOff>
      <xdr:row>292</xdr:row>
      <xdr:rowOff>0</xdr:rowOff>
    </xdr:from>
    <xdr:to>
      <xdr:col>17</xdr:col>
      <xdr:colOff>361950</xdr:colOff>
      <xdr:row>322</xdr:row>
      <xdr:rowOff>66675</xdr:rowOff>
    </xdr:to>
    <xdr:pic>
      <xdr:nvPicPr>
        <xdr:cNvPr id="26" name="图片 25"/>
        <xdr:cNvPicPr>
          <a:picLocks noChangeAspect="1"/>
        </xdr:cNvPicPr>
      </xdr:nvPicPr>
      <xdr:blipFill>
        <a:blip xmlns:r="http://schemas.openxmlformats.org/officeDocument/2006/relationships" r:embed="rId15"/>
        <a:stretch>
          <a:fillRect/>
        </a:stretch>
      </xdr:blipFill>
      <xdr:spPr>
        <a:xfrm>
          <a:off x="685800" y="50063400"/>
          <a:ext cx="11334750"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8" customWidth="1"/>
    <col min="2" max="2" width="78.25" style="3619" customWidth="1"/>
    <col min="3" max="18" width="9" style="3620"/>
    <col min="19" max="19" width="17.875" style="3620" customWidth="1"/>
    <col min="20" max="51" width="9" style="3620"/>
    <col min="52" max="52" width="13.25" style="3620" customWidth="1"/>
    <col min="53" max="53" width="13.5" style="3620" customWidth="1"/>
    <col min="54" max="54" width="11.625" style="3620" customWidth="1"/>
    <col min="55" max="55" width="13.5" style="3620" customWidth="1"/>
    <col min="56" max="16384" width="9" style="3620"/>
  </cols>
  <sheetData>
    <row r="1" spans="1:55" s="3612" customFormat="1" ht="15.75">
      <c r="A1" s="3621" t="s">
        <v>0</v>
      </c>
      <c r="B1" s="3622" t="s">
        <v>1</v>
      </c>
    </row>
    <row r="2" spans="1:55" s="3613" customFormat="1">
      <c r="A2" s="3623" t="s">
        <v>2</v>
      </c>
      <c r="B2" s="3624" t="str">
        <f>'预评函-封皮'!B37</f>
        <v>北京市出让国有建设用地使用权抵押价格预评估</v>
      </c>
      <c r="AX2" s="3635"/>
      <c r="AZ2" s="3635"/>
      <c r="BA2" s="3636"/>
      <c r="BC2" s="3636"/>
    </row>
    <row r="3" spans="1:55" s="3614" customFormat="1">
      <c r="A3" s="3625" t="s">
        <v>3</v>
      </c>
      <c r="B3" s="3626">
        <f>'预评函-封皮'!B40</f>
        <v>0</v>
      </c>
    </row>
    <row r="4" spans="1:55" s="3615" customFormat="1">
      <c r="A4" s="3625" t="s">
        <v>4</v>
      </c>
      <c r="B4" s="3627" t="str">
        <f>'预评函-封皮'!B46</f>
        <v>土地估价师、土地估价师</v>
      </c>
      <c r="N4" s="3615" t="str">
        <f>'预评函-1'!A28</f>
        <v>本次估价的“抵押净值”是指估价对象“抵押价格”减去估价对象在估价期日以“土地销售收入”为基数计算的预计抵押权实现进行处置时需缴纳的各项费用、税金等相关费用后的价格。</v>
      </c>
    </row>
    <row r="5" spans="1:55" s="3612" customFormat="1">
      <c r="A5" s="3628" t="s">
        <v>5</v>
      </c>
      <c r="B5" s="3629" t="str">
        <f>'预评函-封皮'!B49</f>
        <v>康正预评字号</v>
      </c>
    </row>
    <row r="6" spans="1:55" s="3616" customFormat="1">
      <c r="A6" s="3623" t="s">
        <v>6</v>
      </c>
      <c r="B6" s="3624" t="str">
        <f>'预评函-1'!A4</f>
        <v>受贵公司委托，我公司对北京市出让国有建设用地使用权抵押价格进行了预评估。</v>
      </c>
      <c r="AM6" s="3633"/>
    </row>
    <row r="7" spans="1:55" s="3617" customFormat="1">
      <c r="A7" s="3625" t="s">
        <v>7</v>
      </c>
      <c r="B7" s="3627" t="str">
        <f>'预评函-1'!A6</f>
        <v>估价对象为使用的、位于北京市出让国有建设用地使用权。根据《国有土地使用证》[]，估价对象（分摊）出让国有建设用地使用权面积为51570.87平方米。根据《建设工程规划许可证》[]、《出让合同》[]，估价对象规划建筑面积为173827.13平方米。</v>
      </c>
    </row>
    <row r="8" spans="1:55" s="3617" customFormat="1">
      <c r="A8" s="3625" t="s">
        <v>8</v>
      </c>
      <c r="B8" s="3627" t="str">
        <f>'预评函-1'!A7</f>
        <v>简述项目推广名，项目类型（用途），估价对象分布，各用途面积明细情况：XX用途建筑面积XX平方米，XX用途建筑面积XX平方米，……。复杂面积清单需设‘附表’列示：抵押物清单详见附表。</v>
      </c>
    </row>
    <row r="9" spans="1:55" s="3617" customFormat="1">
      <c r="A9" s="3625" t="s">
        <v>9</v>
      </c>
      <c r="B9" s="362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7" customFormat="1">
      <c r="A10" s="3625" t="s">
        <v>10</v>
      </c>
      <c r="B10" s="3627" t="str">
        <f>'预评函-1'!A11</f>
        <v>2023年12月11日（评估专业人员勘察现场之日）</v>
      </c>
    </row>
    <row r="11" spans="1:55" s="3617" customFormat="1">
      <c r="A11" s="3625" t="s">
        <v>11</v>
      </c>
      <c r="B11" s="3627" t="str">
        <f>'预评函-1'!A14</f>
        <v>根据《国有土地使用证》[]，本次评估估价对象证载（地类）用途为。</v>
      </c>
    </row>
    <row r="12" spans="1:55" s="3617" customFormat="1">
      <c r="A12" s="3625" t="s">
        <v>12</v>
      </c>
      <c r="B12" s="3627" t="str">
        <f>'预评函-1'!A15</f>
        <v>本次评估设定用途即为证载用途。</v>
      </c>
    </row>
    <row r="13" spans="1:55" s="3617" customFormat="1">
      <c r="A13" s="3625" t="s">
        <v>13</v>
      </c>
      <c r="B13" s="3627" t="str">
        <f>'预评函-1'!A17</f>
        <v>根据委托估价方介绍及评估专业人员现场勘查，本次评估估价对象实际土地开发程度为红线外市政基础设施达“七通”（即、、、、、、）、宗地红线内场地平整。</v>
      </c>
    </row>
    <row r="14" spans="1:55" s="3617" customFormat="1">
      <c r="A14" s="3625" t="s">
        <v>14</v>
      </c>
      <c r="B14" s="3627" t="str">
        <f>'预评函-1'!A18</f>
        <v>。本次评估设定土地开发程度为红线外市政基础设施达“七通”、宗地红线内场地平整。</v>
      </c>
    </row>
    <row r="15" spans="1:55" s="3617" customFormat="1">
      <c r="A15" s="3625" t="s">
        <v>15</v>
      </c>
      <c r="B15" s="3627" t="str">
        <f>'预评函-1'!A20</f>
        <v>根据《国有土地使用证》[]，估价对象（分摊）出让国有建设用地使用权面积为51570.87平方米。根据《建设工程规划许可证》[]、《出让合同》[]，估价对象规划建筑面积为173827.13平方米。</v>
      </c>
    </row>
    <row r="16" spans="1:55" s="3617" customFormat="1">
      <c r="A16" s="3625" t="s">
        <v>16</v>
      </c>
      <c r="B16" s="36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17" spans="1:48" s="3617" customFormat="1">
      <c r="A17" s="3625" t="s">
        <v>17</v>
      </c>
      <c r="B17" s="3627" t="str">
        <f>'预评函-1'!A23</f>
        <v>本次评估设定估价对象剩余土地使用年限为。</v>
      </c>
    </row>
    <row r="18" spans="1:48" s="3617" customFormat="1">
      <c r="A18" s="3625" t="s">
        <v>18</v>
      </c>
      <c r="B18" s="3627" t="str">
        <f>'预评函-1'!A25</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19" spans="1:48" s="3617" customFormat="1">
      <c r="A19" s="3625" t="s">
        <v>19</v>
      </c>
      <c r="B19" s="3627" t="str">
        <f>'预评函-1'!A26</f>
        <v>本次估价的“抵押价格”是指估价对象在估价期日的“出让国有建设用地使用权价格”扣减估价师于估价期日所知悉的法定优先受偿款后的余额。</v>
      </c>
    </row>
    <row r="20" spans="1:48" s="3617" customFormat="1">
      <c r="A20" s="3625" t="s">
        <v>20</v>
      </c>
      <c r="B20" s="3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2" customFormat="1">
      <c r="A21" s="3628" t="s">
        <v>21</v>
      </c>
      <c r="B21" s="36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0" t="s">
        <v>22</v>
      </c>
      <c r="B22" s="36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5" t="s">
        <v>23</v>
      </c>
      <c r="B23" s="3627" t="str">
        <f>'预评函-2'!K2</f>
        <v>估价期日：2023年12月11日</v>
      </c>
    </row>
    <row r="24" spans="1:48">
      <c r="A24" s="3625" t="s">
        <v>24</v>
      </c>
      <c r="B24" s="3627" t="str">
        <f>'预评函-2'!R2</f>
        <v>估价期日的国有建设用地使用权性质：出让</v>
      </c>
    </row>
    <row r="25" spans="1:48">
      <c r="A25" s="3625" t="s">
        <v>25</v>
      </c>
      <c r="B25" s="3627" t="str">
        <f>'预评函-2'!A3</f>
        <v>估价期日土地使用者</v>
      </c>
    </row>
    <row r="26" spans="1:48">
      <c r="A26" s="3625" t="s">
        <v>26</v>
      </c>
      <c r="B26" s="3627" t="str">
        <f>'预评函-2'!A5</f>
        <v>中信开发</v>
      </c>
    </row>
    <row r="27" spans="1:48">
      <c r="A27" s="3625" t="s">
        <v>27</v>
      </c>
      <c r="B27" s="3627" t="str">
        <f>'预评函-2'!B3</f>
        <v>宗地编号/不动产单元号</v>
      </c>
    </row>
    <row r="28" spans="1:48">
      <c r="A28" s="3625" t="s">
        <v>28</v>
      </c>
      <c r="B28" s="3627" t="str">
        <f>'预评函-2'!B5</f>
        <v>11111111111</v>
      </c>
    </row>
    <row r="29" spans="1:48">
      <c r="A29" s="3625" t="s">
        <v>29</v>
      </c>
      <c r="B29" s="3627">
        <f>'预评函-2'!C5</f>
        <v>22</v>
      </c>
    </row>
    <row r="30" spans="1:48">
      <c r="A30" s="3625" t="s">
        <v>30</v>
      </c>
      <c r="B30" s="3627" t="str">
        <f>'预评函-2'!D3</f>
        <v>土地使用证编号/不动产权证书编号</v>
      </c>
    </row>
    <row r="31" spans="1:48">
      <c r="A31" s="3625" t="s">
        <v>31</v>
      </c>
      <c r="B31" s="3627" t="str">
        <f>'预评函-2'!D5</f>
        <v>京国土字第111号</v>
      </c>
    </row>
    <row r="32" spans="1:48">
      <c r="A32" s="3625" t="s">
        <v>32</v>
      </c>
      <c r="B32" s="3627">
        <f>'预评函-2'!E5</f>
        <v>0</v>
      </c>
      <c r="AV32" s="3634"/>
    </row>
    <row r="33" spans="1:2">
      <c r="A33" s="3625" t="s">
        <v>33</v>
      </c>
      <c r="B33" s="3627">
        <f>'预评函-2'!F5</f>
        <v>258</v>
      </c>
    </row>
    <row r="34" spans="1:2">
      <c r="A34" s="3625" t="s">
        <v>34</v>
      </c>
      <c r="B34" s="3627">
        <f>'预评函-2'!G5</f>
        <v>0</v>
      </c>
    </row>
    <row r="35" spans="1:2">
      <c r="A35" s="3625" t="s">
        <v>35</v>
      </c>
      <c r="B35" s="3627">
        <f>'预评函-2'!H5</f>
        <v>1.5</v>
      </c>
    </row>
    <row r="36" spans="1:2">
      <c r="A36" s="3625" t="s">
        <v>36</v>
      </c>
      <c r="B36" s="3627">
        <f>'预评函-2'!I5</f>
        <v>1.5</v>
      </c>
    </row>
    <row r="37" spans="1:2">
      <c r="A37" s="3625" t="s">
        <v>37</v>
      </c>
      <c r="B37" s="3627">
        <f>'预评函-2'!J5</f>
        <v>1.5</v>
      </c>
    </row>
    <row r="38" spans="1:2">
      <c r="A38" s="3625" t="s">
        <v>38</v>
      </c>
      <c r="B38" s="3627" t="str">
        <f>'预评函-2'!K5</f>
        <v>红线外七通、宗地红线内</v>
      </c>
    </row>
    <row r="39" spans="1:2">
      <c r="A39" s="3625" t="s">
        <v>39</v>
      </c>
      <c r="B39" s="3627" t="str">
        <f>'预评函-2'!L5</f>
        <v>红线外七通、宗地红线内场地</v>
      </c>
    </row>
    <row r="40" spans="1:2">
      <c r="A40" s="3625" t="s">
        <v>40</v>
      </c>
      <c r="B40" s="3627" t="str">
        <f>'预评函-2'!M3</f>
        <v>（剩余）土地使用年限/年</v>
      </c>
    </row>
    <row r="41" spans="1:2">
      <c r="A41" s="3625" t="s">
        <v>41</v>
      </c>
      <c r="B41" s="3627">
        <f>'预评函-2'!M5</f>
        <v>0</v>
      </c>
    </row>
    <row r="42" spans="1:2">
      <c r="A42" s="3625" t="s">
        <v>42</v>
      </c>
      <c r="B42" s="3627" t="str">
        <f>'预评函-2'!N3</f>
        <v>（分摊）出让国有建设用地使用权面积/㎡</v>
      </c>
    </row>
    <row r="43" spans="1:2">
      <c r="A43" s="3625" t="s">
        <v>43</v>
      </c>
      <c r="B43" s="3627">
        <f>'预评函-2'!N5</f>
        <v>51570.87</v>
      </c>
    </row>
    <row r="44" spans="1:2">
      <c r="A44" s="3625" t="s">
        <v>44</v>
      </c>
      <c r="B44" s="3627" t="str">
        <f>'预评函-2'!O3</f>
        <v>规划建筑面积/㎡</v>
      </c>
    </row>
    <row r="45" spans="1:2">
      <c r="A45" s="3625" t="s">
        <v>45</v>
      </c>
      <c r="B45" s="3627">
        <f>'预评函-2'!O5</f>
        <v>173827.12999999998</v>
      </c>
    </row>
    <row r="46" spans="1:2">
      <c r="A46" s="3625" t="s">
        <v>46</v>
      </c>
      <c r="B46" s="3627">
        <f ca="1">'预评函-2'!P5</f>
        <v>29549</v>
      </c>
    </row>
    <row r="47" spans="1:2">
      <c r="A47" s="3625" t="s">
        <v>47</v>
      </c>
      <c r="B47" s="3627">
        <f ca="1">'预评函-2'!Q5</f>
        <v>8767</v>
      </c>
    </row>
    <row r="48" spans="1:2">
      <c r="A48" s="3625" t="s">
        <v>48</v>
      </c>
      <c r="B48" s="3627">
        <f ca="1">'预评函-2'!R5</f>
        <v>152388</v>
      </c>
    </row>
    <row r="49" spans="1:2">
      <c r="A49" s="3625" t="s">
        <v>49</v>
      </c>
      <c r="B49" s="3627" t="str">
        <f>'预评函-2'!A6</f>
        <v>抵押价格</v>
      </c>
    </row>
    <row r="50" spans="1:2">
      <c r="A50" s="3625" t="s">
        <v>50</v>
      </c>
      <c r="B50" s="3627">
        <f ca="1">'预评函-2'!R6</f>
        <v>150150</v>
      </c>
    </row>
    <row r="51" spans="1:2">
      <c r="A51" s="3625" t="s">
        <v>51</v>
      </c>
      <c r="B51" s="3627" t="str">
        <f>'预评函-2'!A7</f>
        <v>——</v>
      </c>
    </row>
    <row r="52" spans="1:2">
      <c r="A52" s="3625" t="s">
        <v>52</v>
      </c>
      <c r="B52" s="3627" t="str">
        <f>'预评函-2'!R7</f>
        <v>——</v>
      </c>
    </row>
    <row r="53" spans="1:2">
      <c r="A53" s="3625" t="s">
        <v>53</v>
      </c>
      <c r="B53" s="3627">
        <f>'预评函-2'!A8</f>
        <v>0</v>
      </c>
    </row>
    <row r="54" spans="1:2" s="3612" customFormat="1">
      <c r="A54" s="3628" t="s">
        <v>54</v>
      </c>
      <c r="B54" s="3629" t="str">
        <f>'预评函-2'!R8</f>
        <v>——</v>
      </c>
    </row>
    <row r="55" spans="1:2">
      <c r="A55" s="3630" t="s">
        <v>55</v>
      </c>
      <c r="B55" s="3631" t="str">
        <f>'预评函-3'!A2</f>
        <v>1.权利限制：根据估价对象《不动产权证书》原件、《国有土地使用权》复印件，截至估价期日，估价对象抵押权未见登记。未设定租赁等其他他项权利。</v>
      </c>
    </row>
    <row r="56" spans="1:2">
      <c r="A56" s="3625" t="s">
        <v>56</v>
      </c>
      <c r="B56" s="3627" t="str">
        <f>'预评函-3'!A3</f>
        <v>2.基础设施条件：估价对象实际开发程度为红线外七通、宗地红线内；本次评估设定开发程度为红线外七通、宗地红线内场地。</v>
      </c>
    </row>
    <row r="57" spans="1:2">
      <c r="A57" s="3625" t="s">
        <v>57</v>
      </c>
      <c r="B57" s="3627" t="str">
        <f>'预评函-3'!A4</f>
        <v>3.估价规划限制条件：详见《建设工程规划许可证》[]、《出让合同》[]。</v>
      </c>
    </row>
    <row r="58" spans="1:2" s="3612" customFormat="1">
      <c r="A58" s="3628" t="s">
        <v>58</v>
      </c>
      <c r="B58" s="3629" t="str">
        <f>'预评函-3'!A5</f>
        <v>4.影响价格的其他限定条件：无。</v>
      </c>
    </row>
    <row r="59" spans="1:2">
      <c r="A59" s="3630" t="s">
        <v>59</v>
      </c>
      <c r="B59" s="3631" t="str">
        <f>'预评函-3'!A8</f>
        <v>2.本《评估意见函》仅供金融机构进行内部审核使用，不做其他目的之用。</v>
      </c>
    </row>
    <row r="60" spans="1:2">
      <c r="A60" s="3625" t="s">
        <v>60</v>
      </c>
      <c r="B60" s="3627" t="str">
        <f>'预评函-3'!A9</f>
        <v>3.抵押双方在办理抵押登记手续时，应使用本公司出具的正式《土地估价报告》，特提请报告使用者注意。</v>
      </c>
    </row>
    <row r="61" spans="1:2">
      <c r="A61" s="3625" t="s">
        <v>61</v>
      </c>
      <c r="B61" s="3627" t="str">
        <f>'预评函-3'!A10</f>
        <v>4.估价师所知悉的法定优先受偿款情况为：</v>
      </c>
    </row>
    <row r="62" spans="1:2">
      <c r="A62" s="3625" t="s">
        <v>62</v>
      </c>
      <c r="B62" s="36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5" t="s">
        <v>63</v>
      </c>
      <c r="B63" s="3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5" t="s">
        <v>64</v>
      </c>
      <c r="B64" s="3632" t="str">
        <f>'预评函-3'!A13</f>
        <v>（3）。</v>
      </c>
    </row>
    <row r="65" spans="1:2">
      <c r="A65" s="3625" t="s">
        <v>65</v>
      </c>
      <c r="B65" s="3637" t="str">
        <f>'预评函-3'!A14</f>
        <v>综上，本次评估估价师知悉的法定优先受偿款为人民币2238万元整。</v>
      </c>
    </row>
    <row r="66" spans="1:2">
      <c r="A66" s="3625"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5"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2" customFormat="1">
      <c r="A68" s="3628" t="s">
        <v>68</v>
      </c>
      <c r="B68" s="3638">
        <f>'预评函-3'!D30</f>
        <v>42558</v>
      </c>
    </row>
    <row r="69" spans="1:2">
      <c r="A69" s="3630" t="s">
        <v>69</v>
      </c>
      <c r="B69" s="3631" t="str">
        <f>'预评函-3'!A20</f>
        <v>土地估价师</v>
      </c>
    </row>
    <row r="70" spans="1:2">
      <c r="A70" s="3625" t="s">
        <v>69</v>
      </c>
      <c r="B70" s="3637">
        <f>'预评函-3'!B20</f>
        <v>0</v>
      </c>
    </row>
    <row r="71" spans="1:2">
      <c r="A71" s="3625" t="s">
        <v>70</v>
      </c>
      <c r="B71" s="3627" t="str">
        <f>'预评函-3'!A21</f>
        <v>土地估价师</v>
      </c>
    </row>
    <row r="72" spans="1:2" s="3612" customFormat="1">
      <c r="A72" s="3628" t="s">
        <v>70</v>
      </c>
      <c r="B72" s="3639">
        <f>'预评函-3'!B21</f>
        <v>0</v>
      </c>
    </row>
    <row r="73" spans="1:2">
      <c r="A73" s="3630" t="s">
        <v>71</v>
      </c>
      <c r="B73" s="36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5" t="s">
        <v>72</v>
      </c>
      <c r="B74" s="3641" t="str">
        <f>'预评函-1 (储备)'!A18</f>
        <v>由于本次评估估价目的是评估储备国有建设用地使用权的“抵押价格”，因此本次评估设定土地开发程度为红线外市政基础设施达“七通”、宗地红线内场地平整。</v>
      </c>
    </row>
    <row r="75" spans="1:2" s="3612" customFormat="1">
      <c r="A75" s="3628"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8" t="s">
        <v>74</v>
      </c>
      <c r="B76" s="3619"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438"/>
  </cols>
  <sheetData>
    <row r="1" spans="1:6">
      <c r="A1" s="3439" t="s">
        <v>355</v>
      </c>
      <c r="B1" s="3440"/>
      <c r="C1" s="3440"/>
      <c r="D1" s="3440"/>
      <c r="E1" s="3440"/>
      <c r="F1" s="3441"/>
    </row>
    <row r="2" spans="1:6">
      <c r="A2" s="3442"/>
      <c r="B2" s="3443"/>
      <c r="C2" s="3443"/>
      <c r="D2" s="3443"/>
      <c r="E2" s="3443"/>
      <c r="F2" s="3444"/>
    </row>
    <row r="3" spans="1:6">
      <c r="A3" s="3445" t="s">
        <v>356</v>
      </c>
      <c r="B3" s="3446">
        <f>项目基本情况!D3</f>
        <v>45271</v>
      </c>
      <c r="C3" s="3447"/>
      <c r="D3" s="3447"/>
      <c r="E3" s="3447"/>
      <c r="F3" s="3444"/>
    </row>
    <row r="4" spans="1:6">
      <c r="A4" s="3445" t="s">
        <v>357</v>
      </c>
      <c r="B4" s="3448" t="s">
        <v>358</v>
      </c>
      <c r="C4" s="3448" t="s">
        <v>359</v>
      </c>
      <c r="D4" s="3448" t="s">
        <v>360</v>
      </c>
      <c r="E4" s="3448" t="s">
        <v>361</v>
      </c>
      <c r="F4" s="3444"/>
    </row>
    <row r="5" spans="1:6">
      <c r="A5" s="3449"/>
      <c r="B5" s="3446"/>
      <c r="C5" s="3448">
        <f>ROUNDDOWN(MIN((B5-B3)/365,A5),2)</f>
        <v>-124.03</v>
      </c>
      <c r="D5" s="3450">
        <f>IF(ISERROR(ROUND(POWER(1+E5,A5-C5)*(POWER(1+E5,C5)-1)/(POWER(1+E5,A5)-1),3)),0,ROUND(POWER(1+E5,A5-C5)*(POWER(1+E5,C5)-1)/(POWER(1+E5,A5)-1),4))</f>
        <v>0</v>
      </c>
      <c r="E5" s="3451"/>
      <c r="F5" s="3444"/>
    </row>
    <row r="6" spans="1:6">
      <c r="A6" s="3449"/>
      <c r="B6" s="3446"/>
      <c r="C6" s="3448">
        <f>ROUNDDOWN(MIN((B6-B3)/365,A6),2)</f>
        <v>-124.03</v>
      </c>
      <c r="D6" s="3450">
        <f>IF(ISERROR(ROUND(POWER(1+E6,A6-C6)*(POWER(1+E6,C6)-1)/(POWER(1+E6,A6)-1),3)),0,ROUND(POWER(1+E6,A6-C6)*(POWER(1+E6,C6)-1)/(POWER(1+E6,A6)-1),4))</f>
        <v>0</v>
      </c>
      <c r="E6" s="3451"/>
      <c r="F6" s="3444"/>
    </row>
    <row r="7" spans="1:6">
      <c r="A7" s="3449"/>
      <c r="B7" s="3446"/>
      <c r="C7" s="3448">
        <f>ROUNDDOWN(MIN((B7-B3)/365,A7),2)</f>
        <v>-124.03</v>
      </c>
      <c r="D7" s="3450">
        <f>IF(ISERROR(ROUND(POWER(1+E7,A7-C7)*(POWER(1+E7,C7)-1)/(POWER(1+E7,A7)-1),3)),0,ROUND(POWER(1+E7,A7-C7)*(POWER(1+E7,C7)-1)/(POWER(1+E7,A7)-1),4))</f>
        <v>0</v>
      </c>
      <c r="E7" s="3451"/>
      <c r="F7" s="3444"/>
    </row>
    <row r="8" spans="1:6">
      <c r="A8" s="3442"/>
      <c r="B8" s="3443"/>
      <c r="C8" s="3443"/>
      <c r="D8" s="3443"/>
      <c r="E8" s="3443"/>
      <c r="F8" s="3444"/>
    </row>
    <row r="9" spans="1:6">
      <c r="A9" s="3445" t="s">
        <v>362</v>
      </c>
      <c r="B9" s="3448"/>
      <c r="C9" s="3448"/>
      <c r="D9" s="3448"/>
      <c r="E9" s="3448"/>
      <c r="F9" s="3452"/>
    </row>
    <row r="10" spans="1:6">
      <c r="A10" s="3445" t="s">
        <v>363</v>
      </c>
      <c r="B10" s="3448"/>
      <c r="C10" s="3448"/>
      <c r="D10" s="3448" t="s">
        <v>361</v>
      </c>
      <c r="E10" s="3448"/>
      <c r="F10" s="3452" t="s">
        <v>360</v>
      </c>
    </row>
    <row r="11" spans="1:6">
      <c r="A11" s="3445" t="s">
        <v>364</v>
      </c>
      <c r="B11" s="3453"/>
      <c r="C11" s="3448" t="s">
        <v>365</v>
      </c>
      <c r="D11" s="3454"/>
      <c r="E11" s="3448" t="s">
        <v>366</v>
      </c>
      <c r="F11" s="3455">
        <f>ROUND(1-(1/(POWER(1+D11,B11))),4)</f>
        <v>0</v>
      </c>
    </row>
    <row r="12" spans="1:6">
      <c r="A12" s="3445" t="s">
        <v>367</v>
      </c>
      <c r="B12" s="3453"/>
      <c r="C12" s="3448" t="s">
        <v>368</v>
      </c>
      <c r="D12" s="3454"/>
      <c r="E12" s="3448" t="s">
        <v>369</v>
      </c>
      <c r="F12" s="3455">
        <f>ROUND(1-(1/(POWER(1+D12,B12))),4)</f>
        <v>0</v>
      </c>
    </row>
    <row r="13" spans="1:6">
      <c r="A13" s="3445" t="s">
        <v>370</v>
      </c>
      <c r="B13" s="3448"/>
      <c r="C13" s="3447"/>
      <c r="D13" s="3443"/>
      <c r="E13" s="3443"/>
      <c r="F13" s="3444"/>
    </row>
    <row r="14" spans="1:6">
      <c r="A14" s="3445" t="s">
        <v>371</v>
      </c>
      <c r="B14" s="3453"/>
      <c r="C14" s="3447"/>
      <c r="D14" s="3443"/>
      <c r="E14" s="3443"/>
      <c r="F14" s="3444"/>
    </row>
    <row r="15" spans="1:6">
      <c r="A15" s="3445" t="s">
        <v>372</v>
      </c>
      <c r="B15" s="3448" t="e">
        <f>ROUND(B14*F12/F11,2)</f>
        <v>#DIV/0!</v>
      </c>
      <c r="C15" s="3448" t="e">
        <f>ROUND(F12/F11,4)</f>
        <v>#DIV/0!</v>
      </c>
      <c r="D15" s="3443"/>
      <c r="E15" s="3443"/>
      <c r="F15" s="3444"/>
    </row>
    <row r="16" spans="1:6">
      <c r="A16" s="3445" t="s">
        <v>373</v>
      </c>
      <c r="B16" s="3448"/>
      <c r="C16" s="3447"/>
      <c r="D16" s="3443"/>
      <c r="E16" s="3443"/>
      <c r="F16" s="3444"/>
    </row>
    <row r="17" spans="1:7">
      <c r="A17" s="3445" t="s">
        <v>372</v>
      </c>
      <c r="B17" s="3454"/>
      <c r="C17" s="3447"/>
      <c r="D17" s="3443"/>
      <c r="E17" s="3443"/>
      <c r="F17" s="3444"/>
    </row>
    <row r="18" spans="1:7">
      <c r="A18" s="3456" t="s">
        <v>371</v>
      </c>
      <c r="B18" s="3457" t="e">
        <f>ROUND(B17*F11/F12,2)</f>
        <v>#DIV/0!</v>
      </c>
      <c r="C18" s="3457" t="e">
        <f>ROUND(F11/F12,4)</f>
        <v>#DIV/0!</v>
      </c>
      <c r="D18" s="3458"/>
      <c r="E18" s="3458"/>
      <c r="F18" s="3459"/>
    </row>
    <row r="20" spans="1:7">
      <c r="A20" s="3460" t="s">
        <v>374</v>
      </c>
      <c r="B20" s="3461"/>
      <c r="C20" s="3461"/>
      <c r="D20" s="3461"/>
      <c r="E20" s="3461"/>
      <c r="F20" s="3461"/>
      <c r="G20" s="3462"/>
    </row>
    <row r="21" spans="1:7">
      <c r="A21" s="3463"/>
      <c r="B21" s="3464" t="s">
        <v>375</v>
      </c>
      <c r="C21" s="3464" t="s">
        <v>359</v>
      </c>
      <c r="D21" s="3464" t="s">
        <v>376</v>
      </c>
      <c r="E21" s="3464" t="s">
        <v>360</v>
      </c>
      <c r="F21" s="3464" t="s">
        <v>377</v>
      </c>
      <c r="G21" s="3465" t="s">
        <v>378</v>
      </c>
    </row>
    <row r="22" spans="1:7">
      <c r="A22" s="3463" t="s">
        <v>379</v>
      </c>
      <c r="B22" s="3466">
        <v>50</v>
      </c>
      <c r="C22" s="3466">
        <v>32</v>
      </c>
      <c r="D22" s="3467">
        <v>0.05</v>
      </c>
      <c r="E22" s="3464">
        <f>ROUND(POWER(1+D22,B22-C22)*(POWER(1+D22,C22)-1)/(POWER(1+D22,B22)-1),3)</f>
        <v>0.86599999999999999</v>
      </c>
      <c r="F22" s="3467">
        <v>0.6</v>
      </c>
      <c r="G22" s="3465">
        <f>ROUND(100*(1-(1-E22)*F22),1)</f>
        <v>92</v>
      </c>
    </row>
    <row r="23" spans="1:7">
      <c r="A23" s="3468" t="s">
        <v>380</v>
      </c>
      <c r="B23" s="3466">
        <v>50</v>
      </c>
      <c r="C23" s="3466">
        <v>35</v>
      </c>
      <c r="D23" s="3467">
        <v>0.05</v>
      </c>
      <c r="E23" s="3464">
        <f>ROUND(POWER(1+D23,B23-C23)*(POWER(1+D23,C23)-1)/(POWER(1+D23,B23)-1),3)</f>
        <v>0.89700000000000002</v>
      </c>
      <c r="F23" s="3467">
        <f>F22</f>
        <v>0.6</v>
      </c>
      <c r="G23" s="3465">
        <f>ROUND(100*(1-(1-E23)*F23),1)</f>
        <v>93.8</v>
      </c>
    </row>
    <row r="24" spans="1:7">
      <c r="A24" s="3468" t="s">
        <v>381</v>
      </c>
      <c r="B24" s="3466">
        <v>50</v>
      </c>
      <c r="C24" s="3466">
        <v>25</v>
      </c>
      <c r="D24" s="3467">
        <v>0.05</v>
      </c>
      <c r="E24" s="3464">
        <f>ROUND(POWER(1+D24,B24-C24)*(POWER(1+D24,C24)-1)/(POWER(1+D24,B24)-1),3)</f>
        <v>0.77200000000000002</v>
      </c>
      <c r="F24" s="3467">
        <f>F23</f>
        <v>0.6</v>
      </c>
      <c r="G24" s="3465">
        <f>ROUND(100*(1-(1-E24)*F24),1)</f>
        <v>86.3</v>
      </c>
    </row>
    <row r="25" spans="1:7">
      <c r="A25" s="3468" t="s">
        <v>382</v>
      </c>
      <c r="B25" s="3466">
        <v>50</v>
      </c>
      <c r="C25" s="3466">
        <v>40</v>
      </c>
      <c r="D25" s="3467">
        <v>0.05</v>
      </c>
      <c r="E25" s="3464">
        <f>ROUND(POWER(1+D25,B25-C25)*(POWER(1+D25,C25)-1)/(POWER(1+D25,B25)-1),3)</f>
        <v>0.94</v>
      </c>
      <c r="F25" s="3467">
        <f>F24</f>
        <v>0.6</v>
      </c>
      <c r="G25" s="3465">
        <f>ROUND(100*(1-(1-E25)*F25),1)</f>
        <v>96.4</v>
      </c>
    </row>
    <row r="26" spans="1:7">
      <c r="A26" s="3469"/>
      <c r="B26" s="3470"/>
      <c r="C26" s="3470"/>
      <c r="D26" s="3470"/>
      <c r="E26" s="3470"/>
      <c r="F26" s="3470"/>
      <c r="G26" s="3471"/>
    </row>
    <row r="27" spans="1:7">
      <c r="A27" s="3472" t="s">
        <v>383</v>
      </c>
      <c r="B27" s="3473"/>
      <c r="C27" s="3473"/>
      <c r="D27" s="3473"/>
      <c r="E27" s="3473"/>
      <c r="F27" s="3473"/>
      <c r="G27" s="3474"/>
    </row>
    <row r="28" spans="1:7">
      <c r="A28" s="3472" t="s">
        <v>384</v>
      </c>
      <c r="B28" s="3473"/>
      <c r="C28" s="3473"/>
      <c r="D28" s="3473"/>
      <c r="E28" s="3473"/>
      <c r="F28" s="3473"/>
      <c r="G28" s="3474"/>
    </row>
    <row r="29" spans="1:7">
      <c r="A29" s="3472" t="s">
        <v>385</v>
      </c>
      <c r="B29" s="3473"/>
      <c r="C29" s="3473"/>
      <c r="D29" s="3473"/>
      <c r="E29" s="3473"/>
      <c r="F29" s="3473"/>
      <c r="G29" s="3474"/>
    </row>
    <row r="30" spans="1:7">
      <c r="A30" s="3472" t="s">
        <v>386</v>
      </c>
      <c r="B30" s="3473"/>
      <c r="C30" s="3473"/>
      <c r="D30" s="3473"/>
      <c r="E30" s="3473"/>
      <c r="F30" s="3473"/>
      <c r="G30" s="3474"/>
    </row>
    <row r="31" spans="1:7">
      <c r="A31" s="3472" t="s">
        <v>387</v>
      </c>
      <c r="B31" s="3473"/>
      <c r="C31" s="3473"/>
      <c r="D31" s="3473"/>
      <c r="E31" s="3473"/>
      <c r="F31" s="3473"/>
      <c r="G31" s="3474"/>
    </row>
    <row r="32" spans="1:7">
      <c r="A32" s="3472" t="s">
        <v>388</v>
      </c>
      <c r="B32" s="3473"/>
      <c r="C32" s="3473"/>
      <c r="D32" s="3473"/>
      <c r="E32" s="3473"/>
      <c r="F32" s="3473"/>
      <c r="G32" s="3474"/>
    </row>
    <row r="33" spans="1:7">
      <c r="A33" s="3472" t="s">
        <v>389</v>
      </c>
      <c r="B33" s="3473"/>
      <c r="C33" s="3473"/>
      <c r="D33" s="3473"/>
      <c r="E33" s="3473"/>
      <c r="F33" s="3473"/>
      <c r="G33" s="3474"/>
    </row>
    <row r="34" spans="1:7">
      <c r="A34" s="3472" t="s">
        <v>390</v>
      </c>
      <c r="B34" s="3473"/>
      <c r="C34" s="3473"/>
      <c r="D34" s="3473"/>
      <c r="E34" s="3473"/>
      <c r="F34" s="3473"/>
      <c r="G34" s="3474"/>
    </row>
    <row r="35" spans="1:7">
      <c r="A35" s="3472" t="s">
        <v>391</v>
      </c>
      <c r="B35" s="3473"/>
      <c r="C35" s="3473"/>
      <c r="D35" s="3473"/>
      <c r="E35" s="3473"/>
      <c r="F35" s="3473"/>
      <c r="G35" s="3474"/>
    </row>
    <row r="36" spans="1:7">
      <c r="A36" s="3472" t="s">
        <v>392</v>
      </c>
      <c r="B36" s="3473"/>
      <c r="C36" s="3473"/>
      <c r="D36" s="3473"/>
      <c r="E36" s="3473"/>
      <c r="F36" s="3473"/>
      <c r="G36" s="3474"/>
    </row>
    <row r="37" spans="1:7">
      <c r="A37" s="3472" t="s">
        <v>393</v>
      </c>
      <c r="B37" s="3473"/>
      <c r="C37" s="3473"/>
      <c r="D37" s="3473"/>
      <c r="E37" s="3473"/>
      <c r="F37" s="3473"/>
      <c r="G37" s="3474"/>
    </row>
    <row r="38" spans="1:7">
      <c r="A38" s="3472" t="s">
        <v>394</v>
      </c>
      <c r="B38" s="3473"/>
      <c r="C38" s="3473"/>
      <c r="D38" s="3473"/>
      <c r="E38" s="3473"/>
      <c r="F38" s="3473"/>
      <c r="G38" s="3474"/>
    </row>
    <row r="39" spans="1:7">
      <c r="A39" s="3472"/>
      <c r="B39" s="3473"/>
      <c r="C39" s="3473"/>
      <c r="D39" s="3473"/>
      <c r="E39" s="3473"/>
      <c r="F39" s="3473"/>
      <c r="G39" s="3474"/>
    </row>
    <row r="40" spans="1:7">
      <c r="A40" s="3475" t="s">
        <v>395</v>
      </c>
      <c r="B40" s="3476"/>
      <c r="C40" s="3476"/>
      <c r="D40" s="3476"/>
      <c r="E40" s="3476"/>
      <c r="F40" s="3476"/>
      <c r="G40" s="3477"/>
    </row>
    <row r="41" spans="1:7">
      <c r="A41" s="3478" t="s">
        <v>352</v>
      </c>
      <c r="B41" s="3479" t="s">
        <v>396</v>
      </c>
      <c r="C41" s="3480" t="s">
        <v>397</v>
      </c>
      <c r="D41" s="3480" t="s">
        <v>398</v>
      </c>
      <c r="E41" s="3481"/>
      <c r="F41" s="3482"/>
      <c r="G41" s="3483"/>
    </row>
    <row r="42" spans="1:7">
      <c r="A42" s="3478" t="s">
        <v>164</v>
      </c>
      <c r="B42" s="3479" t="s">
        <v>399</v>
      </c>
      <c r="C42" s="3480" t="s">
        <v>399</v>
      </c>
      <c r="D42" s="3484" t="s">
        <v>400</v>
      </c>
      <c r="E42" s="3476" t="s">
        <v>401</v>
      </c>
      <c r="F42" s="3476"/>
      <c r="G42" s="3477"/>
    </row>
    <row r="43" spans="1:7">
      <c r="A43" s="3478" t="s">
        <v>402</v>
      </c>
      <c r="B43" s="3479" t="s">
        <v>403</v>
      </c>
      <c r="C43" s="3480" t="s">
        <v>404</v>
      </c>
      <c r="D43" s="3480" t="s">
        <v>405</v>
      </c>
      <c r="E43" s="3481" t="s">
        <v>406</v>
      </c>
      <c r="F43" s="3482"/>
      <c r="G43" s="3483"/>
    </row>
    <row r="44" spans="1:7">
      <c r="A44" s="3478" t="s">
        <v>407</v>
      </c>
      <c r="B44" s="3479" t="s">
        <v>408</v>
      </c>
      <c r="C44" s="3480" t="s">
        <v>409</v>
      </c>
      <c r="D44" s="3484">
        <v>0.5</v>
      </c>
      <c r="E44" s="3481" t="s">
        <v>410</v>
      </c>
      <c r="F44" s="3482"/>
      <c r="G44" s="3483"/>
    </row>
    <row r="45" spans="1:7">
      <c r="A45" s="3485" t="s">
        <v>411</v>
      </c>
      <c r="B45" s="3486" t="s">
        <v>399</v>
      </c>
      <c r="C45" s="3487" t="s">
        <v>399</v>
      </c>
      <c r="D45" s="3487" t="s">
        <v>412</v>
      </c>
      <c r="E45" s="3488" t="s">
        <v>413</v>
      </c>
      <c r="F45" s="3488"/>
      <c r="G45" s="3489"/>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0" zoomScaleNormal="100" workbookViewId="0">
      <selection activeCell="N27" sqref="N27"/>
    </sheetView>
  </sheetViews>
  <sheetFormatPr defaultColWidth="10" defaultRowHeight="14.25"/>
  <cols>
    <col min="1" max="1" width="15.375" style="3274" customWidth="1"/>
    <col min="2" max="2" width="12.75" style="3274" customWidth="1"/>
    <col min="3" max="8" width="13.125" style="3274" customWidth="1"/>
    <col min="9" max="9" width="13.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spans="1:21">
      <c r="A1" s="3280" t="s">
        <v>414</v>
      </c>
      <c r="B1" s="3703" t="str">
        <f>IF(B10="北京市","北京市",C10)&amp;F10&amp;A17&amp;"国有建设用地使用权"&amp;B9&amp;"预评估"</f>
        <v>北京市出让国有建设用地使用权抵押价格预评估</v>
      </c>
      <c r="C1" s="3704"/>
      <c r="D1" s="3704"/>
      <c r="E1" s="3704"/>
      <c r="F1" s="3704"/>
      <c r="G1" s="3704"/>
      <c r="H1" s="3704"/>
      <c r="I1" s="3705"/>
      <c r="J1" s="3283"/>
      <c r="K1" s="3406" t="str">
        <f>IF(B10="北京市","北京市",C10)&amp;F10&amp;A17&amp;"国有建设用地使用权"&amp;B9</f>
        <v>北京市出让国有建设用地使用权抵押价格</v>
      </c>
      <c r="L1" s="3407"/>
      <c r="M1" s="3407"/>
      <c r="N1" s="3408"/>
      <c r="O1" s="3409"/>
      <c r="P1" s="3408"/>
      <c r="Q1" s="3408"/>
      <c r="R1" s="3408"/>
      <c r="S1" s="3408"/>
      <c r="T1" s="3408"/>
      <c r="U1" s="3408"/>
    </row>
    <row r="2" spans="1:21">
      <c r="A2" s="3281" t="s">
        <v>415</v>
      </c>
      <c r="B2" s="3282"/>
      <c r="D2" s="3283"/>
      <c r="E2" s="3283"/>
      <c r="F2" s="3283"/>
      <c r="G2" s="3283"/>
      <c r="H2" s="3284"/>
      <c r="I2" s="3410"/>
      <c r="J2" s="3283"/>
      <c r="K2" s="3406" t="str">
        <f>IF(B10="北京市","北京市",C10)&amp;F10&amp;A17&amp;"国有建设用地使用权"</f>
        <v>北京市出让国有建设用地使用权</v>
      </c>
      <c r="L2" s="3407"/>
      <c r="M2" s="3407"/>
      <c r="N2" s="3408"/>
      <c r="O2" s="3409"/>
      <c r="P2" s="3408"/>
      <c r="Q2" s="3408"/>
      <c r="R2" s="3408"/>
      <c r="S2" s="3408"/>
      <c r="T2" s="3408"/>
      <c r="U2" s="3408"/>
    </row>
    <row r="3" spans="1:21">
      <c r="A3" s="3285" t="s">
        <v>416</v>
      </c>
      <c r="B3" s="3286">
        <v>45271</v>
      </c>
      <c r="C3" s="3287" t="s">
        <v>417</v>
      </c>
      <c r="D3" s="3286">
        <f>B3</f>
        <v>45271</v>
      </c>
      <c r="E3" s="3283"/>
      <c r="F3" s="3283"/>
      <c r="G3" s="3283"/>
      <c r="H3" s="3284"/>
      <c r="I3" s="3410"/>
      <c r="J3" s="3283"/>
      <c r="K3" s="3411"/>
      <c r="L3" s="3407"/>
      <c r="M3" s="3407"/>
      <c r="N3" s="3408"/>
      <c r="O3" s="3409"/>
      <c r="P3" s="3408"/>
      <c r="Q3" s="3408"/>
      <c r="R3" s="3408"/>
      <c r="S3" s="3408"/>
      <c r="T3" s="3408"/>
      <c r="U3" s="3408"/>
    </row>
    <row r="4" spans="1:21">
      <c r="A4" s="3288" t="s">
        <v>418</v>
      </c>
      <c r="B4" s="3289" t="s">
        <v>189</v>
      </c>
      <c r="C4" s="3290">
        <f>SUMIF(土地估价师,B4,估价师及机构信息!E3:E17)</f>
        <v>0</v>
      </c>
      <c r="D4" s="3289" t="s">
        <v>189</v>
      </c>
      <c r="E4" s="3290">
        <f>SUMIF(土地估价师,D4,估价师及机构信息!E3:E17)</f>
        <v>0</v>
      </c>
      <c r="F4" s="3289" t="s">
        <v>138</v>
      </c>
      <c r="G4" s="3290">
        <f>SUMIF(土地估价师,F4,估价师及机构信息!E3:E17)</f>
        <v>0</v>
      </c>
      <c r="H4" s="3289" t="s">
        <v>138</v>
      </c>
      <c r="I4" s="3290">
        <f>SUMIF(土地估价师,H4,估价师及机构信息!E3:E17)</f>
        <v>0</v>
      </c>
      <c r="J4" s="3283"/>
      <c r="K4" s="3406" t="str">
        <f>IF(AND(F4="——",H4="——"),B4&amp;"、"&amp;D4,IF(AND(F4&lt;&gt;"——",H4="——"),B4&amp;"、"&amp;D4&amp;"、"&amp;F4,B4&amp;"、"&amp;D4&amp;"、"&amp;F4&amp;"、"&amp;H4))</f>
        <v>土地估价师、土地估价师</v>
      </c>
      <c r="L4" s="3407"/>
      <c r="M4" s="3407"/>
      <c r="N4" s="3408"/>
      <c r="O4" s="3409"/>
      <c r="P4" s="3408"/>
      <c r="Q4" s="3408"/>
      <c r="R4" s="3408"/>
      <c r="S4" s="3408"/>
      <c r="T4" s="3408"/>
      <c r="U4" s="3408"/>
    </row>
    <row r="5" spans="1:21">
      <c r="A5" s="3291" t="s">
        <v>419</v>
      </c>
      <c r="B5" s="3292"/>
      <c r="C5" s="3293"/>
      <c r="D5" s="3294"/>
      <c r="E5" s="3283"/>
      <c r="F5" s="3283"/>
      <c r="G5" s="3283"/>
      <c r="H5" s="3284"/>
      <c r="I5" s="3410"/>
      <c r="J5" s="3283"/>
      <c r="K5" s="3411"/>
      <c r="L5" s="3407"/>
      <c r="M5" s="3407"/>
      <c r="N5" s="3408"/>
      <c r="O5" s="3409"/>
      <c r="P5" s="3408"/>
      <c r="Q5" s="3408"/>
      <c r="R5" s="3408"/>
      <c r="S5" s="3408"/>
      <c r="T5" s="3408"/>
      <c r="U5" s="3408"/>
    </row>
    <row r="6" spans="1:21" ht="26.25">
      <c r="A6" s="3295" t="s">
        <v>420</v>
      </c>
      <c r="B6" s="3292"/>
      <c r="C6" s="3296"/>
      <c r="D6" s="3297"/>
      <c r="E6" s="3283"/>
      <c r="F6" s="3283"/>
      <c r="G6" s="3283"/>
      <c r="H6" s="3284"/>
      <c r="I6" s="3410"/>
      <c r="J6" s="3283"/>
      <c r="K6" s="3412" t="str">
        <f>IF(COUNTIF(B6,"*上海银行*"),"上海银行","")</f>
        <v/>
      </c>
      <c r="L6" s="3407"/>
      <c r="M6" s="3407"/>
      <c r="N6" s="3408"/>
      <c r="O6" s="3409"/>
      <c r="P6" s="3408"/>
      <c r="Q6" s="3408"/>
      <c r="R6" s="3408"/>
      <c r="S6" s="3408"/>
      <c r="T6" s="3408"/>
      <c r="U6" s="3408"/>
    </row>
    <row r="7" spans="1:21">
      <c r="A7" s="3298" t="s">
        <v>421</v>
      </c>
      <c r="B7" s="3292"/>
      <c r="C7" s="3296"/>
      <c r="D7" s="3297"/>
      <c r="E7" s="3283"/>
      <c r="F7" s="3283"/>
      <c r="G7" s="3283"/>
      <c r="H7" s="3284"/>
      <c r="I7" s="3410"/>
      <c r="J7" s="3283"/>
      <c r="K7" s="3411"/>
      <c r="L7" s="3407"/>
      <c r="M7" s="3407"/>
      <c r="N7" s="3408"/>
      <c r="O7" s="3409"/>
      <c r="P7" s="3408"/>
      <c r="Q7" s="3408"/>
      <c r="R7" s="3408"/>
      <c r="S7" s="3408"/>
      <c r="T7" s="3408"/>
      <c r="U7" s="3408"/>
    </row>
    <row r="8" spans="1:21">
      <c r="A8" s="3299" t="s">
        <v>340</v>
      </c>
      <c r="B8" s="3300" t="s">
        <v>342</v>
      </c>
      <c r="C8" s="3301"/>
      <c r="D8" s="3712" t="s">
        <v>422</v>
      </c>
      <c r="E8" s="3302" t="s">
        <v>347</v>
      </c>
      <c r="F8" s="3303"/>
      <c r="G8" s="3284"/>
      <c r="H8" s="3284"/>
      <c r="I8" s="3413"/>
      <c r="J8" s="3283"/>
      <c r="K8" s="3411"/>
      <c r="L8" s="3407"/>
      <c r="M8" s="3407"/>
      <c r="N8" s="3408"/>
      <c r="O8" s="3409"/>
      <c r="P8" s="3408"/>
      <c r="Q8" s="3408"/>
      <c r="R8" s="3408"/>
      <c r="S8" s="3408"/>
      <c r="T8" s="3408"/>
      <c r="U8" s="3408"/>
    </row>
    <row r="9" spans="1:21">
      <c r="A9" s="3304" t="s">
        <v>423</v>
      </c>
      <c r="B9" s="3305" t="s">
        <v>347</v>
      </c>
      <c r="C9" s="3306"/>
      <c r="D9" s="3713"/>
      <c r="E9" s="3305"/>
      <c r="F9" s="3307"/>
      <c r="G9" s="3308"/>
      <c r="H9" s="3308"/>
      <c r="I9" s="3414"/>
      <c r="J9" s="3283"/>
      <c r="K9" s="3411"/>
      <c r="L9" s="3407"/>
      <c r="M9" s="3407"/>
      <c r="N9" s="3408"/>
      <c r="O9" s="3409"/>
      <c r="P9" s="3408"/>
      <c r="Q9" s="3408"/>
      <c r="R9" s="3408"/>
      <c r="S9" s="3408"/>
      <c r="T9" s="3408"/>
      <c r="U9" s="3408"/>
    </row>
    <row r="10" spans="1:21">
      <c r="A10" s="3309" t="s">
        <v>424</v>
      </c>
      <c r="B10" s="3310" t="s">
        <v>425</v>
      </c>
      <c r="C10" s="3311"/>
      <c r="D10" s="3294"/>
      <c r="E10" s="3312" t="s">
        <v>426</v>
      </c>
      <c r="F10" s="3313"/>
      <c r="G10" s="3314"/>
      <c r="H10" s="3315"/>
      <c r="I10" s="3294"/>
      <c r="J10" s="3283"/>
      <c r="K10" s="3411"/>
      <c r="L10" s="3407"/>
      <c r="M10" s="3407"/>
      <c r="N10" s="3408"/>
      <c r="O10" s="3409"/>
      <c r="P10" s="3408"/>
      <c r="Q10" s="3408"/>
      <c r="R10" s="3408"/>
      <c r="S10" s="3408"/>
      <c r="T10" s="3408"/>
      <c r="U10" s="3408"/>
    </row>
    <row r="11" spans="1:21">
      <c r="A11" s="3316" t="s">
        <v>427</v>
      </c>
      <c r="B11" s="3317" t="s">
        <v>428</v>
      </c>
      <c r="C11" s="3318"/>
      <c r="D11" s="3319"/>
      <c r="E11" s="3320"/>
      <c r="F11" s="3320"/>
      <c r="G11" s="3320"/>
      <c r="H11" s="3320"/>
      <c r="I11" s="3320"/>
      <c r="J11" s="3283"/>
      <c r="K11" s="3411"/>
      <c r="L11" s="3407"/>
      <c r="M11" s="3407"/>
      <c r="N11" s="3408"/>
      <c r="O11" s="3409"/>
      <c r="P11" s="3408"/>
      <c r="Q11" s="3408"/>
      <c r="R11" s="3408"/>
      <c r="S11" s="3408"/>
      <c r="T11" s="3408"/>
      <c r="U11" s="3408"/>
    </row>
    <row r="12" spans="1:21">
      <c r="A12" s="3321" t="s">
        <v>429</v>
      </c>
      <c r="B12" s="3706"/>
      <c r="C12" s="3707"/>
      <c r="D12" s="3708"/>
      <c r="E12" s="3322" t="s">
        <v>430</v>
      </c>
      <c r="F12" s="3709" t="s">
        <v>431</v>
      </c>
      <c r="G12" s="3710"/>
      <c r="H12" s="3710"/>
      <c r="I12" s="3711"/>
      <c r="J12" s="3283"/>
      <c r="K12" s="3411"/>
      <c r="L12" s="3407"/>
      <c r="M12" s="3407"/>
      <c r="N12" s="3408"/>
      <c r="O12" s="3409"/>
      <c r="P12" s="3408"/>
      <c r="Q12" s="3408"/>
      <c r="R12" s="3408"/>
      <c r="S12" s="3408"/>
      <c r="T12" s="3408"/>
      <c r="U12" s="3408"/>
    </row>
    <row r="13" spans="1:21">
      <c r="A13" s="3323" t="s">
        <v>432</v>
      </c>
      <c r="B13" s="3706"/>
      <c r="C13" s="3707"/>
      <c r="D13" s="3708"/>
      <c r="E13" s="3322" t="s">
        <v>430</v>
      </c>
      <c r="F13" s="3709" t="s">
        <v>433</v>
      </c>
      <c r="G13" s="3710"/>
      <c r="H13" s="3710"/>
      <c r="I13" s="3711"/>
      <c r="J13" s="3283"/>
      <c r="K13" s="3411"/>
      <c r="L13" s="3407"/>
      <c r="M13" s="3407"/>
      <c r="N13" s="3408"/>
      <c r="O13" s="3409"/>
      <c r="P13" s="3408"/>
      <c r="Q13" s="3408"/>
      <c r="R13" s="3408"/>
      <c r="S13" s="3408"/>
      <c r="T13" s="3408"/>
      <c r="U13" s="3408"/>
    </row>
    <row r="14" spans="1:21">
      <c r="A14" s="3285" t="s">
        <v>434</v>
      </c>
      <c r="B14" s="3322"/>
      <c r="C14" s="3324"/>
      <c r="D14" s="3325" t="str">
        <f>IF(C14="不一致","是否符合证载地类范围","")</f>
        <v/>
      </c>
      <c r="E14" s="3322"/>
      <c r="F14" s="3326"/>
      <c r="G14" s="3327"/>
      <c r="H14" s="3327"/>
      <c r="I14" s="3415"/>
      <c r="J14" s="3283"/>
      <c r="K14" s="3411"/>
      <c r="L14" s="3407"/>
      <c r="M14" s="3407"/>
      <c r="N14" s="3408"/>
      <c r="O14" s="3409"/>
      <c r="P14" s="3408"/>
      <c r="Q14" s="3408"/>
      <c r="R14" s="3408"/>
      <c r="S14" s="3408"/>
      <c r="T14" s="3408"/>
      <c r="U14" s="3408"/>
    </row>
    <row r="15" spans="1:21">
      <c r="A15" s="3328"/>
      <c r="B15" s="3295"/>
      <c r="C15" s="3329" t="s">
        <v>402</v>
      </c>
      <c r="D15" s="3329" t="s">
        <v>435</v>
      </c>
      <c r="E15" s="3329" t="s">
        <v>436</v>
      </c>
      <c r="F15" s="3330" t="s">
        <v>437</v>
      </c>
      <c r="G15" s="3330" t="s">
        <v>438</v>
      </c>
      <c r="H15" s="3330" t="s">
        <v>164</v>
      </c>
      <c r="I15" s="3330" t="s">
        <v>297</v>
      </c>
      <c r="J15" s="3283"/>
      <c r="K15" s="3411"/>
      <c r="L15" s="3407"/>
      <c r="M15" s="3407"/>
      <c r="N15" s="3408"/>
      <c r="O15" s="3409"/>
      <c r="P15" s="3408"/>
      <c r="Q15" s="3408"/>
      <c r="R15" s="3408"/>
      <c r="S15" s="3408"/>
      <c r="T15" s="3408"/>
      <c r="U15" s="3408"/>
    </row>
    <row r="16" spans="1:21" ht="28.5">
      <c r="A16" s="3331" t="s">
        <v>439</v>
      </c>
      <c r="B16" s="3322" t="s">
        <v>352</v>
      </c>
      <c r="C16" s="3329" t="s">
        <v>402</v>
      </c>
      <c r="D16" s="3332" t="s">
        <v>435</v>
      </c>
      <c r="E16" s="3332" t="s">
        <v>436</v>
      </c>
      <c r="F16" s="3332" t="s">
        <v>437</v>
      </c>
      <c r="G16" s="3332" t="s">
        <v>438</v>
      </c>
      <c r="H16" s="3330" t="s">
        <v>164</v>
      </c>
      <c r="I16" s="3330" t="s">
        <v>297</v>
      </c>
      <c r="J16" s="3283"/>
      <c r="K16" s="3416" t="str">
        <f>IF(D17="","",D16&amp;TEXT(D17,"yyyy年m月d日;;"))</f>
        <v>商业2062年9月25日</v>
      </c>
      <c r="L16" s="3322" t="str">
        <f>IF(OR(K16="",M16=""),"","、")</f>
        <v/>
      </c>
      <c r="M16" s="3416" t="str">
        <f>IF(E17="","",E16&amp;TEXT(E17,"yyyy年m月d日;;"))</f>
        <v/>
      </c>
      <c r="N16" s="3322" t="str">
        <f>IF(OR(M16="",O16=""),"","、")</f>
        <v/>
      </c>
      <c r="O16" s="3416" t="str">
        <f>IF(F17="","",F16&amp;TEXT(F17,"yyyy年m月d日;;"))</f>
        <v>车库2072年9月25日</v>
      </c>
      <c r="P16" s="3322" t="str">
        <f>IF(OR(O16="",Q16=""),"","、")</f>
        <v>、</v>
      </c>
      <c r="Q16" s="3416" t="str">
        <f>IF(G17="","",G16&amp;TEXT(G17,"yyyy年m月d日;;"))</f>
        <v>仓储2072年9月25日</v>
      </c>
      <c r="R16" s="3322" t="str">
        <f>IF(OR(Q16="",S16=""),"","、")</f>
        <v/>
      </c>
      <c r="S16" s="3416" t="str">
        <f>IF(H17="","",H16&amp;TEXT(H17,"yyyy年m月d日;;"))</f>
        <v/>
      </c>
      <c r="T16" s="3322" t="str">
        <f>IF(OR(S16="",U16=""),"","、")</f>
        <v/>
      </c>
      <c r="U16" s="3416" t="str">
        <f>IF(I17="","",I16&amp;TEXT(I17,"yyyy年m月d日;;"))</f>
        <v/>
      </c>
    </row>
    <row r="17" spans="1:21">
      <c r="A17" s="3333" t="s">
        <v>440</v>
      </c>
      <c r="B17" s="3334" t="s">
        <v>358</v>
      </c>
      <c r="C17" s="3335">
        <v>70397</v>
      </c>
      <c r="D17" s="3335">
        <v>59439</v>
      </c>
      <c r="E17" s="3335"/>
      <c r="F17" s="3335">
        <v>63092</v>
      </c>
      <c r="G17" s="3335">
        <v>63092</v>
      </c>
      <c r="H17" s="3335"/>
      <c r="I17" s="3335"/>
      <c r="J17" s="3283"/>
      <c r="K17" s="3417" t="str">
        <f>CONCATENATE(K16,L16,M16,N16,O16,P16,Q16,R16,S16,T16,,U16)</f>
        <v>商业2062年9月25日车库2072年9月25日、仓储2072年9月25日</v>
      </c>
      <c r="L17" s="3407"/>
      <c r="M17" s="3407"/>
      <c r="N17" s="3408"/>
      <c r="O17" s="3409"/>
      <c r="P17" s="3408"/>
      <c r="Q17" s="3408"/>
      <c r="R17" s="3408"/>
      <c r="S17" s="3408"/>
      <c r="T17" s="3408"/>
      <c r="U17" s="3408"/>
    </row>
    <row r="18" spans="1:21">
      <c r="A18" s="3336"/>
      <c r="B18" s="3334" t="s">
        <v>375</v>
      </c>
      <c r="C18" s="3337">
        <v>70</v>
      </c>
      <c r="D18" s="3337">
        <v>40</v>
      </c>
      <c r="E18" s="3337"/>
      <c r="F18" s="3337">
        <v>50</v>
      </c>
      <c r="G18" s="3337">
        <v>50</v>
      </c>
      <c r="H18" s="3337"/>
      <c r="I18" s="3337"/>
      <c r="J18" s="3283"/>
      <c r="K18" s="3411"/>
      <c r="L18" s="3407"/>
      <c r="M18" s="3407"/>
      <c r="N18" s="3408"/>
      <c r="O18" s="3409"/>
      <c r="P18" s="3408"/>
      <c r="Q18" s="3408"/>
      <c r="R18" s="3408"/>
      <c r="S18" s="3408"/>
      <c r="T18" s="3408"/>
      <c r="U18" s="3408"/>
    </row>
    <row r="19" spans="1:21">
      <c r="A19" s="3336"/>
      <c r="B19" s="3281" t="s">
        <v>441</v>
      </c>
      <c r="C19" s="3338">
        <f>IF(A17="出让",IF(C17="","",ROUNDDOWN(MIN((C17-$D$3)/365,C18),2)),C18)</f>
        <v>68.83</v>
      </c>
      <c r="D19" s="3338">
        <f>IF(A17="出让",IF(D17="","",ROUNDDOWN(MIN((D17-$D$3)/365,D18),2)),D18)</f>
        <v>38.81</v>
      </c>
      <c r="E19" s="3339" t="str">
        <f>IF(A17="出让",IF(E17="","",ROUNDDOWN(MIN((E17-$D$3)/365,E18),2)),E18)</f>
        <v/>
      </c>
      <c r="F19" s="3339">
        <f>IF(A17="出让",IF(F17="","",ROUNDDOWN(MIN((F17-$D$3)/365,F18),2)),F18)</f>
        <v>48.82</v>
      </c>
      <c r="G19" s="3339">
        <f>IF(A17="出让",IF(G17="","",ROUNDDOWN(MIN((G17-$D$3)/365,G18),2)),G18)</f>
        <v>48.82</v>
      </c>
      <c r="H19" s="3339" t="str">
        <f>IF(A17="出让",IF(H17="","",ROUNDDOWN(MIN((H17-$D$3)/365,H18),2)),H18)</f>
        <v/>
      </c>
      <c r="I19" s="3339" t="str">
        <f>IF(A17="出让",IF(I17="","",ROUNDDOWN(MIN((I17-$D$3)/365,I18),2)),I18)</f>
        <v/>
      </c>
      <c r="J19" s="3283"/>
      <c r="K19" s="3411"/>
      <c r="L19" s="3407"/>
      <c r="M19" s="3407"/>
      <c r="N19" s="3408"/>
      <c r="O19" s="3409"/>
      <c r="P19" s="3408"/>
      <c r="Q19" s="3408"/>
      <c r="R19" s="3408"/>
      <c r="S19" s="3408"/>
      <c r="T19" s="3408"/>
      <c r="U19" s="3408"/>
    </row>
    <row r="20" spans="1:21">
      <c r="A20" s="3340"/>
      <c r="B20" s="3341"/>
      <c r="C20" s="3342" t="s">
        <v>442</v>
      </c>
      <c r="D20" s="3714"/>
      <c r="E20" s="3715"/>
      <c r="F20" s="3715"/>
      <c r="G20" s="3715"/>
      <c r="H20" s="3715"/>
      <c r="I20" s="3716"/>
      <c r="J20" s="3283"/>
      <c r="K20" s="3411"/>
      <c r="L20" s="3407"/>
      <c r="M20" s="3407"/>
      <c r="N20" s="3408"/>
      <c r="O20" s="3409"/>
      <c r="P20" s="3408"/>
      <c r="Q20" s="3408"/>
      <c r="R20" s="3408"/>
      <c r="S20" s="3408"/>
      <c r="T20" s="3408"/>
      <c r="U20" s="3408"/>
    </row>
    <row r="21" spans="1:21">
      <c r="A21" s="3336" t="s">
        <v>443</v>
      </c>
      <c r="B21" s="3343" t="s">
        <v>444</v>
      </c>
      <c r="C21" s="3344">
        <f>'数据-汇总表'!E3</f>
        <v>173827.12999999998</v>
      </c>
      <c r="D21" s="3345" t="s">
        <v>445</v>
      </c>
      <c r="E21" s="3717" t="s">
        <v>446</v>
      </c>
      <c r="F21" s="3718"/>
      <c r="G21" s="3718"/>
      <c r="H21" s="3718"/>
      <c r="I21" s="3719"/>
      <c r="J21" s="3283"/>
      <c r="K21" s="3411"/>
      <c r="L21" s="3407"/>
      <c r="M21" s="3407"/>
      <c r="N21" s="3408"/>
      <c r="O21" s="3409"/>
      <c r="P21" s="3408"/>
      <c r="Q21" s="3408"/>
      <c r="R21" s="3408"/>
      <c r="S21" s="3408"/>
      <c r="T21" s="3408"/>
      <c r="U21" s="3408"/>
    </row>
    <row r="22" spans="1:21">
      <c r="A22" s="3346" t="s">
        <v>138</v>
      </c>
      <c r="B22" s="3285" t="s">
        <v>447</v>
      </c>
      <c r="C22" s="3330">
        <f>'数据-汇总表'!D3</f>
        <v>51570.87</v>
      </c>
      <c r="D22" s="3323" t="s">
        <v>445</v>
      </c>
      <c r="E22" s="3717" t="s">
        <v>431</v>
      </c>
      <c r="F22" s="3718"/>
      <c r="G22" s="3718"/>
      <c r="H22" s="3718"/>
      <c r="I22" s="3719"/>
      <c r="J22" s="3283"/>
      <c r="K22" s="3411"/>
      <c r="L22" s="3407"/>
      <c r="M22" s="3407"/>
      <c r="N22" s="3408"/>
      <c r="O22" s="3409"/>
      <c r="P22" s="3408"/>
      <c r="Q22" s="3408"/>
      <c r="R22" s="3408"/>
      <c r="S22" s="3408"/>
      <c r="T22" s="3408"/>
      <c r="U22" s="3408"/>
    </row>
    <row r="23" spans="1:21" ht="28.5">
      <c r="A23" s="3347" t="s">
        <v>448</v>
      </c>
      <c r="B23" s="3348" t="s">
        <v>449</v>
      </c>
      <c r="C23" s="3349"/>
      <c r="D23" s="3350" t="s">
        <v>450</v>
      </c>
      <c r="E23" s="3351"/>
      <c r="F23" s="3352" t="str">
        <f>IF(AND(C23="是",E23="否"),"是否提供他项权证或相关说明","")</f>
        <v/>
      </c>
      <c r="G23" s="3353"/>
      <c r="H23" s="3283"/>
      <c r="I23" s="3413"/>
      <c r="J23" s="3283"/>
      <c r="K23" s="3411"/>
      <c r="L23" s="3407"/>
      <c r="M23" s="3407"/>
      <c r="N23" s="3408"/>
      <c r="O23" s="3409"/>
      <c r="P23" s="3408"/>
      <c r="Q23" s="3408"/>
      <c r="R23" s="3408"/>
      <c r="S23" s="3408"/>
      <c r="T23" s="3408"/>
      <c r="U23" s="3408"/>
    </row>
    <row r="24" spans="1:21">
      <c r="A24" s="3354" t="s">
        <v>430</v>
      </c>
      <c r="B24" s="3720" t="s">
        <v>451</v>
      </c>
      <c r="C24" s="3721"/>
      <c r="D24" s="3722" t="s">
        <v>452</v>
      </c>
      <c r="E24" s="3723"/>
      <c r="F24" s="3355" t="s">
        <v>453</v>
      </c>
      <c r="G24" s="3283"/>
      <c r="H24" s="3283"/>
      <c r="I24" s="3413"/>
      <c r="J24" s="3283"/>
      <c r="K24" s="3724" t="s">
        <v>454</v>
      </c>
      <c r="L24" s="3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9"/>
      <c r="N24" s="3408"/>
      <c r="O24" s="3409"/>
      <c r="P24" s="3408"/>
      <c r="Q24" s="3408"/>
      <c r="R24" s="3408"/>
      <c r="S24" s="3408"/>
      <c r="T24" s="3408"/>
      <c r="U24" s="3408"/>
    </row>
    <row r="25" spans="1:21" ht="28.5">
      <c r="A25" s="3356"/>
      <c r="B25" s="3357" t="s">
        <v>455</v>
      </c>
      <c r="C25" s="3358" t="s">
        <v>456</v>
      </c>
      <c r="D25" s="3359"/>
      <c r="E25" s="3360" t="s">
        <v>138</v>
      </c>
      <c r="F25" s="3361"/>
      <c r="G25" s="3283"/>
      <c r="H25" s="3283"/>
      <c r="I25" s="3413"/>
      <c r="J25" s="3283"/>
      <c r="K25" s="3724"/>
      <c r="L25" s="3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9"/>
      <c r="N25" s="3408"/>
      <c r="O25" s="3409"/>
      <c r="P25" s="3408"/>
      <c r="Q25" s="3408"/>
      <c r="R25" s="3408"/>
      <c r="S25" s="3408"/>
      <c r="T25" s="3408"/>
      <c r="U25" s="3408"/>
    </row>
    <row r="26" spans="1:21" ht="28.5">
      <c r="A26" s="3362"/>
      <c r="B26" s="3363" t="s">
        <v>457</v>
      </c>
      <c r="C26" s="3358" t="s">
        <v>458</v>
      </c>
      <c r="D26" s="3284"/>
      <c r="E26" s="3284"/>
      <c r="F26" s="3364"/>
      <c r="G26" s="3283"/>
      <c r="H26" s="3283"/>
      <c r="I26" s="3413"/>
      <c r="J26" s="3283"/>
      <c r="K26" s="3724"/>
      <c r="L26" s="3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9"/>
      <c r="N26" s="3408"/>
      <c r="O26" s="3409"/>
      <c r="P26" s="3408"/>
      <c r="Q26" s="3408"/>
      <c r="R26" s="3408"/>
      <c r="S26" s="3408"/>
      <c r="T26" s="3408"/>
      <c r="U26" s="3408"/>
    </row>
    <row r="27" spans="1:21">
      <c r="A27" s="3365" t="s">
        <v>459</v>
      </c>
      <c r="B27" s="3366" t="s">
        <v>460</v>
      </c>
      <c r="C27" s="3367"/>
      <c r="D27" s="3368" t="s">
        <v>460</v>
      </c>
      <c r="E27" s="3369"/>
      <c r="F27" s="3364"/>
      <c r="G27" s="3283"/>
      <c r="H27" s="3283"/>
      <c r="I27" s="3413"/>
      <c r="J27" s="3283"/>
      <c r="K27" s="3411"/>
      <c r="L27" s="3407"/>
      <c r="M27" s="3407"/>
      <c r="N27" s="3408"/>
      <c r="O27" s="3409"/>
      <c r="P27" s="3408"/>
      <c r="Q27" s="3408"/>
      <c r="R27" s="3408"/>
      <c r="S27" s="3408"/>
      <c r="T27" s="3408"/>
      <c r="U27" s="3408"/>
    </row>
    <row r="28" spans="1:21">
      <c r="A28" s="3370"/>
      <c r="B28" s="3366" t="s">
        <v>461</v>
      </c>
      <c r="C28" s="3371"/>
      <c r="D28" s="3372" t="s">
        <v>461</v>
      </c>
      <c r="E28" s="3373"/>
      <c r="F28" s="3364"/>
      <c r="G28" s="3283"/>
      <c r="H28" s="3283"/>
      <c r="I28" s="3413"/>
      <c r="J28" s="3283"/>
      <c r="K28" s="3411"/>
      <c r="L28" s="3407"/>
      <c r="M28" s="3407"/>
      <c r="N28" s="3408"/>
      <c r="O28" s="3409"/>
      <c r="P28" s="3408"/>
      <c r="Q28" s="3408"/>
      <c r="R28" s="3408"/>
      <c r="S28" s="3408"/>
      <c r="T28" s="3408"/>
      <c r="U28" s="3408"/>
    </row>
    <row r="29" spans="1:21">
      <c r="A29" s="3370"/>
      <c r="B29" s="3366" t="s">
        <v>462</v>
      </c>
      <c r="C29" s="3371"/>
      <c r="D29" s="3372" t="s">
        <v>462</v>
      </c>
      <c r="E29" s="3373"/>
      <c r="F29" s="3364"/>
      <c r="G29" s="3283"/>
      <c r="H29" s="3283"/>
      <c r="I29" s="3413"/>
      <c r="J29" s="3283"/>
      <c r="K29" s="3411"/>
      <c r="L29" s="3407"/>
      <c r="M29" s="3407"/>
      <c r="N29" s="3408"/>
      <c r="O29" s="3409"/>
      <c r="P29" s="3408"/>
      <c r="Q29" s="3408"/>
      <c r="R29" s="3408"/>
      <c r="S29" s="3408"/>
      <c r="T29" s="3408"/>
      <c r="U29" s="3408"/>
    </row>
    <row r="30" spans="1:21">
      <c r="A30" s="3374"/>
      <c r="B30" s="3375" t="s">
        <v>463</v>
      </c>
      <c r="C30" s="3376"/>
      <c r="D30" s="3377" t="s">
        <v>463</v>
      </c>
      <c r="E30" s="3378"/>
      <c r="F30" s="3379"/>
      <c r="G30" s="3308"/>
      <c r="H30" s="3308"/>
      <c r="I30" s="3414"/>
      <c r="J30" s="3283"/>
      <c r="K30" s="3411"/>
      <c r="L30" s="3407"/>
      <c r="M30" s="3407"/>
      <c r="N30" s="3408"/>
      <c r="O30" s="3409"/>
      <c r="P30" s="3408"/>
      <c r="Q30" s="3408"/>
      <c r="R30" s="3408"/>
      <c r="S30" s="3408"/>
      <c r="T30" s="3408"/>
      <c r="U30" s="3408"/>
    </row>
    <row r="31" spans="1:21">
      <c r="A31" s="3727" t="s">
        <v>464</v>
      </c>
      <c r="B31" s="3343" t="s">
        <v>465</v>
      </c>
      <c r="C31" s="3733"/>
      <c r="D31" s="3734"/>
      <c r="E31" s="3283"/>
      <c r="F31" s="3283"/>
      <c r="G31" s="3283"/>
      <c r="H31" s="3283"/>
      <c r="I31" s="3413"/>
      <c r="J31" s="3283"/>
      <c r="K31" s="3420"/>
      <c r="L31" s="3408"/>
      <c r="M31" s="3408"/>
      <c r="N31" s="3408"/>
      <c r="O31" s="3408"/>
      <c r="P31" s="3408"/>
      <c r="Q31" s="3408"/>
      <c r="R31" s="3408"/>
      <c r="S31" s="3408"/>
      <c r="T31" s="3408"/>
      <c r="U31" s="3408"/>
    </row>
    <row r="32" spans="1:21">
      <c r="A32" s="3727"/>
      <c r="B32" s="3285" t="s">
        <v>466</v>
      </c>
      <c r="C32" s="3310"/>
      <c r="D32" s="3380"/>
      <c r="E32" s="3283"/>
      <c r="F32" s="3283"/>
      <c r="G32" s="3283"/>
      <c r="H32" s="3283"/>
      <c r="I32" s="3413"/>
      <c r="J32" s="3283"/>
      <c r="K32" s="3420"/>
      <c r="L32" s="3408"/>
      <c r="M32" s="3408"/>
      <c r="N32" s="3408"/>
      <c r="O32" s="3408"/>
      <c r="P32" s="3408"/>
      <c r="Q32" s="3408"/>
      <c r="R32" s="3408"/>
      <c r="S32" s="3408"/>
      <c r="T32" s="3408"/>
      <c r="U32" s="3408"/>
    </row>
    <row r="33" spans="1:28">
      <c r="A33" s="3727"/>
      <c r="B33" s="3285" t="s">
        <v>467</v>
      </c>
      <c r="C33" s="3381"/>
      <c r="D33" s="3382"/>
      <c r="E33" s="3283"/>
      <c r="F33" s="3283"/>
      <c r="G33" s="3283"/>
      <c r="H33" s="3283"/>
      <c r="I33" s="3413"/>
      <c r="J33" s="3283"/>
      <c r="K33" s="3420"/>
      <c r="L33" s="3408"/>
      <c r="M33" s="3408"/>
      <c r="N33" s="3408"/>
      <c r="O33" s="3408"/>
      <c r="P33" s="3408"/>
      <c r="Q33" s="3408"/>
      <c r="R33" s="3408"/>
      <c r="S33" s="3408"/>
      <c r="T33" s="3408"/>
      <c r="U33" s="3408"/>
    </row>
    <row r="34" spans="1:28">
      <c r="A34" s="3728"/>
      <c r="B34" s="3285" t="s">
        <v>468</v>
      </c>
      <c r="C34" s="3735"/>
      <c r="D34" s="3736"/>
      <c r="E34" s="3283"/>
      <c r="F34" s="3283"/>
      <c r="G34" s="3283"/>
      <c r="H34" s="3283"/>
      <c r="I34" s="3413"/>
      <c r="J34" s="3283"/>
      <c r="K34" s="3420"/>
      <c r="L34" s="3408"/>
      <c r="M34" s="3408"/>
      <c r="N34" s="3408"/>
      <c r="O34" s="3408"/>
      <c r="P34" s="3408"/>
      <c r="Q34" s="3408"/>
      <c r="R34" s="3408"/>
      <c r="S34" s="3408"/>
      <c r="T34" s="3408"/>
      <c r="U34" s="3408"/>
    </row>
    <row r="35" spans="1:28">
      <c r="A35" s="3729" t="s">
        <v>469</v>
      </c>
      <c r="B35" s="3332"/>
      <c r="C35" s="3383" t="str">
        <f>IF(B35="场地平整","——","具体情况：")</f>
        <v>具体情况：</v>
      </c>
      <c r="D35" s="3737"/>
      <c r="E35" s="3738"/>
      <c r="F35" s="3738"/>
      <c r="G35" s="3738"/>
      <c r="H35" s="3738"/>
      <c r="I35" s="3739"/>
      <c r="J35" s="3283"/>
      <c r="K35" s="3421"/>
      <c r="L35" s="3407"/>
      <c r="M35" s="3407"/>
      <c r="N35" s="3408"/>
      <c r="O35" s="3409"/>
      <c r="P35" s="3408"/>
      <c r="Q35" s="3408"/>
      <c r="R35" s="3408"/>
      <c r="S35" s="3408"/>
      <c r="T35" s="3408"/>
      <c r="U35" s="3408"/>
    </row>
    <row r="36" spans="1:28">
      <c r="A36" s="3727"/>
      <c r="B36" s="3740" t="s">
        <v>470</v>
      </c>
      <c r="C36" s="3741"/>
      <c r="D36" s="3384"/>
      <c r="E36" s="3742"/>
      <c r="F36" s="3742"/>
      <c r="G36" s="3323" t="str">
        <f>IF(B35="场地未平整","估价结果处理","")</f>
        <v/>
      </c>
      <c r="H36" s="3743"/>
      <c r="I36" s="3743"/>
      <c r="J36" s="3283"/>
      <c r="K36" s="3421"/>
      <c r="L36" s="3407"/>
      <c r="M36" s="3407"/>
      <c r="N36" s="3408"/>
      <c r="O36" s="3409"/>
      <c r="P36" s="3408"/>
      <c r="Q36" s="3408"/>
      <c r="R36" s="3408"/>
      <c r="S36" s="3408"/>
      <c r="T36" s="3408"/>
      <c r="U36" s="3408"/>
    </row>
    <row r="37" spans="1:28" ht="28.5">
      <c r="A37" s="3727"/>
      <c r="B37" s="3730" t="s">
        <v>471</v>
      </c>
      <c r="C37" s="3386" t="s">
        <v>472</v>
      </c>
      <c r="D37" s="3387"/>
      <c r="E37" s="3388"/>
      <c r="F37" s="3283"/>
      <c r="G37" s="3283"/>
      <c r="H37" s="3283"/>
      <c r="I37" s="3413"/>
      <c r="J37" s="3283"/>
      <c r="K37" s="3421"/>
      <c r="L37" s="3408"/>
      <c r="M37" s="3408"/>
      <c r="N37" s="3408"/>
      <c r="O37" s="3408"/>
      <c r="P37" s="3408"/>
      <c r="Q37" s="3408"/>
      <c r="R37" s="3408"/>
      <c r="S37" s="3408"/>
      <c r="T37" s="3408"/>
      <c r="U37" s="3408"/>
    </row>
    <row r="38" spans="1:28">
      <c r="A38" s="3727"/>
      <c r="B38" s="3731"/>
      <c r="C38" s="3298" t="s">
        <v>473</v>
      </c>
      <c r="D38" s="3389">
        <f>ROUNDDOWN(MIN(('数据-取费表'!$B$2-D37)/365,D34),1)</f>
        <v>124</v>
      </c>
      <c r="E38" s="3390" t="s">
        <v>474</v>
      </c>
      <c r="F38" s="3283"/>
      <c r="G38" s="3283"/>
      <c r="H38" s="3283"/>
      <c r="I38" s="3413"/>
      <c r="J38" s="3283"/>
      <c r="K38" s="3421"/>
      <c r="L38" s="3408"/>
      <c r="M38" s="3408"/>
      <c r="N38" s="3408"/>
      <c r="O38" s="3408"/>
      <c r="P38" s="3408"/>
      <c r="Q38" s="3408"/>
      <c r="R38" s="3408"/>
      <c r="S38" s="3408"/>
      <c r="T38" s="3408"/>
      <c r="U38" s="3408"/>
    </row>
    <row r="39" spans="1:28">
      <c r="A39" s="3728"/>
      <c r="B39" s="3732"/>
      <c r="C39" s="3391" t="str">
        <f>IF(D38&lt;1,"不存在土地闲置",IF(B35="宗地内已开工建设","已开工，不存在土地闲置","估价对象已涉嫌土地闲置"))</f>
        <v>估价对象已涉嫌土地闲置</v>
      </c>
      <c r="D39" s="3327"/>
      <c r="E39" s="3392"/>
      <c r="F39" s="3283"/>
      <c r="G39" s="3283"/>
      <c r="H39" s="3283"/>
      <c r="I39" s="3413"/>
      <c r="J39" s="3283"/>
      <c r="K39" s="3411"/>
      <c r="L39" s="3407"/>
      <c r="M39" s="3407"/>
      <c r="N39" s="3408"/>
      <c r="O39" s="3409"/>
      <c r="P39" s="3408"/>
      <c r="Q39" s="3408"/>
      <c r="R39" s="3408"/>
      <c r="S39" s="3408"/>
      <c r="T39" s="3408"/>
      <c r="U39" s="3408"/>
    </row>
    <row r="40" spans="1:28">
      <c r="A40" s="3323" t="s">
        <v>475</v>
      </c>
      <c r="B40" s="3393"/>
      <c r="C40" s="3393"/>
      <c r="D40" s="3393"/>
      <c r="E40" s="3393"/>
      <c r="F40" s="3393"/>
      <c r="G40" s="3393"/>
      <c r="H40" s="3393"/>
      <c r="I40" s="3413"/>
      <c r="J40" s="3283"/>
      <c r="K40" s="3405">
        <f>COUNTIF(B40:H40,"——")</f>
        <v>0</v>
      </c>
      <c r="L40" s="3322" t="s">
        <v>476</v>
      </c>
      <c r="M40" s="3404" t="s">
        <v>477</v>
      </c>
      <c r="N40" s="3404" t="s">
        <v>286</v>
      </c>
      <c r="O40" s="3404" t="s">
        <v>278</v>
      </c>
      <c r="P40" s="3404" t="s">
        <v>268</v>
      </c>
      <c r="Q40" s="3404" t="s">
        <v>257</v>
      </c>
      <c r="R40" s="3404" t="s">
        <v>245</v>
      </c>
      <c r="S40" s="3725" t="s">
        <v>379</v>
      </c>
      <c r="T40" s="3322" t="str">
        <f>NUMBERSTRING(7-K40,1)&amp;"通"</f>
        <v>七通</v>
      </c>
      <c r="U40" s="3408"/>
    </row>
    <row r="41" spans="1:28">
      <c r="A41" s="3295"/>
      <c r="B41" s="3726" t="s">
        <v>425</v>
      </c>
      <c r="C41" s="3726"/>
      <c r="D41" s="3726"/>
      <c r="E41" s="3726"/>
      <c r="F41" s="3394">
        <f>C10</f>
        <v>0</v>
      </c>
      <c r="G41" s="3283"/>
      <c r="H41" s="3283"/>
      <c r="I41" s="3413"/>
      <c r="J41" s="3283"/>
      <c r="K41" s="3322"/>
      <c r="L41" s="3404">
        <f>B40</f>
        <v>0</v>
      </c>
      <c r="M41" s="3325"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725"/>
      <c r="T41" s="3325" t="str">
        <f>IF(T40="一通",L41,IF(T40="二通",M41,IF(T40="三通",N41,IF(T40="四通",O41,IF(T40="五通",P41,IF(T40="六通",Q41,R41))))))</f>
        <v>、、、、、、</v>
      </c>
      <c r="U41" s="3408"/>
    </row>
    <row r="42" spans="1:28">
      <c r="A42" s="3395"/>
      <c r="B42" s="3329" t="s">
        <v>435</v>
      </c>
      <c r="C42" s="3329" t="s">
        <v>436</v>
      </c>
      <c r="D42" s="3329" t="s">
        <v>402</v>
      </c>
      <c r="E42" s="3329" t="s">
        <v>164</v>
      </c>
      <c r="F42" s="3329" t="s">
        <v>297</v>
      </c>
      <c r="G42" s="3283"/>
      <c r="H42" s="3283"/>
      <c r="I42" s="3413"/>
      <c r="J42" s="3283"/>
      <c r="K42" s="3411"/>
      <c r="L42" s="3407"/>
      <c r="M42" s="3407"/>
      <c r="N42" s="3408"/>
      <c r="O42" s="3409"/>
      <c r="P42" s="3408"/>
      <c r="Q42" s="3408"/>
      <c r="R42" s="3408"/>
      <c r="S42" s="3408"/>
      <c r="T42" s="3408"/>
      <c r="U42" s="3408"/>
    </row>
    <row r="43" spans="1:28">
      <c r="A43" s="3396" t="s">
        <v>215</v>
      </c>
      <c r="B43" s="3397" t="s">
        <v>309</v>
      </c>
      <c r="C43" s="3397" t="s">
        <v>309</v>
      </c>
      <c r="D43" s="3397" t="s">
        <v>309</v>
      </c>
      <c r="E43" s="3397"/>
      <c r="F43" s="3397"/>
      <c r="G43" s="3283"/>
      <c r="H43" s="3283"/>
      <c r="I43" s="3413"/>
      <c r="J43" s="3283"/>
      <c r="K43" s="3411"/>
      <c r="L43" s="3407"/>
      <c r="M43" s="3407"/>
      <c r="N43" s="3408"/>
      <c r="O43" s="3409"/>
      <c r="P43" s="3408"/>
      <c r="Q43" s="3408"/>
      <c r="R43" s="3408"/>
      <c r="S43" s="3408"/>
      <c r="T43" s="3408"/>
      <c r="U43" s="3408"/>
    </row>
    <row r="44" spans="1:28">
      <c r="A44" s="3396" t="s">
        <v>478</v>
      </c>
      <c r="B44" s="3397" t="s">
        <v>479</v>
      </c>
      <c r="C44" s="3397" t="s">
        <v>479</v>
      </c>
      <c r="D44" s="3397" t="s">
        <v>479</v>
      </c>
      <c r="E44" s="3384"/>
      <c r="F44" s="3384"/>
      <c r="G44" s="3283"/>
      <c r="H44" s="3283"/>
      <c r="I44" s="3413"/>
      <c r="J44" s="3283"/>
      <c r="K44" s="3411"/>
      <c r="L44" s="3407"/>
      <c r="M44" s="3407"/>
      <c r="N44" s="3408"/>
      <c r="O44" s="3409"/>
      <c r="P44" s="3408"/>
      <c r="Q44" s="3408"/>
      <c r="R44" s="3408"/>
      <c r="S44" s="3408"/>
      <c r="T44" s="3408"/>
      <c r="U44" s="3408"/>
    </row>
    <row r="45" spans="1:28" s="3273" customFormat="1" ht="20.25">
      <c r="A45" s="3398" t="s">
        <v>480</v>
      </c>
      <c r="B45" s="3399"/>
      <c r="C45" s="3399"/>
      <c r="D45" s="3399"/>
      <c r="E45" s="3399"/>
      <c r="F45" s="3399"/>
      <c r="G45" s="3400"/>
      <c r="H45" s="3400"/>
      <c r="I45" s="3423"/>
      <c r="J45" s="3424"/>
      <c r="K45" s="3425"/>
      <c r="L45" s="3426"/>
      <c r="M45" s="3426"/>
      <c r="N45" s="3400"/>
      <c r="O45" s="3423"/>
      <c r="P45" s="3400"/>
      <c r="Q45" s="3400"/>
      <c r="R45" s="3400"/>
      <c r="S45" s="3400"/>
      <c r="T45" s="3400"/>
      <c r="U45" s="3400"/>
      <c r="V45" s="3436"/>
      <c r="W45" s="3436"/>
      <c r="X45" s="3436"/>
      <c r="Y45" s="3436"/>
      <c r="Z45" s="3436"/>
      <c r="AA45" s="3436"/>
      <c r="AB45" s="3436"/>
    </row>
    <row r="46" spans="1:28">
      <c r="A46" s="3401"/>
      <c r="B46" s="3401"/>
      <c r="C46" s="3401"/>
      <c r="D46" s="3401"/>
      <c r="E46" s="3401"/>
      <c r="F46" s="3401"/>
      <c r="G46" s="3401"/>
      <c r="H46" s="3401"/>
      <c r="I46" s="3427"/>
      <c r="J46" s="3401"/>
      <c r="K46" s="3411"/>
      <c r="L46" s="3407"/>
      <c r="M46" s="3407"/>
      <c r="N46" s="3408"/>
      <c r="O46" s="3409"/>
      <c r="P46" s="3408"/>
      <c r="Q46" s="3408"/>
      <c r="R46" s="3408"/>
      <c r="S46" s="3408"/>
      <c r="T46" s="3408"/>
      <c r="U46" s="3408"/>
    </row>
    <row r="47" spans="1:28">
      <c r="A47" s="3402" t="s">
        <v>481</v>
      </c>
      <c r="B47" s="3403"/>
      <c r="C47" s="3392"/>
      <c r="D47" s="3401"/>
      <c r="E47" s="3401"/>
      <c r="F47" s="3401"/>
      <c r="G47" s="3401"/>
      <c r="H47" s="3401"/>
      <c r="I47" s="3428"/>
      <c r="J47" s="3401"/>
      <c r="K47" s="3411"/>
      <c r="L47" s="3407"/>
      <c r="M47" s="3407"/>
      <c r="N47" s="3408"/>
      <c r="O47" s="3409"/>
      <c r="P47" s="3408"/>
      <c r="Q47" s="3408"/>
      <c r="R47" s="3408"/>
      <c r="S47" s="3408"/>
      <c r="T47" s="3408"/>
      <c r="U47" s="3408"/>
    </row>
    <row r="48" spans="1:28" ht="28.5">
      <c r="A48" s="3322" t="s">
        <v>482</v>
      </c>
      <c r="B48" s="3330" t="s">
        <v>483</v>
      </c>
      <c r="C48" s="3330" t="s">
        <v>484</v>
      </c>
      <c r="D48" s="3330" t="s">
        <v>485</v>
      </c>
      <c r="E48" s="3330" t="s">
        <v>486</v>
      </c>
      <c r="F48" s="3330" t="s">
        <v>487</v>
      </c>
      <c r="G48" s="3330" t="s">
        <v>488</v>
      </c>
      <c r="H48" s="3330" t="s">
        <v>489</v>
      </c>
      <c r="I48" s="3330" t="s">
        <v>490</v>
      </c>
      <c r="J48" s="3429" t="s">
        <v>491</v>
      </c>
      <c r="K48" s="3430" t="s">
        <v>492</v>
      </c>
      <c r="L48" s="3430" t="s">
        <v>493</v>
      </c>
      <c r="M48" s="3430" t="s">
        <v>494</v>
      </c>
      <c r="N48" s="3431" t="s">
        <v>495</v>
      </c>
      <c r="O48" s="3431" t="s">
        <v>496</v>
      </c>
      <c r="P48" s="3431" t="s">
        <v>497</v>
      </c>
      <c r="Q48" s="3437" t="s">
        <v>498</v>
      </c>
      <c r="R48" s="3437" t="s">
        <v>499</v>
      </c>
      <c r="S48" s="3408"/>
      <c r="T48" s="3408"/>
      <c r="U48" s="3408"/>
    </row>
    <row r="49" spans="1:21">
      <c r="A49" s="3404"/>
      <c r="B49" s="3405"/>
      <c r="C49" s="3405"/>
      <c r="D49" s="3405"/>
      <c r="E49" s="3405"/>
      <c r="F49" s="3405"/>
      <c r="G49" s="3405"/>
      <c r="H49" s="3405"/>
      <c r="I49" s="3405"/>
      <c r="J49" s="3432"/>
      <c r="K49" s="3433"/>
      <c r="L49" s="3433"/>
      <c r="M49" s="3434"/>
      <c r="N49" s="3434"/>
      <c r="O49" s="3434"/>
      <c r="P49" s="3434"/>
      <c r="Q49" s="3434"/>
      <c r="R49" s="3434"/>
      <c r="S49" s="3408"/>
      <c r="T49" s="3408"/>
      <c r="U49" s="3408"/>
    </row>
    <row r="50" spans="1:21">
      <c r="A50" s="3404"/>
      <c r="B50" s="3404"/>
      <c r="C50" s="3405"/>
      <c r="D50" s="3405"/>
      <c r="E50" s="3405"/>
      <c r="F50" s="3405"/>
      <c r="G50" s="3405"/>
      <c r="H50" s="3405"/>
      <c r="I50" s="3405"/>
      <c r="J50" s="3432"/>
      <c r="K50" s="3433"/>
      <c r="L50" s="3433"/>
      <c r="M50" s="3434"/>
      <c r="N50" s="3434"/>
      <c r="O50" s="3434"/>
      <c r="P50" s="3434"/>
      <c r="Q50" s="3434"/>
      <c r="R50" s="3434"/>
      <c r="S50" s="3408"/>
      <c r="T50" s="3408"/>
      <c r="U50" s="3408"/>
    </row>
    <row r="51" spans="1:21">
      <c r="A51" s="3404"/>
      <c r="B51" s="3404"/>
      <c r="C51" s="3405"/>
      <c r="D51" s="3405"/>
      <c r="E51" s="3405"/>
      <c r="F51" s="3405"/>
      <c r="G51" s="3405"/>
      <c r="H51" s="3405"/>
      <c r="I51" s="3405"/>
      <c r="J51" s="3432"/>
      <c r="K51" s="3433"/>
      <c r="L51" s="3433"/>
      <c r="M51" s="3434"/>
      <c r="N51" s="3434"/>
      <c r="O51" s="3434"/>
      <c r="P51" s="3434"/>
      <c r="Q51" s="3434"/>
      <c r="R51" s="3434"/>
      <c r="S51" s="3408"/>
      <c r="T51" s="3408"/>
      <c r="U51" s="3408"/>
    </row>
    <row r="52" spans="1:21">
      <c r="A52" s="3404"/>
      <c r="B52" s="3404"/>
      <c r="C52" s="3405"/>
      <c r="D52" s="3405"/>
      <c r="E52" s="3405"/>
      <c r="F52" s="3405"/>
      <c r="G52" s="3405"/>
      <c r="H52" s="3405"/>
      <c r="I52" s="3405"/>
      <c r="J52" s="3432"/>
      <c r="K52" s="3433"/>
      <c r="L52" s="3433"/>
      <c r="M52" s="3434"/>
      <c r="N52" s="3434"/>
      <c r="O52" s="3434"/>
      <c r="P52" s="3434"/>
      <c r="Q52" s="3434"/>
      <c r="R52" s="3434"/>
      <c r="S52" s="3408"/>
      <c r="T52" s="3408"/>
      <c r="U52" s="3408"/>
    </row>
    <row r="53" spans="1:21">
      <c r="A53" s="3404"/>
      <c r="B53" s="3404"/>
      <c r="C53" s="3405"/>
      <c r="D53" s="3405"/>
      <c r="E53" s="3405"/>
      <c r="F53" s="3405"/>
      <c r="G53" s="3405"/>
      <c r="H53" s="3405"/>
      <c r="I53" s="3405"/>
      <c r="J53" s="3432"/>
      <c r="K53" s="3433"/>
      <c r="L53" s="3433"/>
      <c r="M53" s="3434"/>
      <c r="N53" s="3434"/>
      <c r="O53" s="3434"/>
      <c r="P53" s="3434"/>
      <c r="Q53" s="3434"/>
      <c r="R53" s="3434"/>
      <c r="S53" s="3408"/>
      <c r="T53" s="3408"/>
      <c r="U53" s="3408"/>
    </row>
    <row r="54" spans="1:21">
      <c r="A54" s="3404"/>
      <c r="B54" s="3404"/>
      <c r="C54" s="3404"/>
      <c r="D54" s="3404"/>
      <c r="E54" s="3404"/>
      <c r="F54" s="3405"/>
      <c r="G54" s="3404"/>
      <c r="H54" s="3404"/>
      <c r="I54" s="3404"/>
      <c r="J54" s="3435"/>
      <c r="K54" s="3433"/>
      <c r="L54" s="3433"/>
      <c r="M54" s="3433"/>
      <c r="N54" s="3385"/>
      <c r="O54" s="3385"/>
      <c r="P54" s="3385"/>
      <c r="Q54" s="3385"/>
      <c r="R54" s="3385"/>
      <c r="S54" s="3408"/>
      <c r="T54" s="3408"/>
      <c r="U54" s="3408"/>
    </row>
    <row r="55" spans="1:21">
      <c r="A55" s="3404"/>
      <c r="B55" s="3404"/>
      <c r="C55" s="3404"/>
      <c r="D55" s="3404"/>
      <c r="E55" s="3404"/>
      <c r="F55" s="3405"/>
      <c r="G55" s="3404"/>
      <c r="H55" s="3404"/>
      <c r="I55" s="3404"/>
      <c r="J55" s="3435"/>
      <c r="K55" s="3433"/>
      <c r="L55" s="3433"/>
      <c r="M55" s="3433"/>
      <c r="N55" s="3385"/>
      <c r="O55" s="3385"/>
      <c r="P55" s="3385"/>
      <c r="Q55" s="3385"/>
      <c r="R55" s="3385"/>
      <c r="S55" s="3408"/>
      <c r="T55" s="3408"/>
      <c r="U55" s="3408"/>
    </row>
    <row r="56" spans="1:21">
      <c r="A56" s="3404"/>
      <c r="B56" s="3404"/>
      <c r="C56" s="3404"/>
      <c r="D56" s="3404"/>
      <c r="E56" s="3404"/>
      <c r="F56" s="3405"/>
      <c r="G56" s="3404"/>
      <c r="H56" s="3404"/>
      <c r="I56" s="3404"/>
      <c r="J56" s="3435"/>
      <c r="K56" s="3433"/>
      <c r="L56" s="3433"/>
      <c r="M56" s="3433"/>
      <c r="N56" s="3385"/>
      <c r="O56" s="3385"/>
      <c r="P56" s="3385"/>
      <c r="Q56" s="3385"/>
      <c r="R56" s="3385"/>
      <c r="S56" s="3408"/>
      <c r="T56" s="3408"/>
      <c r="U56" s="3408"/>
    </row>
    <row r="57" spans="1:21">
      <c r="A57" s="3404"/>
      <c r="B57" s="3404"/>
      <c r="C57" s="3404"/>
      <c r="D57" s="3404"/>
      <c r="E57" s="3404"/>
      <c r="F57" s="3405"/>
      <c r="G57" s="3404"/>
      <c r="H57" s="3404"/>
      <c r="I57" s="3404"/>
      <c r="J57" s="3435"/>
      <c r="K57" s="3433"/>
      <c r="L57" s="3433"/>
      <c r="M57" s="3433"/>
      <c r="N57" s="3385"/>
      <c r="O57" s="3385"/>
      <c r="P57" s="3385"/>
      <c r="Q57" s="3385"/>
      <c r="R57" s="3385"/>
      <c r="S57" s="3408"/>
      <c r="T57" s="3408"/>
      <c r="U57" s="3408"/>
    </row>
    <row r="58" spans="1:21">
      <c r="A58" s="3404"/>
      <c r="B58" s="3404"/>
      <c r="C58" s="3404"/>
      <c r="D58" s="3404"/>
      <c r="E58" s="3404"/>
      <c r="F58" s="3405"/>
      <c r="G58" s="3404"/>
      <c r="H58" s="3404"/>
      <c r="I58" s="3404"/>
      <c r="J58" s="3435"/>
      <c r="K58" s="3433"/>
      <c r="L58" s="3433"/>
      <c r="M58" s="3433"/>
      <c r="N58" s="3385"/>
      <c r="O58" s="3385"/>
      <c r="P58" s="3385"/>
      <c r="Q58" s="3385"/>
      <c r="R58" s="3385"/>
      <c r="S58" s="3408"/>
      <c r="T58" s="3408"/>
      <c r="U58" s="3408"/>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D13" activePane="bottomRight" state="frozen"/>
      <selection pane="topRight"/>
      <selection pane="bottomLeft"/>
      <selection pane="bottomRight" activeCell="AJ13" sqref="AJ13"/>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6" width="10" style="3161" customWidth="1"/>
    <col min="7" max="8" width="10" style="3163" customWidth="1"/>
    <col min="9" max="9" width="10.625" style="3163" customWidth="1"/>
    <col min="10" max="10" width="9.5" style="3163" customWidth="1"/>
    <col min="11" max="11" width="11" style="3163" customWidth="1"/>
    <col min="12" max="14" width="9.5" style="3163" customWidth="1"/>
    <col min="15" max="15" width="9.875" style="3163" customWidth="1"/>
    <col min="16" max="16" width="9.75" style="3163" customWidth="1"/>
    <col min="17" max="17" width="9.375" style="3163" hidden="1" customWidth="1"/>
    <col min="18" max="18" width="9.25" style="3163" hidden="1" customWidth="1"/>
    <col min="19" max="19" width="10.875" style="3163" hidden="1" customWidth="1"/>
    <col min="20" max="21" width="10.75" style="3163" hidden="1" customWidth="1"/>
    <col min="22" max="22" width="10.875" style="3163" hidden="1" customWidth="1"/>
    <col min="23" max="27" width="10.75" style="3163" hidden="1" customWidth="1"/>
    <col min="28" max="28" width="10.875" style="3163" hidden="1" customWidth="1"/>
    <col min="29" max="29" width="11" style="3163" customWidth="1"/>
    <col min="30" max="30" width="10" style="3163" customWidth="1"/>
    <col min="31" max="31" width="9.75" style="3163" customWidth="1"/>
    <col min="32"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spans="1:72" ht="20.25">
      <c r="A1" s="3164" t="s">
        <v>500</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9" t="s">
        <v>501</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pans="1:72" s="192" customFormat="1" ht="24">
      <c r="A2" s="130" t="s">
        <v>502</v>
      </c>
      <c r="B2" s="130" t="s">
        <v>503</v>
      </c>
      <c r="C2" s="130" t="s">
        <v>504</v>
      </c>
      <c r="D2" s="3166"/>
      <c r="E2" s="2657"/>
      <c r="F2" s="2650"/>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46" t="s">
        <v>505</v>
      </c>
      <c r="AZ2" s="3247" t="s">
        <v>506</v>
      </c>
      <c r="BA2" s="3248" t="s">
        <v>507</v>
      </c>
      <c r="BB2" s="3166"/>
      <c r="BC2" s="3166"/>
      <c r="BD2" s="3166"/>
      <c r="BE2" s="3166"/>
      <c r="BF2" s="3166"/>
      <c r="BG2" s="3166"/>
      <c r="BH2" s="3166"/>
      <c r="BI2" s="3166"/>
      <c r="BJ2" s="3166"/>
      <c r="BK2" s="3166"/>
      <c r="BL2" s="3166"/>
      <c r="BM2" s="3166"/>
      <c r="BN2" s="3166"/>
      <c r="BO2" s="3166"/>
      <c r="BP2" s="3166"/>
      <c r="BQ2" s="3166"/>
      <c r="BR2" s="3166"/>
      <c r="BS2" s="3166"/>
      <c r="BT2" s="3166"/>
    </row>
    <row r="3" spans="1:72" s="192" customFormat="1" ht="12.75">
      <c r="A3" s="3167">
        <v>55570.2</v>
      </c>
      <c r="B3" s="3168">
        <f>IF(C3="否",G5-AT5,G5)</f>
        <v>187307.45999999996</v>
      </c>
      <c r="C3" s="3169" t="s">
        <v>541</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49"/>
      <c r="AZ3" s="3250"/>
      <c r="BA3" s="3251"/>
      <c r="BB3" s="3166"/>
      <c r="BC3" s="3166"/>
      <c r="BD3" s="3166"/>
      <c r="BE3" s="3166"/>
      <c r="BF3" s="3166"/>
      <c r="BG3" s="3166"/>
      <c r="BH3" s="3166"/>
      <c r="BI3" s="3166"/>
      <c r="BJ3" s="3166"/>
      <c r="BK3" s="3166"/>
      <c r="BL3" s="3166"/>
      <c r="BM3" s="3166"/>
      <c r="BN3" s="3166"/>
      <c r="BO3" s="3166"/>
      <c r="BP3" s="3166"/>
      <c r="BQ3" s="3166"/>
      <c r="BR3" s="3166"/>
      <c r="BS3" s="3166"/>
      <c r="BT3" s="3166"/>
    </row>
    <row r="4" spans="1:72" s="3159" customFormat="1" ht="12.75">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52"/>
      <c r="BB4" s="3166"/>
      <c r="BC4" s="3166"/>
      <c r="BD4" s="3166"/>
      <c r="BE4" s="3166"/>
      <c r="BF4" s="3166"/>
      <c r="BG4" s="3166"/>
      <c r="BH4" s="3166"/>
      <c r="BI4" s="3166"/>
      <c r="BJ4" s="3166"/>
      <c r="BK4" s="3166"/>
      <c r="BL4" s="3166"/>
      <c r="BM4" s="3166"/>
      <c r="BN4" s="3166"/>
      <c r="BO4" s="3166"/>
      <c r="BP4" s="3166"/>
      <c r="BQ4" s="3166"/>
      <c r="BR4" s="3166"/>
      <c r="BS4" s="3166"/>
      <c r="BT4" s="3166"/>
    </row>
    <row r="5" spans="1:72" s="192" customFormat="1" ht="12.75">
      <c r="A5" s="778" t="s">
        <v>508</v>
      </c>
      <c r="B5" s="887"/>
      <c r="C5" s="887"/>
      <c r="D5" s="2569"/>
      <c r="E5" s="3173" t="s">
        <v>138</v>
      </c>
      <c r="F5" s="3173">
        <f>SUM(F13:F572)</f>
        <v>0</v>
      </c>
      <c r="G5" s="3173">
        <f>SUM(G13:G572)</f>
        <v>187307.45999999996</v>
      </c>
      <c r="H5" s="3173">
        <f t="shared" ref="H5:AT5" si="0">SUM(H13:H641)</f>
        <v>165691.82999999999</v>
      </c>
      <c r="I5" s="3173">
        <f t="shared" si="0"/>
        <v>119188.85</v>
      </c>
      <c r="J5" s="3173">
        <f t="shared" si="0"/>
        <v>0</v>
      </c>
      <c r="K5" s="3173">
        <f t="shared" si="0"/>
        <v>46502.98</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8135.2999999999993</v>
      </c>
      <c r="AD5" s="3173">
        <f t="shared" si="0"/>
        <v>2745.96</v>
      </c>
      <c r="AE5" s="3173">
        <f t="shared" si="0"/>
        <v>0</v>
      </c>
      <c r="AF5" s="3173">
        <f t="shared" si="0"/>
        <v>1415.24</v>
      </c>
      <c r="AG5" s="3173">
        <f t="shared" si="0"/>
        <v>0</v>
      </c>
      <c r="AH5" s="3173">
        <f t="shared" si="0"/>
        <v>100.4</v>
      </c>
      <c r="AI5" s="3173">
        <f t="shared" si="0"/>
        <v>0</v>
      </c>
      <c r="AJ5" s="3173">
        <f t="shared" si="0"/>
        <v>58.24</v>
      </c>
      <c r="AK5" s="3173">
        <f t="shared" si="0"/>
        <v>0</v>
      </c>
      <c r="AL5" s="3173">
        <f t="shared" si="0"/>
        <v>91.63</v>
      </c>
      <c r="AM5" s="3173">
        <f t="shared" si="0"/>
        <v>0</v>
      </c>
      <c r="AN5" s="3173">
        <f t="shared" si="0"/>
        <v>3723.83</v>
      </c>
      <c r="AO5" s="3173">
        <f t="shared" si="0"/>
        <v>0</v>
      </c>
      <c r="AP5" s="3173">
        <f t="shared" si="0"/>
        <v>0</v>
      </c>
      <c r="AQ5" s="3173">
        <f t="shared" si="0"/>
        <v>0</v>
      </c>
      <c r="AR5" s="3173">
        <f t="shared" si="0"/>
        <v>0</v>
      </c>
      <c r="AS5" s="3173">
        <f t="shared" si="0"/>
        <v>0</v>
      </c>
      <c r="AT5" s="3173">
        <f t="shared" si="0"/>
        <v>13480.33</v>
      </c>
      <c r="AU5" s="2457"/>
      <c r="AV5" s="778" t="s">
        <v>508</v>
      </c>
      <c r="AW5" s="887"/>
      <c r="AX5" s="887"/>
      <c r="AY5" s="3253" t="s">
        <v>138</v>
      </c>
      <c r="AZ5" s="3254">
        <f t="shared" ref="AZ5:BT5" si="1">SUM(AZ13:AZ641)</f>
        <v>173827.12999999998</v>
      </c>
      <c r="BA5" s="3254">
        <f t="shared" si="1"/>
        <v>165691.82999999999</v>
      </c>
      <c r="BB5" s="3254">
        <f t="shared" si="1"/>
        <v>119188.85</v>
      </c>
      <c r="BC5" s="3254">
        <f t="shared" si="1"/>
        <v>46502.98</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8135.2999999999993</v>
      </c>
      <c r="BM5" s="3254">
        <f t="shared" si="1"/>
        <v>2745.96</v>
      </c>
      <c r="BN5" s="3254">
        <f t="shared" si="1"/>
        <v>1415.24</v>
      </c>
      <c r="BO5" s="3254">
        <f t="shared" si="1"/>
        <v>100.4</v>
      </c>
      <c r="BP5" s="3254">
        <f t="shared" si="1"/>
        <v>58.24</v>
      </c>
      <c r="BQ5" s="3254">
        <f t="shared" si="1"/>
        <v>91.63</v>
      </c>
      <c r="BR5" s="3254">
        <f t="shared" si="1"/>
        <v>3723.83</v>
      </c>
      <c r="BS5" s="3254">
        <f t="shared" si="1"/>
        <v>0</v>
      </c>
      <c r="BT5" s="3263">
        <f t="shared" si="1"/>
        <v>0</v>
      </c>
    </row>
    <row r="6" spans="1:72" s="3160" customFormat="1" ht="12.75">
      <c r="A6" s="778" t="s">
        <v>509</v>
      </c>
      <c r="B6" s="3174"/>
      <c r="C6" s="3174"/>
      <c r="D6" s="3175"/>
      <c r="E6" s="3173">
        <f>H6+AC6+AT6</f>
        <v>55570.2</v>
      </c>
      <c r="F6" s="3173" t="s">
        <v>138</v>
      </c>
      <c r="G6" s="3173" t="s">
        <v>138</v>
      </c>
      <c r="H6" s="3176">
        <f>SUMIF(I$12:AB$12,"总值",I6:AB6)</f>
        <v>49157.299999999996</v>
      </c>
      <c r="I6" s="3173">
        <f t="shared" ref="I6:AB6" si="2">ROUND($A$3*I5/$B$3,2)</f>
        <v>35360.839999999997</v>
      </c>
      <c r="J6" s="3173">
        <f t="shared" si="2"/>
        <v>0</v>
      </c>
      <c r="K6" s="3173">
        <f t="shared" si="2"/>
        <v>13796.46</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2413.5699999999997</v>
      </c>
      <c r="AD6" s="3173">
        <f t="shared" ref="AD6:AS6" si="3">ROUND($A$3*AD5/$B$3,2)</f>
        <v>814.67</v>
      </c>
      <c r="AE6" s="3173">
        <f t="shared" si="3"/>
        <v>0</v>
      </c>
      <c r="AF6" s="3173">
        <f t="shared" si="3"/>
        <v>419.87</v>
      </c>
      <c r="AG6" s="3173">
        <f t="shared" si="3"/>
        <v>0</v>
      </c>
      <c r="AH6" s="3173">
        <f t="shared" si="3"/>
        <v>29.79</v>
      </c>
      <c r="AI6" s="3173">
        <f t="shared" si="3"/>
        <v>0</v>
      </c>
      <c r="AJ6" s="3173">
        <f t="shared" si="3"/>
        <v>17.28</v>
      </c>
      <c r="AK6" s="3173">
        <f t="shared" si="3"/>
        <v>0</v>
      </c>
      <c r="AL6" s="3173">
        <f t="shared" si="3"/>
        <v>27.18</v>
      </c>
      <c r="AM6" s="3173">
        <f t="shared" si="3"/>
        <v>0</v>
      </c>
      <c r="AN6" s="3173">
        <f t="shared" si="3"/>
        <v>1104.78</v>
      </c>
      <c r="AO6" s="3173">
        <f t="shared" si="3"/>
        <v>0</v>
      </c>
      <c r="AP6" s="3173">
        <f t="shared" si="3"/>
        <v>0</v>
      </c>
      <c r="AQ6" s="3173">
        <f t="shared" si="3"/>
        <v>0</v>
      </c>
      <c r="AR6" s="3173">
        <f t="shared" si="3"/>
        <v>0</v>
      </c>
      <c r="AS6" s="3173">
        <f t="shared" si="3"/>
        <v>0</v>
      </c>
      <c r="AT6" s="3176">
        <f>IF(C3="是",ROUND($A$3*AT5/$B$3,2),0)</f>
        <v>3999.33</v>
      </c>
      <c r="AU6" s="3230"/>
      <c r="AV6" s="778" t="s">
        <v>509</v>
      </c>
      <c r="AW6" s="3174"/>
      <c r="AX6" s="3174"/>
      <c r="AY6" s="3255">
        <f>IF(AY3&gt;0,AY3,ROUND($A$3*AZ5/$B$3,2))</f>
        <v>51570.87</v>
      </c>
      <c r="AZ6" s="3173" t="s">
        <v>138</v>
      </c>
      <c r="BA6" s="3173">
        <f>ROUND($AY$6*BA5/$AZ$5,2)</f>
        <v>49157.3</v>
      </c>
      <c r="BB6" s="3173">
        <f>ROUND($AY$6*BB5/$AZ$5,2)</f>
        <v>35360.839999999997</v>
      </c>
      <c r="BC6" s="3173">
        <f t="shared" ref="BC6:BH6" si="4">ROUND($AY$6*BC5/$AZ$5,2)</f>
        <v>13796.46</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2413.5700000000002</v>
      </c>
      <c r="BM6" s="3173">
        <f t="shared" si="5"/>
        <v>814.67</v>
      </c>
      <c r="BN6" s="3173">
        <f t="shared" si="5"/>
        <v>419.87</v>
      </c>
      <c r="BO6" s="3173">
        <f t="shared" si="5"/>
        <v>29.79</v>
      </c>
      <c r="BP6" s="3173">
        <f t="shared" si="5"/>
        <v>17.28</v>
      </c>
      <c r="BQ6" s="3173">
        <f t="shared" si="5"/>
        <v>27.18</v>
      </c>
      <c r="BR6" s="3173">
        <f t="shared" si="5"/>
        <v>1104.78</v>
      </c>
      <c r="BS6" s="3173">
        <f t="shared" si="5"/>
        <v>0</v>
      </c>
      <c r="BT6" s="3264">
        <f t="shared" si="5"/>
        <v>0</v>
      </c>
    </row>
    <row r="7" spans="1:72" s="192" customFormat="1" ht="24.75">
      <c r="A7" s="3177" t="s">
        <v>510</v>
      </c>
      <c r="B7" s="3177" t="s">
        <v>511</v>
      </c>
      <c r="C7" s="3177" t="s">
        <v>512</v>
      </c>
      <c r="D7" s="3177" t="s">
        <v>513</v>
      </c>
      <c r="E7" s="3177" t="s">
        <v>509</v>
      </c>
      <c r="F7" s="3177" t="s">
        <v>514</v>
      </c>
      <c r="G7" s="3178" t="s">
        <v>515</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231"/>
      <c r="AU7" s="3179" t="s">
        <v>516</v>
      </c>
      <c r="AV7" s="2629" t="s">
        <v>510</v>
      </c>
      <c r="AW7" s="2650" t="s">
        <v>511</v>
      </c>
      <c r="AX7" s="2629" t="s">
        <v>512</v>
      </c>
      <c r="AY7" s="887" t="s">
        <v>517</v>
      </c>
      <c r="AZ7" s="3219"/>
      <c r="BA7" s="3179"/>
      <c r="BB7" s="3179"/>
      <c r="BC7" s="3179"/>
      <c r="BD7" s="3179"/>
      <c r="BE7" s="3179"/>
      <c r="BF7" s="3179"/>
      <c r="BG7" s="3179"/>
      <c r="BH7" s="3179"/>
      <c r="BI7" s="3179"/>
      <c r="BJ7" s="3179"/>
      <c r="BK7" s="3179"/>
      <c r="BL7" s="3179"/>
      <c r="BM7" s="3179"/>
      <c r="BN7" s="3179"/>
      <c r="BO7" s="3179"/>
      <c r="BP7" s="3179"/>
      <c r="BQ7" s="3179"/>
      <c r="BR7" s="3179"/>
      <c r="BS7" s="3179"/>
      <c r="BT7" s="3265"/>
    </row>
    <row r="8" spans="1:72" s="196" customFormat="1" ht="24">
      <c r="A8" s="3180"/>
      <c r="B8" s="3180"/>
      <c r="C8" s="3180"/>
      <c r="D8" s="3180"/>
      <c r="E8" s="3180"/>
      <c r="F8" s="3180"/>
      <c r="G8" s="3181" t="s">
        <v>518</v>
      </c>
      <c r="H8" s="3182" t="s">
        <v>519</v>
      </c>
      <c r="I8" s="3203"/>
      <c r="J8" s="129"/>
      <c r="K8" s="129"/>
      <c r="L8" s="129"/>
      <c r="M8" s="129"/>
      <c r="N8" s="129"/>
      <c r="O8" s="129"/>
      <c r="P8" s="129"/>
      <c r="Q8" s="129"/>
      <c r="R8" s="129"/>
      <c r="S8" s="129"/>
      <c r="T8" s="129"/>
      <c r="U8" s="129"/>
      <c r="V8" s="3215"/>
      <c r="W8" s="129"/>
      <c r="X8" s="129"/>
      <c r="Y8" s="129"/>
      <c r="Z8" s="129"/>
      <c r="AA8" s="3215"/>
      <c r="AB8" s="3217"/>
      <c r="AC8" s="1045" t="s">
        <v>520</v>
      </c>
      <c r="AD8" s="3218"/>
      <c r="AE8" s="3219"/>
      <c r="AF8" s="129"/>
      <c r="AG8" s="129"/>
      <c r="AH8" s="129"/>
      <c r="AI8" s="129"/>
      <c r="AJ8" s="129"/>
      <c r="AK8" s="129"/>
      <c r="AL8" s="129"/>
      <c r="AM8" s="129"/>
      <c r="AN8" s="129"/>
      <c r="AO8" s="129"/>
      <c r="AP8" s="129"/>
      <c r="AQ8" s="129"/>
      <c r="AR8" s="129"/>
      <c r="AS8" s="189"/>
      <c r="AT8" s="3232" t="s">
        <v>521</v>
      </c>
      <c r="AU8" s="3180" t="s">
        <v>522</v>
      </c>
      <c r="AV8" s="651"/>
      <c r="AW8" s="2657"/>
      <c r="AX8" s="651"/>
      <c r="AY8" s="2650" t="s">
        <v>509</v>
      </c>
      <c r="AZ8" s="128" t="s">
        <v>503</v>
      </c>
      <c r="BA8" s="129"/>
      <c r="BB8" s="129"/>
      <c r="BC8" s="129"/>
      <c r="BD8" s="129"/>
      <c r="BE8" s="129"/>
      <c r="BF8" s="129"/>
      <c r="BG8" s="129"/>
      <c r="BH8" s="129"/>
      <c r="BI8" s="129"/>
      <c r="BJ8" s="129"/>
      <c r="BK8" s="129"/>
      <c r="BL8" s="129"/>
      <c r="BM8" s="129"/>
      <c r="BN8" s="129"/>
      <c r="BO8" s="129"/>
      <c r="BP8" s="129"/>
      <c r="BQ8" s="129"/>
      <c r="BR8" s="129"/>
      <c r="BS8" s="129"/>
      <c r="BT8" s="701"/>
    </row>
    <row r="9" spans="1:72" s="196" customFormat="1" ht="12.75">
      <c r="A9" s="3180"/>
      <c r="B9" s="3180"/>
      <c r="C9" s="3180"/>
      <c r="D9" s="3180"/>
      <c r="E9" s="3180"/>
      <c r="F9" s="3180"/>
      <c r="G9" s="651"/>
      <c r="H9" s="3183" t="s">
        <v>523</v>
      </c>
      <c r="I9" s="3204" t="s">
        <v>524</v>
      </c>
      <c r="J9" s="1045"/>
      <c r="K9" s="3204" t="s">
        <v>525</v>
      </c>
      <c r="L9" s="1045"/>
      <c r="M9" s="3204"/>
      <c r="N9" s="1045"/>
      <c r="O9" s="3205"/>
      <c r="P9" s="1045"/>
      <c r="Q9" s="3205"/>
      <c r="R9" s="1045"/>
      <c r="S9" s="3205"/>
      <c r="T9" s="1045"/>
      <c r="U9" s="3205"/>
      <c r="V9" s="1045"/>
      <c r="W9" s="3205"/>
      <c r="X9" s="3216"/>
      <c r="Y9" s="3205"/>
      <c r="Z9" s="1045"/>
      <c r="AA9" s="3205"/>
      <c r="AB9" s="1045"/>
      <c r="AC9" s="3181" t="s">
        <v>523</v>
      </c>
      <c r="AD9" s="778" t="s">
        <v>526</v>
      </c>
      <c r="AE9" s="1370"/>
      <c r="AF9" s="778" t="s">
        <v>527</v>
      </c>
      <c r="AG9" s="1370"/>
      <c r="AH9" s="778" t="s">
        <v>526</v>
      </c>
      <c r="AI9" s="1370"/>
      <c r="AJ9" s="778" t="s">
        <v>527</v>
      </c>
      <c r="AK9" s="1370"/>
      <c r="AL9" s="778" t="s">
        <v>526</v>
      </c>
      <c r="AM9" s="1370"/>
      <c r="AN9" s="778" t="s">
        <v>527</v>
      </c>
      <c r="AO9" s="1370"/>
      <c r="AP9" s="3233" t="s">
        <v>526</v>
      </c>
      <c r="AQ9" s="3234"/>
      <c r="AR9" s="3233" t="s">
        <v>527</v>
      </c>
      <c r="AS9" s="3235"/>
      <c r="AT9" s="3180"/>
      <c r="AU9" s="3180" t="s">
        <v>528</v>
      </c>
      <c r="AV9" s="651"/>
      <c r="AW9" s="2657"/>
      <c r="AX9" s="651"/>
      <c r="AY9" s="2630"/>
      <c r="AZ9" s="2630" t="s">
        <v>518</v>
      </c>
      <c r="BA9" s="3256" t="s">
        <v>529</v>
      </c>
      <c r="BB9" s="3257"/>
      <c r="BC9" s="721"/>
      <c r="BD9" s="721"/>
      <c r="BE9" s="721"/>
      <c r="BF9" s="721"/>
      <c r="BG9" s="721"/>
      <c r="BH9" s="721"/>
      <c r="BI9" s="721"/>
      <c r="BJ9" s="721"/>
      <c r="BK9" s="3262"/>
      <c r="BL9" s="778" t="s">
        <v>530</v>
      </c>
      <c r="BM9" s="129"/>
      <c r="BN9" s="3203"/>
      <c r="BO9" s="129"/>
      <c r="BP9" s="129"/>
      <c r="BQ9" s="129"/>
      <c r="BR9" s="129"/>
      <c r="BS9" s="129"/>
      <c r="BT9" s="701"/>
    </row>
    <row r="10" spans="1:72" s="196" customFormat="1" ht="12.75">
      <c r="A10" s="3180"/>
      <c r="B10" s="3180"/>
      <c r="C10" s="3180"/>
      <c r="D10" s="3180"/>
      <c r="E10" s="3180"/>
      <c r="F10" s="3180"/>
      <c r="G10" s="651"/>
      <c r="H10" s="2630"/>
      <c r="I10" s="3204" t="s">
        <v>402</v>
      </c>
      <c r="J10" s="1045"/>
      <c r="K10" s="3206" t="s">
        <v>437</v>
      </c>
      <c r="L10" s="1045"/>
      <c r="M10" s="3206"/>
      <c r="N10" s="1045"/>
      <c r="O10" s="3207"/>
      <c r="P10" s="1045"/>
      <c r="Q10" s="3207"/>
      <c r="R10" s="1045"/>
      <c r="S10" s="3207"/>
      <c r="T10" s="1045"/>
      <c r="U10" s="3207"/>
      <c r="V10" s="1045"/>
      <c r="W10" s="3207"/>
      <c r="X10" s="1045"/>
      <c r="Y10" s="3207"/>
      <c r="Z10" s="1045"/>
      <c r="AA10" s="3207"/>
      <c r="AB10" s="1045"/>
      <c r="AC10" s="651"/>
      <c r="AD10" s="2755" t="s">
        <v>229</v>
      </c>
      <c r="AE10" s="3220"/>
      <c r="AF10" s="2755" t="s">
        <v>229</v>
      </c>
      <c r="AG10" s="3220"/>
      <c r="AH10" s="2755" t="s">
        <v>531</v>
      </c>
      <c r="AI10" s="3220"/>
      <c r="AJ10" s="778" t="s">
        <v>532</v>
      </c>
      <c r="AK10" s="3226"/>
      <c r="AL10" s="2755" t="s">
        <v>533</v>
      </c>
      <c r="AM10" s="3227"/>
      <c r="AN10" s="778" t="s">
        <v>534</v>
      </c>
      <c r="AO10" s="1370"/>
      <c r="AP10" s="3233" t="s">
        <v>535</v>
      </c>
      <c r="AQ10" s="3234"/>
      <c r="AR10" s="3233" t="s">
        <v>535</v>
      </c>
      <c r="AS10" s="3234"/>
      <c r="AT10" s="3180"/>
      <c r="AU10" s="3180"/>
      <c r="AV10" s="651"/>
      <c r="AW10" s="2657"/>
      <c r="AX10" s="651"/>
      <c r="AY10" s="2630"/>
      <c r="AZ10" s="2630"/>
      <c r="BA10" s="3184" t="s">
        <v>523</v>
      </c>
      <c r="BB10" s="3258" t="str">
        <f>I9</f>
        <v>地上</v>
      </c>
      <c r="BC10" s="735" t="str">
        <f>K9</f>
        <v>地下</v>
      </c>
      <c r="BD10" s="735">
        <f>M9</f>
        <v>0</v>
      </c>
      <c r="BE10" s="735">
        <f>O9</f>
        <v>0</v>
      </c>
      <c r="BF10" s="735">
        <f>Q9</f>
        <v>0</v>
      </c>
      <c r="BG10" s="735">
        <f>S9</f>
        <v>0</v>
      </c>
      <c r="BH10" s="735">
        <f>U9</f>
        <v>0</v>
      </c>
      <c r="BI10" s="735">
        <f>W9</f>
        <v>0</v>
      </c>
      <c r="BJ10" s="735">
        <f>Y9</f>
        <v>0</v>
      </c>
      <c r="BK10" s="735">
        <f>AA9</f>
        <v>0</v>
      </c>
      <c r="BL10" s="731" t="s">
        <v>523</v>
      </c>
      <c r="BM10" s="128" t="str">
        <f>AD9</f>
        <v>地上</v>
      </c>
      <c r="BN10" s="735" t="str">
        <f>AF9</f>
        <v>地下</v>
      </c>
      <c r="BO10" s="128" t="str">
        <f>AH9</f>
        <v>地上</v>
      </c>
      <c r="BP10" s="735" t="str">
        <f>AJ9</f>
        <v>地下</v>
      </c>
      <c r="BQ10" s="128" t="str">
        <f>AL9</f>
        <v>地上</v>
      </c>
      <c r="BR10" s="735" t="str">
        <f>AN9</f>
        <v>地下</v>
      </c>
      <c r="BS10" s="128" t="str">
        <f>AP9</f>
        <v>地上</v>
      </c>
      <c r="BT10" s="2641" t="str">
        <f>AR9</f>
        <v>地下</v>
      </c>
    </row>
    <row r="11" spans="1:72" s="196" customFormat="1" ht="12.75">
      <c r="A11" s="3180"/>
      <c r="B11" s="3180"/>
      <c r="C11" s="3180"/>
      <c r="D11" s="3180"/>
      <c r="E11" s="3180"/>
      <c r="F11" s="3180"/>
      <c r="G11" s="651"/>
      <c r="H11" s="3184"/>
      <c r="I11" s="3208" t="s">
        <v>536</v>
      </c>
      <c r="J11" s="3209"/>
      <c r="K11" s="3208"/>
      <c r="L11" s="3209"/>
      <c r="M11" s="3210"/>
      <c r="N11" s="3209"/>
      <c r="O11" s="3210"/>
      <c r="P11" s="3209"/>
      <c r="Q11" s="3210"/>
      <c r="R11" s="3209"/>
      <c r="S11" s="3210"/>
      <c r="T11" s="3209"/>
      <c r="U11" s="3210"/>
      <c r="V11" s="3209"/>
      <c r="W11" s="3210"/>
      <c r="X11" s="3209"/>
      <c r="Y11" s="3210"/>
      <c r="Z11" s="3209"/>
      <c r="AA11" s="3210"/>
      <c r="AB11" s="3209"/>
      <c r="AC11" s="651"/>
      <c r="AD11" s="3221" t="s">
        <v>537</v>
      </c>
      <c r="AE11" s="189"/>
      <c r="AF11" s="3221" t="s">
        <v>537</v>
      </c>
      <c r="AG11" s="189"/>
      <c r="AH11" s="3221" t="s">
        <v>538</v>
      </c>
      <c r="AI11" s="3228"/>
      <c r="AJ11" s="3221" t="s">
        <v>538</v>
      </c>
      <c r="AK11" s="3226"/>
      <c r="AL11" s="128"/>
      <c r="AM11" s="189"/>
      <c r="AN11" s="128"/>
      <c r="AO11" s="189"/>
      <c r="AP11" s="3236"/>
      <c r="AQ11" s="3237"/>
      <c r="AR11" s="3236"/>
      <c r="AS11" s="3237"/>
      <c r="AT11" s="2657"/>
      <c r="AU11" s="3180"/>
      <c r="AV11" s="651"/>
      <c r="AW11" s="2657"/>
      <c r="AX11" s="651"/>
      <c r="AY11" s="2630"/>
      <c r="AZ11" s="2630"/>
      <c r="BA11" s="2630"/>
      <c r="BB11" s="3217" t="str">
        <f>I10</f>
        <v>住宅</v>
      </c>
      <c r="BC11" s="3217" t="str">
        <f>K10</f>
        <v>车库</v>
      </c>
      <c r="BD11" s="3217">
        <f>M10</f>
        <v>0</v>
      </c>
      <c r="BE11" s="3217">
        <f>O10</f>
        <v>0</v>
      </c>
      <c r="BF11" s="3217">
        <f>Q10</f>
        <v>0</v>
      </c>
      <c r="BG11" s="3217">
        <f>S10</f>
        <v>0</v>
      </c>
      <c r="BH11" s="3217">
        <f>U10</f>
        <v>0</v>
      </c>
      <c r="BI11" s="3217">
        <f>W10</f>
        <v>0</v>
      </c>
      <c r="BJ11" s="3217">
        <f>Y10</f>
        <v>0</v>
      </c>
      <c r="BK11" s="3217">
        <f>AA10</f>
        <v>0</v>
      </c>
      <c r="BL11" s="6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731" t="str">
        <f>AP10</f>
        <v>未注明</v>
      </c>
      <c r="BT11" s="2631" t="str">
        <f>AR10</f>
        <v>未注明</v>
      </c>
    </row>
    <row r="12" spans="1:72" s="192" customFormat="1" ht="12.75">
      <c r="A12" s="3185"/>
      <c r="B12" s="3185"/>
      <c r="C12" s="3185"/>
      <c r="D12" s="3185"/>
      <c r="E12" s="3185"/>
      <c r="F12" s="3185"/>
      <c r="G12" s="2640"/>
      <c r="H12" s="3186"/>
      <c r="I12" s="2569" t="s">
        <v>539</v>
      </c>
      <c r="J12" s="130" t="s">
        <v>540</v>
      </c>
      <c r="K12" s="130" t="s">
        <v>539</v>
      </c>
      <c r="L12" s="130" t="s">
        <v>540</v>
      </c>
      <c r="M12" s="130" t="s">
        <v>539</v>
      </c>
      <c r="N12" s="130" t="s">
        <v>540</v>
      </c>
      <c r="O12" s="130" t="s">
        <v>539</v>
      </c>
      <c r="P12" s="130" t="s">
        <v>540</v>
      </c>
      <c r="Q12" s="130" t="s">
        <v>539</v>
      </c>
      <c r="R12" s="130" t="s">
        <v>540</v>
      </c>
      <c r="S12" s="130" t="s">
        <v>539</v>
      </c>
      <c r="T12" s="130" t="s">
        <v>540</v>
      </c>
      <c r="U12" s="130" t="s">
        <v>539</v>
      </c>
      <c r="V12" s="2457" t="s">
        <v>540</v>
      </c>
      <c r="W12" s="130" t="s">
        <v>539</v>
      </c>
      <c r="X12" s="130" t="s">
        <v>540</v>
      </c>
      <c r="Y12" s="130" t="s">
        <v>539</v>
      </c>
      <c r="Z12" s="130" t="s">
        <v>540</v>
      </c>
      <c r="AA12" s="130" t="s">
        <v>539</v>
      </c>
      <c r="AB12" s="130" t="s">
        <v>540</v>
      </c>
      <c r="AC12" s="3222"/>
      <c r="AD12" s="2569" t="s">
        <v>539</v>
      </c>
      <c r="AE12" s="130" t="s">
        <v>540</v>
      </c>
      <c r="AF12" s="130" t="s">
        <v>539</v>
      </c>
      <c r="AG12" s="130" t="s">
        <v>540</v>
      </c>
      <c r="AH12" s="130" t="s">
        <v>539</v>
      </c>
      <c r="AI12" s="130" t="s">
        <v>540</v>
      </c>
      <c r="AJ12" s="130" t="s">
        <v>539</v>
      </c>
      <c r="AK12" s="130" t="s">
        <v>540</v>
      </c>
      <c r="AL12" s="130" t="s">
        <v>539</v>
      </c>
      <c r="AM12" s="130" t="s">
        <v>540</v>
      </c>
      <c r="AN12" s="130" t="s">
        <v>539</v>
      </c>
      <c r="AO12" s="130" t="s">
        <v>540</v>
      </c>
      <c r="AP12" s="3238" t="s">
        <v>539</v>
      </c>
      <c r="AQ12" s="3238" t="s">
        <v>540</v>
      </c>
      <c r="AR12" s="3239" t="s">
        <v>539</v>
      </c>
      <c r="AS12" s="3240" t="s">
        <v>540</v>
      </c>
      <c r="AT12" s="3241"/>
      <c r="AU12" s="3185"/>
      <c r="AV12" s="2635"/>
      <c r="AW12" s="2650"/>
      <c r="AX12" s="2635"/>
      <c r="AY12" s="3259"/>
      <c r="AZ12" s="2630"/>
      <c r="BA12" s="3184"/>
      <c r="BB12" s="127" t="str">
        <f>I11</f>
        <v>普通住宅</v>
      </c>
      <c r="BC12" s="3260">
        <f>K11</f>
        <v>0</v>
      </c>
      <c r="BD12" s="3260">
        <f>M11</f>
        <v>0</v>
      </c>
      <c r="BE12" s="3217">
        <f>O11</f>
        <v>0</v>
      </c>
      <c r="BF12" s="3217">
        <f>Q11</f>
        <v>0</v>
      </c>
      <c r="BG12" s="3217">
        <f>S11</f>
        <v>0</v>
      </c>
      <c r="BH12" s="3217">
        <f>U11</f>
        <v>0</v>
      </c>
      <c r="BI12" s="3217">
        <f>W11</f>
        <v>0</v>
      </c>
      <c r="BJ12" s="3217">
        <f>Y11</f>
        <v>0</v>
      </c>
      <c r="BK12" s="3217">
        <f>AA11</f>
        <v>0</v>
      </c>
      <c r="BL12" s="651"/>
      <c r="BM12" s="128" t="str">
        <f>AD11</f>
        <v>（住宅）</v>
      </c>
      <c r="BN12" s="128" t="str">
        <f>AF11</f>
        <v>（住宅）</v>
      </c>
      <c r="BO12" s="127" t="str">
        <f>AH11</f>
        <v>（住宅、计出让金）</v>
      </c>
      <c r="BP12" s="127" t="str">
        <f>AJ11</f>
        <v>（住宅、计出让金）</v>
      </c>
      <c r="BQ12" s="127">
        <f>AL11</f>
        <v>0</v>
      </c>
      <c r="BR12" s="127">
        <f>AN11</f>
        <v>0</v>
      </c>
      <c r="BS12" s="731">
        <f>AP11</f>
        <v>0</v>
      </c>
      <c r="BT12" s="2631">
        <f>AR11</f>
        <v>0</v>
      </c>
    </row>
    <row r="13" spans="1:72" s="192" customFormat="1" ht="12.75">
      <c r="A13" s="3187"/>
      <c r="B13" s="3187"/>
      <c r="C13" s="3187"/>
      <c r="D13" s="3188" t="s">
        <v>541</v>
      </c>
      <c r="E13" s="3173">
        <f t="shared" ref="E13:E20" si="6">IF($C$3="是",ROUND($A$3*G13/$B$3,2),ROUND($A$3*(G13-AT13)/$B$3,2))</f>
        <v>55570.2</v>
      </c>
      <c r="F13" s="3189"/>
      <c r="G13" s="3190">
        <f t="shared" ref="G13:G20" si="7">H13+AC13+AT13</f>
        <v>187307.45999999996</v>
      </c>
      <c r="H13" s="3176">
        <f t="shared" ref="H13:H20" si="8">SUMIF(I$12:AB$12,"总值",I13:AB13)</f>
        <v>165691.82999999999</v>
      </c>
      <c r="I13" s="3211">
        <v>119188.85</v>
      </c>
      <c r="J13" s="3211"/>
      <c r="K13" s="3211">
        <v>46502.98</v>
      </c>
      <c r="L13" s="3211"/>
      <c r="M13" s="3211"/>
      <c r="N13" s="3212"/>
      <c r="O13" s="3212"/>
      <c r="P13" s="3212"/>
      <c r="Q13" s="3212"/>
      <c r="R13" s="3212"/>
      <c r="S13" s="3212"/>
      <c r="T13" s="3212"/>
      <c r="U13" s="3212"/>
      <c r="V13" s="3212"/>
      <c r="W13" s="3212"/>
      <c r="X13" s="3212"/>
      <c r="Y13" s="3212"/>
      <c r="Z13" s="3212"/>
      <c r="AA13" s="3212"/>
      <c r="AB13" s="3212"/>
      <c r="AC13" s="3173">
        <f t="shared" ref="AC13:AC20" si="9">SUMIF(AD$12:AS$12,"总值",AD13:AS13)</f>
        <v>8135.2999999999993</v>
      </c>
      <c r="AD13" s="3223">
        <f>2396.36-AH13+450</f>
        <v>2745.96</v>
      </c>
      <c r="AE13" s="3223"/>
      <c r="AF13" s="3223">
        <f>501+914.24</f>
        <v>1415.24</v>
      </c>
      <c r="AG13" s="3223"/>
      <c r="AH13" s="3223">
        <v>100.4</v>
      </c>
      <c r="AI13" s="3223"/>
      <c r="AJ13" s="3223">
        <v>58.24</v>
      </c>
      <c r="AK13" s="3223"/>
      <c r="AL13" s="3223">
        <f>46.72+494.91-450</f>
        <v>91.63</v>
      </c>
      <c r="AM13" s="3223"/>
      <c r="AN13" s="3223">
        <f>3723.83</f>
        <v>3723.83</v>
      </c>
      <c r="AO13" s="3223"/>
      <c r="AP13" s="3223"/>
      <c r="AQ13" s="3223"/>
      <c r="AR13" s="3223"/>
      <c r="AS13" s="3223"/>
      <c r="AT13" s="3242">
        <f>11852.73+127.6+1500</f>
        <v>13480.33</v>
      </c>
      <c r="AU13" s="3243"/>
      <c r="AV13" s="130">
        <f t="shared" ref="AV13:AX20" si="10">A13</f>
        <v>0</v>
      </c>
      <c r="AW13" s="130">
        <f t="shared" si="10"/>
        <v>0</v>
      </c>
      <c r="AX13" s="130">
        <f t="shared" si="10"/>
        <v>0</v>
      </c>
      <c r="AY13" s="2569">
        <f t="shared" ref="AY13:AY20" si="11">ROUND($AY$6*AZ13/$AZ$5,2)</f>
        <v>51570.87</v>
      </c>
      <c r="AZ13" s="3173">
        <f t="shared" ref="AZ13:AZ20" si="12">BA13+BL13</f>
        <v>173827.12999999998</v>
      </c>
      <c r="BA13" s="3173">
        <f t="shared" ref="BA13:BA20" si="13">SUM(BB13:BK13)</f>
        <v>165691.82999999999</v>
      </c>
      <c r="BB13" s="3173">
        <f t="shared" ref="BB13:BB20" si="14">IF($D13="是",I13-J13,0)</f>
        <v>119188.85</v>
      </c>
      <c r="BC13" s="3173">
        <f t="shared" ref="BC13:BC20" si="15">IF($D13="是",K13-L13,0)</f>
        <v>46502.98</v>
      </c>
      <c r="BD13" s="3173">
        <f t="shared" ref="BD13:BD20" si="16">IF($D13="是",M13-N13,0)</f>
        <v>0</v>
      </c>
      <c r="BE13" s="3173">
        <f t="shared" ref="BE13:BE20" si="17">IF($D13="是",O13-P13,0)</f>
        <v>0</v>
      </c>
      <c r="BF13" s="3173">
        <f t="shared" ref="BF13:BF20" si="18">IF($D13="是",Q13-R13,0)</f>
        <v>0</v>
      </c>
      <c r="BG13" s="3173">
        <f t="shared" ref="BG13:BG20" si="19">IF($D13="是",S13-T13,0)</f>
        <v>0</v>
      </c>
      <c r="BH13" s="3173">
        <f t="shared" ref="BH13:BH20" si="20">IF($D13="是",U13-V13,0)</f>
        <v>0</v>
      </c>
      <c r="BI13" s="3173">
        <f t="shared" ref="BI13:BI20" si="21">IF($D13="是",W13-X13,0)</f>
        <v>0</v>
      </c>
      <c r="BJ13" s="3173">
        <f t="shared" ref="BJ13:BJ20" si="22">IF($D13="是",Y13-Z13,0)</f>
        <v>0</v>
      </c>
      <c r="BK13" s="3173">
        <f t="shared" ref="BK13:BK20" si="23">IF($D13="是",AA13-AB13,0)</f>
        <v>0</v>
      </c>
      <c r="BL13" s="3173">
        <f t="shared" ref="BL13:BL20" si="24">SUM(BM13:BT13)</f>
        <v>8135.2999999999993</v>
      </c>
      <c r="BM13" s="3173">
        <f t="shared" ref="BM13:BM20" si="25">IF($D13="是",AD13-AE13,0)</f>
        <v>2745.96</v>
      </c>
      <c r="BN13" s="3173">
        <f t="shared" ref="BN13:BN20" si="26">IF($D13="是",AF13-AG13,0)</f>
        <v>1415.24</v>
      </c>
      <c r="BO13" s="3173">
        <f t="shared" ref="BO13:BO20" si="27">IF($D13="是",AH13-AI13,0)</f>
        <v>100.4</v>
      </c>
      <c r="BP13" s="3173">
        <f t="shared" ref="BP13:BP20" si="28">IF($D13="是",AJ13-AK13,0)</f>
        <v>58.24</v>
      </c>
      <c r="BQ13" s="3173">
        <f t="shared" ref="BQ13:BQ20" si="29">IF($D13="是",AL13-AM13,0)</f>
        <v>91.63</v>
      </c>
      <c r="BR13" s="3173">
        <f t="shared" ref="BR13:BR20" si="30">IF($D13="是",AN13-AO13,0)</f>
        <v>3723.83</v>
      </c>
      <c r="BS13" s="3173">
        <f t="shared" ref="BS13:BS20" si="31">IF($D13="是",AP13-AQ13,0)</f>
        <v>0</v>
      </c>
      <c r="BT13" s="3264">
        <f t="shared" ref="BT13:BT20" si="32">IF($D13="是",AR13-AS13,0)</f>
        <v>0</v>
      </c>
    </row>
    <row r="14" spans="1:72" s="192" customFormat="1" ht="12.75">
      <c r="A14" s="3187"/>
      <c r="B14" s="3187"/>
      <c r="C14" s="3191"/>
      <c r="D14" s="3188"/>
      <c r="E14" s="3173">
        <f t="shared" si="6"/>
        <v>0</v>
      </c>
      <c r="F14" s="3189"/>
      <c r="G14" s="3190">
        <f t="shared" si="7"/>
        <v>0</v>
      </c>
      <c r="H14" s="3176">
        <f t="shared" si="8"/>
        <v>0</v>
      </c>
      <c r="I14" s="3211"/>
      <c r="J14" s="3211"/>
      <c r="K14" s="3211"/>
      <c r="L14" s="3211"/>
      <c r="M14" s="3211"/>
      <c r="N14" s="3212"/>
      <c r="O14" s="3212"/>
      <c r="P14" s="3212"/>
      <c r="Q14" s="3212"/>
      <c r="R14" s="3212"/>
      <c r="S14" s="3212"/>
      <c r="T14" s="3212"/>
      <c r="U14" s="3212"/>
      <c r="V14" s="3212"/>
      <c r="W14" s="3212"/>
      <c r="X14" s="3212"/>
      <c r="Y14" s="3212"/>
      <c r="Z14" s="3212"/>
      <c r="AA14" s="3212"/>
      <c r="AB14" s="3212"/>
      <c r="AC14" s="3173">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0">
        <f t="shared" si="10"/>
        <v>0</v>
      </c>
      <c r="AW14" s="130">
        <f t="shared" si="10"/>
        <v>0</v>
      </c>
      <c r="AX14" s="130">
        <f t="shared" si="10"/>
        <v>0</v>
      </c>
      <c r="AY14" s="2569">
        <f t="shared" si="11"/>
        <v>0</v>
      </c>
      <c r="AZ14" s="3173">
        <f t="shared" si="12"/>
        <v>0</v>
      </c>
      <c r="BA14" s="3173">
        <f t="shared" si="13"/>
        <v>0</v>
      </c>
      <c r="BB14" s="3173">
        <f t="shared" si="14"/>
        <v>0</v>
      </c>
      <c r="BC14" s="3173">
        <f t="shared" si="15"/>
        <v>0</v>
      </c>
      <c r="BD14" s="3173">
        <f t="shared" si="16"/>
        <v>0</v>
      </c>
      <c r="BE14" s="3173">
        <f t="shared" si="17"/>
        <v>0</v>
      </c>
      <c r="BF14" s="3173">
        <f t="shared" si="18"/>
        <v>0</v>
      </c>
      <c r="BG14" s="3173">
        <f t="shared" si="19"/>
        <v>0</v>
      </c>
      <c r="BH14" s="3173">
        <f t="shared" si="20"/>
        <v>0</v>
      </c>
      <c r="BI14" s="3173">
        <f t="shared" si="21"/>
        <v>0</v>
      </c>
      <c r="BJ14" s="3173">
        <f t="shared" si="22"/>
        <v>0</v>
      </c>
      <c r="BK14" s="3173">
        <f t="shared" si="23"/>
        <v>0</v>
      </c>
      <c r="BL14" s="3173">
        <f t="shared" si="24"/>
        <v>0</v>
      </c>
      <c r="BM14" s="3173">
        <f t="shared" si="25"/>
        <v>0</v>
      </c>
      <c r="BN14" s="3173">
        <f t="shared" si="26"/>
        <v>0</v>
      </c>
      <c r="BO14" s="3173">
        <f t="shared" si="27"/>
        <v>0</v>
      </c>
      <c r="BP14" s="3173">
        <f t="shared" si="28"/>
        <v>0</v>
      </c>
      <c r="BQ14" s="3173">
        <f t="shared" si="29"/>
        <v>0</v>
      </c>
      <c r="BR14" s="3173">
        <f t="shared" si="30"/>
        <v>0</v>
      </c>
      <c r="BS14" s="3173">
        <f t="shared" si="31"/>
        <v>0</v>
      </c>
      <c r="BT14" s="3264">
        <f t="shared" si="32"/>
        <v>0</v>
      </c>
    </row>
    <row r="15" spans="1:72" s="192" customFormat="1" ht="12.75">
      <c r="A15" s="3187"/>
      <c r="B15" s="3187"/>
      <c r="C15" s="3191"/>
      <c r="D15" s="3188"/>
      <c r="E15" s="3173">
        <f t="shared" si="6"/>
        <v>0</v>
      </c>
      <c r="F15" s="3189"/>
      <c r="G15" s="3190">
        <f t="shared" si="7"/>
        <v>0</v>
      </c>
      <c r="H15" s="3176">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3">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0">
        <f t="shared" si="10"/>
        <v>0</v>
      </c>
      <c r="AW15" s="130">
        <f t="shared" si="10"/>
        <v>0</v>
      </c>
      <c r="AX15" s="130">
        <f t="shared" si="10"/>
        <v>0</v>
      </c>
      <c r="AY15" s="2569">
        <f t="shared" si="11"/>
        <v>0</v>
      </c>
      <c r="AZ15" s="3173">
        <f t="shared" si="12"/>
        <v>0</v>
      </c>
      <c r="BA15" s="3173">
        <f t="shared" si="13"/>
        <v>0</v>
      </c>
      <c r="BB15" s="3173">
        <f t="shared" si="14"/>
        <v>0</v>
      </c>
      <c r="BC15" s="3173">
        <f t="shared" si="15"/>
        <v>0</v>
      </c>
      <c r="BD15" s="3173">
        <f t="shared" si="16"/>
        <v>0</v>
      </c>
      <c r="BE15" s="3173">
        <f t="shared" si="17"/>
        <v>0</v>
      </c>
      <c r="BF15" s="3173">
        <f t="shared" si="18"/>
        <v>0</v>
      </c>
      <c r="BG15" s="3173">
        <f t="shared" si="19"/>
        <v>0</v>
      </c>
      <c r="BH15" s="3173">
        <f t="shared" si="20"/>
        <v>0</v>
      </c>
      <c r="BI15" s="3173">
        <f t="shared" si="21"/>
        <v>0</v>
      </c>
      <c r="BJ15" s="3173">
        <f t="shared" si="22"/>
        <v>0</v>
      </c>
      <c r="BK15" s="3173">
        <f t="shared" si="23"/>
        <v>0</v>
      </c>
      <c r="BL15" s="3173">
        <f t="shared" si="24"/>
        <v>0</v>
      </c>
      <c r="BM15" s="3173">
        <f t="shared" si="25"/>
        <v>0</v>
      </c>
      <c r="BN15" s="3173">
        <f t="shared" si="26"/>
        <v>0</v>
      </c>
      <c r="BO15" s="3173">
        <f t="shared" si="27"/>
        <v>0</v>
      </c>
      <c r="BP15" s="3173">
        <f t="shared" si="28"/>
        <v>0</v>
      </c>
      <c r="BQ15" s="3173">
        <f t="shared" si="29"/>
        <v>0</v>
      </c>
      <c r="BR15" s="3173">
        <f t="shared" si="30"/>
        <v>0</v>
      </c>
      <c r="BS15" s="3173">
        <f t="shared" si="31"/>
        <v>0</v>
      </c>
      <c r="BT15" s="3264">
        <f t="shared" si="32"/>
        <v>0</v>
      </c>
    </row>
    <row r="16" spans="1:72" s="192" customFormat="1" ht="12.75">
      <c r="A16" s="3187"/>
      <c r="B16" s="3187"/>
      <c r="C16" s="3191"/>
      <c r="D16" s="3188"/>
      <c r="E16" s="3173">
        <f t="shared" si="6"/>
        <v>0</v>
      </c>
      <c r="F16" s="3189"/>
      <c r="G16" s="3190">
        <f t="shared" si="7"/>
        <v>0</v>
      </c>
      <c r="H16" s="3176">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3">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0">
        <f t="shared" si="10"/>
        <v>0</v>
      </c>
      <c r="AW16" s="130">
        <f t="shared" si="10"/>
        <v>0</v>
      </c>
      <c r="AX16" s="130">
        <f t="shared" si="10"/>
        <v>0</v>
      </c>
      <c r="AY16" s="2569">
        <f t="shared" si="11"/>
        <v>0</v>
      </c>
      <c r="AZ16" s="3173">
        <f t="shared" si="12"/>
        <v>0</v>
      </c>
      <c r="BA16" s="3173">
        <f t="shared" si="13"/>
        <v>0</v>
      </c>
      <c r="BB16" s="3173">
        <f t="shared" si="14"/>
        <v>0</v>
      </c>
      <c r="BC16" s="3173">
        <f t="shared" si="15"/>
        <v>0</v>
      </c>
      <c r="BD16" s="3173">
        <f t="shared" si="16"/>
        <v>0</v>
      </c>
      <c r="BE16" s="3173">
        <f t="shared" si="17"/>
        <v>0</v>
      </c>
      <c r="BF16" s="3173">
        <f t="shared" si="18"/>
        <v>0</v>
      </c>
      <c r="BG16" s="3173">
        <f t="shared" si="19"/>
        <v>0</v>
      </c>
      <c r="BH16" s="3173">
        <f t="shared" si="20"/>
        <v>0</v>
      </c>
      <c r="BI16" s="3173">
        <f t="shared" si="21"/>
        <v>0</v>
      </c>
      <c r="BJ16" s="3173">
        <f t="shared" si="22"/>
        <v>0</v>
      </c>
      <c r="BK16" s="3173">
        <f t="shared" si="23"/>
        <v>0</v>
      </c>
      <c r="BL16" s="3173">
        <f t="shared" si="24"/>
        <v>0</v>
      </c>
      <c r="BM16" s="3173">
        <f t="shared" si="25"/>
        <v>0</v>
      </c>
      <c r="BN16" s="3173">
        <f t="shared" si="26"/>
        <v>0</v>
      </c>
      <c r="BO16" s="3173">
        <f t="shared" si="27"/>
        <v>0</v>
      </c>
      <c r="BP16" s="3173">
        <f t="shared" si="28"/>
        <v>0</v>
      </c>
      <c r="BQ16" s="3173">
        <f t="shared" si="29"/>
        <v>0</v>
      </c>
      <c r="BR16" s="3173">
        <f t="shared" si="30"/>
        <v>0</v>
      </c>
      <c r="BS16" s="3173">
        <f t="shared" si="31"/>
        <v>0</v>
      </c>
      <c r="BT16" s="3264">
        <f t="shared" si="32"/>
        <v>0</v>
      </c>
    </row>
    <row r="17" spans="1:72" s="192" customFormat="1" ht="12.75">
      <c r="A17" s="3187"/>
      <c r="B17" s="3187"/>
      <c r="C17" s="3191"/>
      <c r="D17" s="3188"/>
      <c r="E17" s="3173">
        <f t="shared" si="6"/>
        <v>0</v>
      </c>
      <c r="F17" s="3189"/>
      <c r="G17" s="3190">
        <f t="shared" si="7"/>
        <v>0</v>
      </c>
      <c r="H17" s="3176">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3">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0">
        <f t="shared" si="10"/>
        <v>0</v>
      </c>
      <c r="AW17" s="130">
        <f t="shared" si="10"/>
        <v>0</v>
      </c>
      <c r="AX17" s="130">
        <f t="shared" si="10"/>
        <v>0</v>
      </c>
      <c r="AY17" s="2569">
        <f t="shared" si="11"/>
        <v>0</v>
      </c>
      <c r="AZ17" s="3173">
        <f t="shared" si="12"/>
        <v>0</v>
      </c>
      <c r="BA17" s="3173">
        <f t="shared" si="13"/>
        <v>0</v>
      </c>
      <c r="BB17" s="3173">
        <f t="shared" si="14"/>
        <v>0</v>
      </c>
      <c r="BC17" s="3173">
        <f t="shared" si="15"/>
        <v>0</v>
      </c>
      <c r="BD17" s="3173">
        <f t="shared" si="16"/>
        <v>0</v>
      </c>
      <c r="BE17" s="3173">
        <f t="shared" si="17"/>
        <v>0</v>
      </c>
      <c r="BF17" s="3173">
        <f t="shared" si="18"/>
        <v>0</v>
      </c>
      <c r="BG17" s="3173">
        <f t="shared" si="19"/>
        <v>0</v>
      </c>
      <c r="BH17" s="3173">
        <f t="shared" si="20"/>
        <v>0</v>
      </c>
      <c r="BI17" s="3173">
        <f t="shared" si="21"/>
        <v>0</v>
      </c>
      <c r="BJ17" s="3173">
        <f t="shared" si="22"/>
        <v>0</v>
      </c>
      <c r="BK17" s="3173">
        <f t="shared" si="23"/>
        <v>0</v>
      </c>
      <c r="BL17" s="3173">
        <f t="shared" si="24"/>
        <v>0</v>
      </c>
      <c r="BM17" s="3173">
        <f t="shared" si="25"/>
        <v>0</v>
      </c>
      <c r="BN17" s="3173">
        <f t="shared" si="26"/>
        <v>0</v>
      </c>
      <c r="BO17" s="3173">
        <f t="shared" si="27"/>
        <v>0</v>
      </c>
      <c r="BP17" s="3173">
        <f t="shared" si="28"/>
        <v>0</v>
      </c>
      <c r="BQ17" s="3173">
        <f t="shared" si="29"/>
        <v>0</v>
      </c>
      <c r="BR17" s="3173">
        <f t="shared" si="30"/>
        <v>0</v>
      </c>
      <c r="BS17" s="3173">
        <f t="shared" si="31"/>
        <v>0</v>
      </c>
      <c r="BT17" s="3264">
        <f t="shared" si="32"/>
        <v>0</v>
      </c>
    </row>
    <row r="18" spans="1:72">
      <c r="A18" s="3192"/>
      <c r="B18" s="3193"/>
      <c r="C18" s="3193"/>
      <c r="D18" s="3188"/>
      <c r="E18" s="3194">
        <f t="shared" si="6"/>
        <v>0</v>
      </c>
      <c r="F18" s="3195"/>
      <c r="G18" s="3196">
        <f t="shared" si="7"/>
        <v>0</v>
      </c>
      <c r="H18" s="3197">
        <f t="shared" si="8"/>
        <v>0</v>
      </c>
      <c r="I18" s="3199"/>
      <c r="J18" s="3213"/>
      <c r="K18" s="3199"/>
      <c r="L18" s="3213"/>
      <c r="M18" s="3213"/>
      <c r="N18" s="3213"/>
      <c r="O18" s="3213"/>
      <c r="P18" s="3213"/>
      <c r="Q18" s="3213"/>
      <c r="R18" s="3213"/>
      <c r="S18" s="3213"/>
      <c r="T18" s="3213"/>
      <c r="U18" s="3213"/>
      <c r="V18" s="3213"/>
      <c r="W18" s="3213"/>
      <c r="X18" s="3213"/>
      <c r="Y18" s="3213"/>
      <c r="Z18" s="3213"/>
      <c r="AA18" s="3213"/>
      <c r="AB18" s="3213"/>
      <c r="AC18" s="3194">
        <f t="shared" si="9"/>
        <v>0</v>
      </c>
      <c r="AD18" s="3224"/>
      <c r="AE18" s="3224"/>
      <c r="AF18" s="3199"/>
      <c r="AG18" s="3224"/>
      <c r="AH18" s="3224"/>
      <c r="AI18" s="3224"/>
      <c r="AJ18" s="3224"/>
      <c r="AK18" s="3224"/>
      <c r="AL18" s="3214"/>
      <c r="AM18" s="3224"/>
      <c r="AN18" s="3199"/>
      <c r="AO18" s="3224"/>
      <c r="AP18" s="3224"/>
      <c r="AQ18" s="3224"/>
      <c r="AR18" s="3224"/>
      <c r="AS18" s="3224"/>
      <c r="AT18" s="3244"/>
      <c r="AU18" s="3245"/>
      <c r="AV18" s="464">
        <f t="shared" si="10"/>
        <v>0</v>
      </c>
      <c r="AW18" s="464">
        <f t="shared" si="10"/>
        <v>0</v>
      </c>
      <c r="AX18" s="464">
        <f t="shared" si="10"/>
        <v>0</v>
      </c>
      <c r="AY18" s="3261">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6">
        <f t="shared" si="32"/>
        <v>0</v>
      </c>
    </row>
    <row r="19" spans="1:72">
      <c r="A19" s="3192"/>
      <c r="B19" s="3198"/>
      <c r="C19" s="3199"/>
      <c r="D19" s="3188"/>
      <c r="E19" s="3194">
        <f t="shared" si="6"/>
        <v>0</v>
      </c>
      <c r="F19" s="3195"/>
      <c r="G19" s="3196">
        <f t="shared" si="7"/>
        <v>0</v>
      </c>
      <c r="H19" s="3197">
        <f t="shared" si="8"/>
        <v>0</v>
      </c>
      <c r="I19" s="3199"/>
      <c r="J19" s="3213"/>
      <c r="K19" s="3199"/>
      <c r="L19" s="3213"/>
      <c r="M19" s="3213"/>
      <c r="N19" s="3213"/>
      <c r="O19" s="3213"/>
      <c r="P19" s="3213"/>
      <c r="Q19" s="3213"/>
      <c r="R19" s="3213"/>
      <c r="S19" s="3213"/>
      <c r="T19" s="3213"/>
      <c r="U19" s="3213"/>
      <c r="V19" s="3213"/>
      <c r="W19" s="3213"/>
      <c r="X19" s="3213"/>
      <c r="Y19" s="3213"/>
      <c r="Z19" s="3213"/>
      <c r="AA19" s="3213"/>
      <c r="AB19" s="3213"/>
      <c r="AC19" s="3194">
        <f t="shared" si="9"/>
        <v>0</v>
      </c>
      <c r="AD19" s="3224"/>
      <c r="AE19" s="3224"/>
      <c r="AF19" s="3199"/>
      <c r="AG19" s="3224"/>
      <c r="AH19" s="3224"/>
      <c r="AI19" s="3224"/>
      <c r="AJ19" s="3224"/>
      <c r="AK19" s="3224"/>
      <c r="AL19" s="3224"/>
      <c r="AM19" s="3224"/>
      <c r="AN19" s="3199"/>
      <c r="AO19" s="3224"/>
      <c r="AP19" s="3224"/>
      <c r="AQ19" s="3224"/>
      <c r="AR19" s="3224"/>
      <c r="AS19" s="3224"/>
      <c r="AT19" s="3244"/>
      <c r="AU19" s="3245"/>
      <c r="AV19" s="464">
        <f t="shared" si="10"/>
        <v>0</v>
      </c>
      <c r="AW19" s="464">
        <f t="shared" si="10"/>
        <v>0</v>
      </c>
      <c r="AX19" s="464">
        <f t="shared" si="10"/>
        <v>0</v>
      </c>
      <c r="AY19" s="3261">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6">
        <f t="shared" si="32"/>
        <v>0</v>
      </c>
    </row>
    <row r="20" spans="1:72">
      <c r="A20" s="3192"/>
      <c r="B20" s="3198"/>
      <c r="C20" s="3199"/>
      <c r="D20" s="3188"/>
      <c r="E20" s="3194">
        <f t="shared" si="6"/>
        <v>0</v>
      </c>
      <c r="F20" s="3195"/>
      <c r="G20" s="3196">
        <f t="shared" si="7"/>
        <v>0</v>
      </c>
      <c r="H20" s="3197">
        <f t="shared" si="8"/>
        <v>0</v>
      </c>
      <c r="I20" s="3199"/>
      <c r="J20" s="3213"/>
      <c r="K20" s="3199"/>
      <c r="L20" s="3213"/>
      <c r="M20" s="3213"/>
      <c r="N20" s="3213"/>
      <c r="O20" s="3213"/>
      <c r="P20" s="3213"/>
      <c r="Q20" s="3213"/>
      <c r="R20" s="3213"/>
      <c r="S20" s="3213"/>
      <c r="T20" s="3213"/>
      <c r="U20" s="3213"/>
      <c r="V20" s="3213"/>
      <c r="W20" s="3213"/>
      <c r="X20" s="3213"/>
      <c r="Y20" s="3213"/>
      <c r="Z20" s="3213"/>
      <c r="AA20" s="3213"/>
      <c r="AB20" s="3213"/>
      <c r="AC20" s="3194">
        <f t="shared" si="9"/>
        <v>0</v>
      </c>
      <c r="AD20" s="3224"/>
      <c r="AE20" s="3224"/>
      <c r="AF20" s="3199"/>
      <c r="AG20" s="3224"/>
      <c r="AH20" s="3224"/>
      <c r="AI20" s="3224"/>
      <c r="AJ20" s="3224"/>
      <c r="AK20" s="3224"/>
      <c r="AL20" s="3224"/>
      <c r="AM20" s="3224"/>
      <c r="AN20" s="3199"/>
      <c r="AO20" s="3224"/>
      <c r="AP20" s="3224"/>
      <c r="AQ20" s="3224"/>
      <c r="AR20" s="3224"/>
      <c r="AS20" s="3224"/>
      <c r="AT20" s="3244"/>
      <c r="AU20" s="3245"/>
      <c r="AV20" s="464">
        <f t="shared" si="10"/>
        <v>0</v>
      </c>
      <c r="AW20" s="464">
        <f t="shared" si="10"/>
        <v>0</v>
      </c>
      <c r="AX20" s="464">
        <f t="shared" si="10"/>
        <v>0</v>
      </c>
      <c r="AY20" s="3261">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6">
        <f t="shared" si="32"/>
        <v>0</v>
      </c>
    </row>
    <row r="21" spans="1:72">
      <c r="A21" s="3192"/>
      <c r="B21" s="3200"/>
      <c r="C21" s="3199"/>
      <c r="D21" s="3188"/>
      <c r="E21" s="3194">
        <f t="shared" ref="E21:E112" si="33">IF($C$3="是",ROUND($A$3*G21/$B$3,2),ROUND($A$3*(G21-AT21)/$B$3,2))</f>
        <v>0</v>
      </c>
      <c r="F21" s="3195"/>
      <c r="G21" s="3196">
        <f t="shared" ref="G21:G109" si="34">H21+AC21+AT21</f>
        <v>0</v>
      </c>
      <c r="H21" s="3197">
        <f t="shared" ref="H21:H109" si="35">SUMIF(I$12:AB$12,"总值",I21:AB21)</f>
        <v>0</v>
      </c>
      <c r="I21" s="3202"/>
      <c r="J21" s="3213"/>
      <c r="K21" s="3202"/>
      <c r="L21" s="3213"/>
      <c r="M21" s="3213"/>
      <c r="N21" s="3213"/>
      <c r="O21" s="3213"/>
      <c r="P21" s="3213"/>
      <c r="Q21" s="3213"/>
      <c r="R21" s="3213"/>
      <c r="S21" s="3213"/>
      <c r="T21" s="3213"/>
      <c r="U21" s="3213"/>
      <c r="V21" s="3213"/>
      <c r="W21" s="3213"/>
      <c r="X21" s="3213"/>
      <c r="Y21" s="3213"/>
      <c r="Z21" s="3213"/>
      <c r="AA21" s="3213"/>
      <c r="AB21" s="3213"/>
      <c r="AC21" s="3194">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64">
        <f t="shared" ref="AV21:AV112" si="37">A21</f>
        <v>0</v>
      </c>
      <c r="AW21" s="464">
        <f t="shared" ref="AW21:AW112" si="38">B21</f>
        <v>0</v>
      </c>
      <c r="AX21" s="464">
        <f t="shared" ref="AX21:AX112" si="39">C21</f>
        <v>0</v>
      </c>
      <c r="AY21" s="3261">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6">
        <f t="shared" ref="BT21:BT109" si="61">IF($D21="是",AR21-AS21,0)</f>
        <v>0</v>
      </c>
    </row>
    <row r="22" spans="1:72">
      <c r="A22" s="3192"/>
      <c r="B22" s="3200"/>
      <c r="C22" s="3199"/>
      <c r="D22" s="3188"/>
      <c r="E22" s="3194">
        <f t="shared" si="33"/>
        <v>0</v>
      </c>
      <c r="F22" s="3195"/>
      <c r="G22" s="3196">
        <f t="shared" si="34"/>
        <v>0</v>
      </c>
      <c r="H22" s="3197">
        <f t="shared" si="35"/>
        <v>0</v>
      </c>
      <c r="I22" s="3202"/>
      <c r="J22" s="3213"/>
      <c r="K22" s="3202"/>
      <c r="L22" s="3213"/>
      <c r="M22" s="3214"/>
      <c r="N22" s="3213"/>
      <c r="O22" s="3213"/>
      <c r="P22" s="3213"/>
      <c r="Q22" s="3213"/>
      <c r="R22" s="3213"/>
      <c r="S22" s="3213"/>
      <c r="T22" s="3213"/>
      <c r="U22" s="3213"/>
      <c r="V22" s="3213"/>
      <c r="W22" s="3213"/>
      <c r="X22" s="3213"/>
      <c r="Y22" s="3213"/>
      <c r="Z22" s="3213"/>
      <c r="AA22" s="3213"/>
      <c r="AB22" s="3213"/>
      <c r="AC22" s="3194">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64">
        <f t="shared" si="37"/>
        <v>0</v>
      </c>
      <c r="AW22" s="464">
        <f t="shared" si="38"/>
        <v>0</v>
      </c>
      <c r="AX22" s="464">
        <f t="shared" si="39"/>
        <v>0</v>
      </c>
      <c r="AY22" s="3261">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6">
        <f t="shared" si="61"/>
        <v>0</v>
      </c>
    </row>
    <row r="23" spans="1:72">
      <c r="A23" s="3192"/>
      <c r="B23" s="3200"/>
      <c r="C23" s="3199"/>
      <c r="D23" s="3188"/>
      <c r="E23" s="3194">
        <f t="shared" si="33"/>
        <v>0</v>
      </c>
      <c r="F23" s="3195"/>
      <c r="G23" s="3196">
        <f t="shared" si="34"/>
        <v>0</v>
      </c>
      <c r="H23" s="3197">
        <f t="shared" si="35"/>
        <v>0</v>
      </c>
      <c r="I23" s="3202"/>
      <c r="J23" s="3213"/>
      <c r="K23" s="3202"/>
      <c r="L23" s="3213"/>
      <c r="M23" s="3214"/>
      <c r="N23" s="3213"/>
      <c r="O23" s="3213"/>
      <c r="P23" s="3213"/>
      <c r="Q23" s="3213"/>
      <c r="R23" s="3213"/>
      <c r="S23" s="3213"/>
      <c r="T23" s="3213"/>
      <c r="U23" s="3213"/>
      <c r="V23" s="3213"/>
      <c r="W23" s="3213"/>
      <c r="X23" s="3213"/>
      <c r="Y23" s="3213"/>
      <c r="Z23" s="3213"/>
      <c r="AA23" s="3213"/>
      <c r="AB23" s="3213"/>
      <c r="AC23" s="3194">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64">
        <f t="shared" si="37"/>
        <v>0</v>
      </c>
      <c r="AW23" s="464">
        <f t="shared" si="38"/>
        <v>0</v>
      </c>
      <c r="AX23" s="464">
        <f t="shared" si="39"/>
        <v>0</v>
      </c>
      <c r="AY23" s="3261">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6">
        <f t="shared" si="61"/>
        <v>0</v>
      </c>
    </row>
    <row r="24" spans="1:72">
      <c r="A24" s="3192"/>
      <c r="B24" s="3200"/>
      <c r="C24" s="3199"/>
      <c r="D24" s="3188"/>
      <c r="E24" s="3194">
        <f t="shared" si="33"/>
        <v>0</v>
      </c>
      <c r="F24" s="3195"/>
      <c r="G24" s="3196">
        <f t="shared" si="34"/>
        <v>0</v>
      </c>
      <c r="H24" s="3197">
        <f t="shared" si="35"/>
        <v>0</v>
      </c>
      <c r="I24" s="3202"/>
      <c r="J24" s="3213"/>
      <c r="K24" s="3202"/>
      <c r="L24" s="3213"/>
      <c r="M24" s="3213"/>
      <c r="N24" s="3213"/>
      <c r="O24" s="3214"/>
      <c r="P24" s="3213"/>
      <c r="Q24" s="3213"/>
      <c r="R24" s="3213"/>
      <c r="S24" s="3213"/>
      <c r="T24" s="3213"/>
      <c r="U24" s="3213"/>
      <c r="V24" s="3213"/>
      <c r="W24" s="3213"/>
      <c r="X24" s="3213"/>
      <c r="Y24" s="3213"/>
      <c r="Z24" s="3213"/>
      <c r="AA24" s="3213"/>
      <c r="AB24" s="3213"/>
      <c r="AC24" s="3194">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64">
        <f t="shared" si="37"/>
        <v>0</v>
      </c>
      <c r="AW24" s="464">
        <f t="shared" si="38"/>
        <v>0</v>
      </c>
      <c r="AX24" s="464">
        <f t="shared" si="39"/>
        <v>0</v>
      </c>
      <c r="AY24" s="3261">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6">
        <f t="shared" si="61"/>
        <v>0</v>
      </c>
    </row>
    <row r="25" spans="1:72">
      <c r="A25" s="3192"/>
      <c r="B25" s="3200"/>
      <c r="C25" s="3199"/>
      <c r="D25" s="3188"/>
      <c r="E25" s="3194">
        <f t="shared" si="33"/>
        <v>0</v>
      </c>
      <c r="F25" s="3195"/>
      <c r="G25" s="3196">
        <f t="shared" si="34"/>
        <v>0</v>
      </c>
      <c r="H25" s="3197">
        <f t="shared" si="35"/>
        <v>0</v>
      </c>
      <c r="I25" s="3202"/>
      <c r="J25" s="3213"/>
      <c r="K25" s="3202"/>
      <c r="L25" s="3213"/>
      <c r="M25" s="3213"/>
      <c r="N25" s="3213"/>
      <c r="O25" s="3213"/>
      <c r="P25" s="3213"/>
      <c r="Q25" s="3213"/>
      <c r="R25" s="3213"/>
      <c r="S25" s="3213"/>
      <c r="T25" s="3213"/>
      <c r="U25" s="3213"/>
      <c r="V25" s="3213"/>
      <c r="W25" s="3213"/>
      <c r="X25" s="3213"/>
      <c r="Y25" s="3213"/>
      <c r="Z25" s="3213"/>
      <c r="AA25" s="3213"/>
      <c r="AB25" s="3213"/>
      <c r="AC25" s="3194">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64">
        <f t="shared" si="37"/>
        <v>0</v>
      </c>
      <c r="AW25" s="464">
        <f t="shared" si="38"/>
        <v>0</v>
      </c>
      <c r="AX25" s="464">
        <f t="shared" si="39"/>
        <v>0</v>
      </c>
      <c r="AY25" s="3261">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6">
        <f t="shared" si="61"/>
        <v>0</v>
      </c>
    </row>
    <row r="26" spans="1:72">
      <c r="A26" s="3192"/>
      <c r="B26" s="3200"/>
      <c r="C26" s="3199"/>
      <c r="D26" s="3188"/>
      <c r="E26" s="3194">
        <f t="shared" si="33"/>
        <v>0</v>
      </c>
      <c r="F26" s="3195"/>
      <c r="G26" s="3196">
        <f t="shared" si="34"/>
        <v>0</v>
      </c>
      <c r="H26" s="3197">
        <f t="shared" si="35"/>
        <v>0</v>
      </c>
      <c r="I26" s="3202"/>
      <c r="J26" s="3213"/>
      <c r="K26" s="3202"/>
      <c r="L26" s="3213"/>
      <c r="M26" s="3213"/>
      <c r="N26" s="3213"/>
      <c r="O26" s="3213"/>
      <c r="P26" s="3213"/>
      <c r="Q26" s="3213"/>
      <c r="R26" s="3213"/>
      <c r="S26" s="3213"/>
      <c r="T26" s="3213"/>
      <c r="U26" s="3213"/>
      <c r="V26" s="3213"/>
      <c r="W26" s="3213"/>
      <c r="X26" s="3213"/>
      <c r="Y26" s="3213"/>
      <c r="Z26" s="3213"/>
      <c r="AA26" s="3213"/>
      <c r="AB26" s="3213"/>
      <c r="AC26" s="3194">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64">
        <f t="shared" si="37"/>
        <v>0</v>
      </c>
      <c r="AW26" s="464">
        <f t="shared" si="38"/>
        <v>0</v>
      </c>
      <c r="AX26" s="464">
        <f t="shared" si="39"/>
        <v>0</v>
      </c>
      <c r="AY26" s="3261">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6">
        <f t="shared" si="61"/>
        <v>0</v>
      </c>
    </row>
    <row r="27" spans="1:72">
      <c r="A27" s="3192"/>
      <c r="B27" s="3200"/>
      <c r="C27" s="3199"/>
      <c r="D27" s="3188"/>
      <c r="E27" s="3194">
        <f t="shared" si="33"/>
        <v>0</v>
      </c>
      <c r="F27" s="3195"/>
      <c r="G27" s="3196">
        <f t="shared" si="34"/>
        <v>0</v>
      </c>
      <c r="H27" s="3197">
        <f t="shared" si="35"/>
        <v>0</v>
      </c>
      <c r="I27" s="3202"/>
      <c r="J27" s="3213"/>
      <c r="K27" s="3202"/>
      <c r="L27" s="3213"/>
      <c r="M27" s="3213"/>
      <c r="N27" s="3213"/>
      <c r="O27" s="3213"/>
      <c r="P27" s="3213"/>
      <c r="Q27" s="3213"/>
      <c r="R27" s="3213"/>
      <c r="S27" s="3213"/>
      <c r="T27" s="3213"/>
      <c r="U27" s="3213"/>
      <c r="V27" s="3213"/>
      <c r="W27" s="3213"/>
      <c r="X27" s="3213"/>
      <c r="Y27" s="3213"/>
      <c r="Z27" s="3213"/>
      <c r="AA27" s="3213"/>
      <c r="AB27" s="3213"/>
      <c r="AC27" s="3194">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64">
        <f t="shared" si="37"/>
        <v>0</v>
      </c>
      <c r="AW27" s="464">
        <f t="shared" si="38"/>
        <v>0</v>
      </c>
      <c r="AX27" s="464">
        <f t="shared" si="39"/>
        <v>0</v>
      </c>
      <c r="AY27" s="3261">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6">
        <f t="shared" si="61"/>
        <v>0</v>
      </c>
    </row>
    <row r="28" spans="1:72">
      <c r="A28" s="3192"/>
      <c r="B28" s="3200"/>
      <c r="C28" s="3199"/>
      <c r="D28" s="3188"/>
      <c r="E28" s="3194">
        <f t="shared" si="33"/>
        <v>0</v>
      </c>
      <c r="F28" s="3195"/>
      <c r="G28" s="3196">
        <f t="shared" si="34"/>
        <v>0</v>
      </c>
      <c r="H28" s="3197">
        <f t="shared" si="35"/>
        <v>0</v>
      </c>
      <c r="I28" s="3202"/>
      <c r="J28" s="3213"/>
      <c r="K28" s="3202"/>
      <c r="L28" s="3213"/>
      <c r="M28" s="3213"/>
      <c r="N28" s="3213"/>
      <c r="O28" s="3213"/>
      <c r="P28" s="3213"/>
      <c r="Q28" s="3213"/>
      <c r="R28" s="3213"/>
      <c r="S28" s="3213"/>
      <c r="T28" s="3213"/>
      <c r="U28" s="3213"/>
      <c r="V28" s="3213"/>
      <c r="W28" s="3213"/>
      <c r="X28" s="3213"/>
      <c r="Y28" s="3213"/>
      <c r="Z28" s="3213"/>
      <c r="AA28" s="3213"/>
      <c r="AB28" s="3213"/>
      <c r="AC28" s="3194">
        <f t="shared" si="36"/>
        <v>0</v>
      </c>
      <c r="AD28" s="3224"/>
      <c r="AE28" s="3224"/>
      <c r="AF28" s="3202"/>
      <c r="AG28" s="3224"/>
      <c r="AH28" s="3224"/>
      <c r="AI28" s="3224"/>
      <c r="AJ28" s="3224"/>
      <c r="AK28" s="3224"/>
      <c r="AL28" s="3224"/>
      <c r="AM28" s="3224"/>
      <c r="AN28" s="3224"/>
      <c r="AO28" s="3224"/>
      <c r="AP28" s="3224"/>
      <c r="AQ28" s="3224"/>
      <c r="AR28" s="3224"/>
      <c r="AS28" s="3224"/>
      <c r="AT28" s="3244"/>
      <c r="AU28" s="3245"/>
      <c r="AV28" s="464">
        <f t="shared" si="37"/>
        <v>0</v>
      </c>
      <c r="AW28" s="464">
        <f t="shared" si="38"/>
        <v>0</v>
      </c>
      <c r="AX28" s="464">
        <f t="shared" si="39"/>
        <v>0</v>
      </c>
      <c r="AY28" s="3261">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6">
        <f t="shared" si="61"/>
        <v>0</v>
      </c>
    </row>
    <row r="29" spans="1:72">
      <c r="A29" s="3192"/>
      <c r="B29" s="3201"/>
      <c r="C29" s="3202"/>
      <c r="D29" s="3188"/>
      <c r="E29" s="3194">
        <f t="shared" si="33"/>
        <v>0</v>
      </c>
      <c r="F29" s="3195"/>
      <c r="G29" s="3196">
        <f t="shared" si="34"/>
        <v>0</v>
      </c>
      <c r="H29" s="3197">
        <f t="shared" si="35"/>
        <v>0</v>
      </c>
      <c r="I29" s="3202"/>
      <c r="J29" s="3213"/>
      <c r="K29" s="3202"/>
      <c r="L29" s="3213"/>
      <c r="M29" s="3213"/>
      <c r="N29" s="3213"/>
      <c r="O29" s="3213"/>
      <c r="P29" s="3213"/>
      <c r="Q29" s="3213"/>
      <c r="R29" s="3213"/>
      <c r="S29" s="3213"/>
      <c r="T29" s="3213"/>
      <c r="U29" s="3213"/>
      <c r="V29" s="3213"/>
      <c r="W29" s="3213"/>
      <c r="X29" s="3213"/>
      <c r="Y29" s="3213"/>
      <c r="Z29" s="3213"/>
      <c r="AA29" s="3213"/>
      <c r="AB29" s="3213"/>
      <c r="AC29" s="3194">
        <f t="shared" si="36"/>
        <v>0</v>
      </c>
      <c r="AD29" s="3224"/>
      <c r="AE29" s="3224"/>
      <c r="AF29" s="3202"/>
      <c r="AG29" s="3224"/>
      <c r="AH29" s="3224"/>
      <c r="AI29" s="3224"/>
      <c r="AJ29" s="3224"/>
      <c r="AK29" s="3224"/>
      <c r="AL29" s="3224"/>
      <c r="AM29" s="3224"/>
      <c r="AN29" s="3224"/>
      <c r="AO29" s="3224"/>
      <c r="AP29" s="3224"/>
      <c r="AQ29" s="3224"/>
      <c r="AR29" s="3224"/>
      <c r="AS29" s="3224"/>
      <c r="AT29" s="3244"/>
      <c r="AU29" s="3245"/>
      <c r="AV29" s="464">
        <f t="shared" si="37"/>
        <v>0</v>
      </c>
      <c r="AW29" s="464">
        <f t="shared" si="38"/>
        <v>0</v>
      </c>
      <c r="AX29" s="464">
        <f t="shared" si="39"/>
        <v>0</v>
      </c>
      <c r="AY29" s="3261">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6">
        <f t="shared" si="61"/>
        <v>0</v>
      </c>
    </row>
    <row r="30" spans="1:72">
      <c r="A30" s="3192"/>
      <c r="B30" s="3200"/>
      <c r="C30" s="3199"/>
      <c r="D30" s="3188"/>
      <c r="E30" s="3194">
        <f t="shared" si="33"/>
        <v>0</v>
      </c>
      <c r="F30" s="3195"/>
      <c r="G30" s="3196">
        <f t="shared" si="34"/>
        <v>0</v>
      </c>
      <c r="H30" s="3197">
        <f t="shared" si="35"/>
        <v>0</v>
      </c>
      <c r="I30" s="3202"/>
      <c r="J30" s="3213"/>
      <c r="K30" s="3202"/>
      <c r="L30" s="3213"/>
      <c r="M30" s="3213"/>
      <c r="N30" s="3213"/>
      <c r="O30" s="3213"/>
      <c r="P30" s="3213"/>
      <c r="Q30" s="3213"/>
      <c r="R30" s="3213"/>
      <c r="S30" s="3213"/>
      <c r="T30" s="3213"/>
      <c r="U30" s="3213"/>
      <c r="V30" s="3213"/>
      <c r="W30" s="3213"/>
      <c r="X30" s="3213"/>
      <c r="Y30" s="3213"/>
      <c r="Z30" s="3213"/>
      <c r="AA30" s="3213"/>
      <c r="AB30" s="3213"/>
      <c r="AC30" s="3194">
        <f t="shared" si="36"/>
        <v>0</v>
      </c>
      <c r="AD30" s="3224"/>
      <c r="AE30" s="3224"/>
      <c r="AF30" s="3202"/>
      <c r="AG30" s="3224"/>
      <c r="AH30" s="3224"/>
      <c r="AI30" s="3224"/>
      <c r="AJ30" s="3224"/>
      <c r="AK30" s="3224"/>
      <c r="AL30" s="3224"/>
      <c r="AM30" s="3224"/>
      <c r="AN30" s="3224"/>
      <c r="AO30" s="3224"/>
      <c r="AP30" s="3224"/>
      <c r="AQ30" s="3224"/>
      <c r="AR30" s="3224"/>
      <c r="AS30" s="3224"/>
      <c r="AT30" s="3244"/>
      <c r="AU30" s="3245"/>
      <c r="AV30" s="464">
        <f t="shared" si="37"/>
        <v>0</v>
      </c>
      <c r="AW30" s="464">
        <f t="shared" si="38"/>
        <v>0</v>
      </c>
      <c r="AX30" s="464">
        <f t="shared" si="39"/>
        <v>0</v>
      </c>
      <c r="AY30" s="3261">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6">
        <f t="shared" si="61"/>
        <v>0</v>
      </c>
    </row>
    <row r="31" spans="1:72">
      <c r="A31" s="3192"/>
      <c r="B31" s="3200"/>
      <c r="C31" s="3199"/>
      <c r="D31" s="3188"/>
      <c r="E31" s="3194">
        <f t="shared" si="33"/>
        <v>0</v>
      </c>
      <c r="F31" s="3195"/>
      <c r="G31" s="3196">
        <f t="shared" si="34"/>
        <v>0</v>
      </c>
      <c r="H31" s="3197">
        <f t="shared" si="35"/>
        <v>0</v>
      </c>
      <c r="I31" s="3202"/>
      <c r="J31" s="3213"/>
      <c r="K31" s="3202"/>
      <c r="L31" s="3213"/>
      <c r="M31" s="3213"/>
      <c r="N31" s="3213"/>
      <c r="O31" s="3213"/>
      <c r="P31" s="3213"/>
      <c r="Q31" s="3213"/>
      <c r="R31" s="3213"/>
      <c r="S31" s="3213"/>
      <c r="T31" s="3213"/>
      <c r="U31" s="3213"/>
      <c r="V31" s="3213"/>
      <c r="W31" s="3213"/>
      <c r="X31" s="3213"/>
      <c r="Y31" s="3213"/>
      <c r="Z31" s="3213"/>
      <c r="AA31" s="3213"/>
      <c r="AB31" s="3213"/>
      <c r="AC31" s="3194">
        <f t="shared" si="36"/>
        <v>0</v>
      </c>
      <c r="AD31" s="3224"/>
      <c r="AE31" s="3224"/>
      <c r="AF31" s="3202"/>
      <c r="AG31" s="3224"/>
      <c r="AH31" s="3224"/>
      <c r="AI31" s="3224"/>
      <c r="AJ31" s="3224"/>
      <c r="AK31" s="3224"/>
      <c r="AL31" s="3224"/>
      <c r="AM31" s="3224"/>
      <c r="AN31" s="3224"/>
      <c r="AO31" s="3224"/>
      <c r="AP31" s="3224"/>
      <c r="AQ31" s="3224"/>
      <c r="AR31" s="3224"/>
      <c r="AS31" s="3224"/>
      <c r="AT31" s="3244"/>
      <c r="AU31" s="3245"/>
      <c r="AV31" s="464">
        <f t="shared" si="37"/>
        <v>0</v>
      </c>
      <c r="AW31" s="464">
        <f t="shared" si="38"/>
        <v>0</v>
      </c>
      <c r="AX31" s="464">
        <f t="shared" si="39"/>
        <v>0</v>
      </c>
      <c r="AY31" s="3261">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6">
        <f t="shared" si="61"/>
        <v>0</v>
      </c>
    </row>
    <row r="32" spans="1:72">
      <c r="A32" s="3192"/>
      <c r="B32" s="3200"/>
      <c r="C32" s="3199"/>
      <c r="D32" s="3188"/>
      <c r="E32" s="3194">
        <f t="shared" si="33"/>
        <v>0</v>
      </c>
      <c r="F32" s="3195"/>
      <c r="G32" s="3196">
        <f t="shared" si="34"/>
        <v>0</v>
      </c>
      <c r="H32" s="3197">
        <f t="shared" si="35"/>
        <v>0</v>
      </c>
      <c r="I32" s="3202"/>
      <c r="J32" s="3213"/>
      <c r="K32" s="3202"/>
      <c r="L32" s="3213"/>
      <c r="M32" s="3213"/>
      <c r="N32" s="3213"/>
      <c r="O32" s="3213"/>
      <c r="P32" s="3213"/>
      <c r="Q32" s="3213"/>
      <c r="R32" s="3213"/>
      <c r="S32" s="3213"/>
      <c r="T32" s="3213"/>
      <c r="U32" s="3213"/>
      <c r="V32" s="3213"/>
      <c r="W32" s="3213"/>
      <c r="X32" s="3213"/>
      <c r="Y32" s="3213"/>
      <c r="Z32" s="3213"/>
      <c r="AA32" s="3213"/>
      <c r="AB32" s="3213"/>
      <c r="AC32" s="3194">
        <f t="shared" si="36"/>
        <v>0</v>
      </c>
      <c r="AD32" s="3224"/>
      <c r="AE32" s="3224"/>
      <c r="AF32" s="3202"/>
      <c r="AG32" s="3224"/>
      <c r="AH32" s="3224"/>
      <c r="AI32" s="3224"/>
      <c r="AJ32" s="3224"/>
      <c r="AK32" s="3224"/>
      <c r="AL32" s="3224"/>
      <c r="AM32" s="3224"/>
      <c r="AN32" s="3224"/>
      <c r="AO32" s="3224"/>
      <c r="AP32" s="3224"/>
      <c r="AQ32" s="3224"/>
      <c r="AR32" s="3224"/>
      <c r="AS32" s="3224"/>
      <c r="AT32" s="3244"/>
      <c r="AU32" s="3245"/>
      <c r="AV32" s="464">
        <f t="shared" si="37"/>
        <v>0</v>
      </c>
      <c r="AW32" s="464">
        <f t="shared" si="38"/>
        <v>0</v>
      </c>
      <c r="AX32" s="464">
        <f t="shared" si="39"/>
        <v>0</v>
      </c>
      <c r="AY32" s="3261">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6">
        <f t="shared" si="61"/>
        <v>0</v>
      </c>
    </row>
    <row r="33" spans="1:72">
      <c r="A33" s="3192"/>
      <c r="B33" s="3200"/>
      <c r="C33" s="3199"/>
      <c r="D33" s="3188"/>
      <c r="E33" s="3194">
        <f t="shared" si="33"/>
        <v>0</v>
      </c>
      <c r="F33" s="3195"/>
      <c r="G33" s="3196">
        <f t="shared" si="34"/>
        <v>0</v>
      </c>
      <c r="H33" s="3197">
        <f t="shared" si="35"/>
        <v>0</v>
      </c>
      <c r="I33" s="3202"/>
      <c r="J33" s="3213"/>
      <c r="K33" s="3202"/>
      <c r="L33" s="3213"/>
      <c r="M33" s="3213"/>
      <c r="N33" s="3213"/>
      <c r="O33" s="3213"/>
      <c r="P33" s="3213"/>
      <c r="Q33" s="3213"/>
      <c r="R33" s="3213"/>
      <c r="S33" s="3213"/>
      <c r="T33" s="3213"/>
      <c r="U33" s="3213"/>
      <c r="V33" s="3213"/>
      <c r="W33" s="3213"/>
      <c r="X33" s="3213"/>
      <c r="Y33" s="3213"/>
      <c r="Z33" s="3213"/>
      <c r="AA33" s="3213"/>
      <c r="AB33" s="3213"/>
      <c r="AC33" s="3194">
        <f t="shared" si="36"/>
        <v>0</v>
      </c>
      <c r="AD33" s="3224"/>
      <c r="AE33" s="3224"/>
      <c r="AF33" s="3202"/>
      <c r="AG33" s="3224"/>
      <c r="AH33" s="3224"/>
      <c r="AI33" s="3224"/>
      <c r="AJ33" s="3224"/>
      <c r="AK33" s="3224"/>
      <c r="AL33" s="3224"/>
      <c r="AM33" s="3224"/>
      <c r="AN33" s="3224"/>
      <c r="AO33" s="3224"/>
      <c r="AP33" s="3224"/>
      <c r="AQ33" s="3224"/>
      <c r="AR33" s="3224"/>
      <c r="AS33" s="3224"/>
      <c r="AT33" s="3244"/>
      <c r="AU33" s="3245"/>
      <c r="AV33" s="464">
        <f t="shared" si="37"/>
        <v>0</v>
      </c>
      <c r="AW33" s="464">
        <f t="shared" si="38"/>
        <v>0</v>
      </c>
      <c r="AX33" s="464">
        <f t="shared" si="39"/>
        <v>0</v>
      </c>
      <c r="AY33" s="3261">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6">
        <f t="shared" si="61"/>
        <v>0</v>
      </c>
    </row>
    <row r="34" spans="1:72">
      <c r="A34" s="3192"/>
      <c r="B34" s="3200"/>
      <c r="C34" s="3199"/>
      <c r="D34" s="3188"/>
      <c r="E34" s="3194">
        <f t="shared" si="33"/>
        <v>0</v>
      </c>
      <c r="F34" s="3195"/>
      <c r="G34" s="3196">
        <f t="shared" si="34"/>
        <v>0</v>
      </c>
      <c r="H34" s="3197">
        <f t="shared" si="35"/>
        <v>0</v>
      </c>
      <c r="I34" s="3202"/>
      <c r="J34" s="3213"/>
      <c r="K34" s="3202"/>
      <c r="L34" s="3213"/>
      <c r="M34" s="3213"/>
      <c r="N34" s="3213"/>
      <c r="O34" s="3213"/>
      <c r="P34" s="3213"/>
      <c r="Q34" s="3213"/>
      <c r="R34" s="3213"/>
      <c r="S34" s="3213"/>
      <c r="T34" s="3213"/>
      <c r="U34" s="3213"/>
      <c r="V34" s="3213"/>
      <c r="W34" s="3213"/>
      <c r="X34" s="3213"/>
      <c r="Y34" s="3213"/>
      <c r="Z34" s="3213"/>
      <c r="AA34" s="3213"/>
      <c r="AB34" s="3213"/>
      <c r="AC34" s="3194">
        <f t="shared" si="36"/>
        <v>0</v>
      </c>
      <c r="AD34" s="3224"/>
      <c r="AE34" s="3224"/>
      <c r="AF34" s="3202"/>
      <c r="AG34" s="3224"/>
      <c r="AH34" s="3224"/>
      <c r="AI34" s="3224"/>
      <c r="AJ34" s="3224"/>
      <c r="AK34" s="3224"/>
      <c r="AL34" s="3224"/>
      <c r="AM34" s="3224"/>
      <c r="AN34" s="3224"/>
      <c r="AO34" s="3224"/>
      <c r="AP34" s="3224"/>
      <c r="AQ34" s="3224"/>
      <c r="AR34" s="3224"/>
      <c r="AS34" s="3224"/>
      <c r="AT34" s="3244"/>
      <c r="AU34" s="3245"/>
      <c r="AV34" s="464">
        <f t="shared" si="37"/>
        <v>0</v>
      </c>
      <c r="AW34" s="464">
        <f t="shared" si="38"/>
        <v>0</v>
      </c>
      <c r="AX34" s="464">
        <f t="shared" si="39"/>
        <v>0</v>
      </c>
      <c r="AY34" s="3261">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6">
        <f t="shared" si="61"/>
        <v>0</v>
      </c>
    </row>
    <row r="35" spans="1:72">
      <c r="A35" s="3192"/>
      <c r="B35" s="3200"/>
      <c r="C35" s="3199"/>
      <c r="D35" s="3188"/>
      <c r="E35" s="3194">
        <f t="shared" si="33"/>
        <v>0</v>
      </c>
      <c r="F35" s="3195"/>
      <c r="G35" s="3196">
        <f t="shared" si="34"/>
        <v>0</v>
      </c>
      <c r="H35" s="3197">
        <f t="shared" si="35"/>
        <v>0</v>
      </c>
      <c r="I35" s="3202"/>
      <c r="J35" s="3213"/>
      <c r="K35" s="3202"/>
      <c r="L35" s="3213"/>
      <c r="M35" s="3213"/>
      <c r="N35" s="3213"/>
      <c r="O35" s="3213"/>
      <c r="P35" s="3213"/>
      <c r="Q35" s="3213"/>
      <c r="R35" s="3213"/>
      <c r="S35" s="3213"/>
      <c r="T35" s="3213"/>
      <c r="U35" s="3213"/>
      <c r="V35" s="3213"/>
      <c r="W35" s="3213"/>
      <c r="X35" s="3213"/>
      <c r="Y35" s="3213"/>
      <c r="Z35" s="3213"/>
      <c r="AA35" s="3213"/>
      <c r="AB35" s="3213"/>
      <c r="AC35" s="3194">
        <f t="shared" si="36"/>
        <v>0</v>
      </c>
      <c r="AD35" s="3224"/>
      <c r="AE35" s="3224"/>
      <c r="AF35" s="3202"/>
      <c r="AG35" s="3224"/>
      <c r="AH35" s="3224"/>
      <c r="AI35" s="3224"/>
      <c r="AJ35" s="3224"/>
      <c r="AK35" s="3224"/>
      <c r="AL35" s="3224"/>
      <c r="AM35" s="3224"/>
      <c r="AN35" s="3224"/>
      <c r="AO35" s="3224"/>
      <c r="AP35" s="3224"/>
      <c r="AQ35" s="3224"/>
      <c r="AR35" s="3224"/>
      <c r="AS35" s="3224"/>
      <c r="AT35" s="3244"/>
      <c r="AU35" s="3245"/>
      <c r="AV35" s="464">
        <f t="shared" si="37"/>
        <v>0</v>
      </c>
      <c r="AW35" s="464">
        <f t="shared" si="38"/>
        <v>0</v>
      </c>
      <c r="AX35" s="464">
        <f t="shared" si="39"/>
        <v>0</v>
      </c>
      <c r="AY35" s="3261">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6">
        <f t="shared" si="61"/>
        <v>0</v>
      </c>
    </row>
    <row r="36" spans="1:72">
      <c r="A36" s="3192"/>
      <c r="B36" s="3200"/>
      <c r="C36" s="3199"/>
      <c r="D36" s="3188"/>
      <c r="E36" s="3194">
        <f t="shared" si="33"/>
        <v>0</v>
      </c>
      <c r="F36" s="3195"/>
      <c r="G36" s="3196">
        <f t="shared" si="34"/>
        <v>0</v>
      </c>
      <c r="H36" s="3197">
        <f t="shared" si="35"/>
        <v>0</v>
      </c>
      <c r="I36" s="3202"/>
      <c r="J36" s="3213"/>
      <c r="K36" s="3202"/>
      <c r="L36" s="3213"/>
      <c r="M36" s="3213"/>
      <c r="N36" s="3213"/>
      <c r="O36" s="3213"/>
      <c r="P36" s="3213"/>
      <c r="Q36" s="3213"/>
      <c r="R36" s="3213"/>
      <c r="S36" s="3213"/>
      <c r="T36" s="3213"/>
      <c r="U36" s="3213"/>
      <c r="V36" s="3213"/>
      <c r="W36" s="3213"/>
      <c r="X36" s="3213"/>
      <c r="Y36" s="3213"/>
      <c r="Z36" s="3213"/>
      <c r="AA36" s="3213"/>
      <c r="AB36" s="3213"/>
      <c r="AC36" s="3194">
        <f t="shared" si="36"/>
        <v>0</v>
      </c>
      <c r="AD36" s="3224"/>
      <c r="AE36" s="3224"/>
      <c r="AF36" s="3202"/>
      <c r="AG36" s="3224"/>
      <c r="AH36" s="3224"/>
      <c r="AI36" s="3224"/>
      <c r="AJ36" s="3224"/>
      <c r="AK36" s="3224"/>
      <c r="AL36" s="3224"/>
      <c r="AM36" s="3224"/>
      <c r="AN36" s="3224"/>
      <c r="AO36" s="3224"/>
      <c r="AP36" s="3224"/>
      <c r="AQ36" s="3224"/>
      <c r="AR36" s="3224"/>
      <c r="AS36" s="3224"/>
      <c r="AT36" s="3244"/>
      <c r="AU36" s="3245"/>
      <c r="AV36" s="464">
        <f t="shared" si="37"/>
        <v>0</v>
      </c>
      <c r="AW36" s="464">
        <f t="shared" si="38"/>
        <v>0</v>
      </c>
      <c r="AX36" s="464">
        <f t="shared" si="39"/>
        <v>0</v>
      </c>
      <c r="AY36" s="3261">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6">
        <f t="shared" si="61"/>
        <v>0</v>
      </c>
    </row>
    <row r="37" spans="1:72">
      <c r="A37" s="3192"/>
      <c r="B37" s="3200"/>
      <c r="C37" s="3199"/>
      <c r="D37" s="3188"/>
      <c r="E37" s="3194">
        <f t="shared" si="33"/>
        <v>0</v>
      </c>
      <c r="F37" s="3195"/>
      <c r="G37" s="3196">
        <f t="shared" si="34"/>
        <v>0</v>
      </c>
      <c r="H37" s="3197">
        <f t="shared" si="35"/>
        <v>0</v>
      </c>
      <c r="I37" s="3202"/>
      <c r="J37" s="3213"/>
      <c r="K37" s="3202"/>
      <c r="L37" s="3213"/>
      <c r="M37" s="3213"/>
      <c r="N37" s="3213"/>
      <c r="O37" s="3213"/>
      <c r="P37" s="3213"/>
      <c r="Q37" s="3213"/>
      <c r="R37" s="3213"/>
      <c r="S37" s="3213"/>
      <c r="T37" s="3213"/>
      <c r="U37" s="3213"/>
      <c r="V37" s="3213"/>
      <c r="W37" s="3213"/>
      <c r="X37" s="3213"/>
      <c r="Y37" s="3213"/>
      <c r="Z37" s="3213"/>
      <c r="AA37" s="3213"/>
      <c r="AB37" s="3213"/>
      <c r="AC37" s="3194">
        <f t="shared" si="36"/>
        <v>0</v>
      </c>
      <c r="AD37" s="3224"/>
      <c r="AE37" s="3224"/>
      <c r="AF37" s="3202"/>
      <c r="AG37" s="3224"/>
      <c r="AH37" s="3224"/>
      <c r="AI37" s="3224"/>
      <c r="AJ37" s="3224"/>
      <c r="AK37" s="3224"/>
      <c r="AL37" s="3224"/>
      <c r="AM37" s="3224"/>
      <c r="AN37" s="3224"/>
      <c r="AO37" s="3224"/>
      <c r="AP37" s="3224"/>
      <c r="AQ37" s="3224"/>
      <c r="AR37" s="3224"/>
      <c r="AS37" s="3224"/>
      <c r="AT37" s="3244"/>
      <c r="AU37" s="3245"/>
      <c r="AV37" s="464">
        <f t="shared" si="37"/>
        <v>0</v>
      </c>
      <c r="AW37" s="464">
        <f t="shared" si="38"/>
        <v>0</v>
      </c>
      <c r="AX37" s="464">
        <f t="shared" si="39"/>
        <v>0</v>
      </c>
      <c r="AY37" s="3261">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6">
        <f t="shared" si="61"/>
        <v>0</v>
      </c>
    </row>
    <row r="38" spans="1:72">
      <c r="A38" s="3192"/>
      <c r="B38" s="3200"/>
      <c r="C38" s="3199"/>
      <c r="D38" s="3188"/>
      <c r="E38" s="3194">
        <f t="shared" si="33"/>
        <v>0</v>
      </c>
      <c r="F38" s="3195"/>
      <c r="G38" s="3196">
        <f t="shared" si="34"/>
        <v>0</v>
      </c>
      <c r="H38" s="3197">
        <f t="shared" si="35"/>
        <v>0</v>
      </c>
      <c r="I38" s="3202"/>
      <c r="J38" s="3213"/>
      <c r="K38" s="3202"/>
      <c r="L38" s="3213"/>
      <c r="M38" s="3213"/>
      <c r="N38" s="3213"/>
      <c r="O38" s="3213"/>
      <c r="P38" s="3213"/>
      <c r="Q38" s="3213"/>
      <c r="R38" s="3213"/>
      <c r="S38" s="3213"/>
      <c r="T38" s="3213"/>
      <c r="U38" s="3213"/>
      <c r="V38" s="3213"/>
      <c r="W38" s="3213"/>
      <c r="X38" s="3213"/>
      <c r="Y38" s="3213"/>
      <c r="Z38" s="3213"/>
      <c r="AA38" s="3213"/>
      <c r="AB38" s="3213"/>
      <c r="AC38" s="3194">
        <f t="shared" si="36"/>
        <v>0</v>
      </c>
      <c r="AD38" s="3224"/>
      <c r="AE38" s="3224"/>
      <c r="AF38" s="3202"/>
      <c r="AG38" s="3224"/>
      <c r="AH38" s="3224"/>
      <c r="AI38" s="3224"/>
      <c r="AJ38" s="3224"/>
      <c r="AK38" s="3224"/>
      <c r="AL38" s="3224"/>
      <c r="AM38" s="3224"/>
      <c r="AN38" s="3224"/>
      <c r="AO38" s="3224"/>
      <c r="AP38" s="3224"/>
      <c r="AQ38" s="3224"/>
      <c r="AR38" s="3224"/>
      <c r="AS38" s="3224"/>
      <c r="AT38" s="3244"/>
      <c r="AU38" s="3245"/>
      <c r="AV38" s="464">
        <f t="shared" si="37"/>
        <v>0</v>
      </c>
      <c r="AW38" s="464">
        <f t="shared" si="38"/>
        <v>0</v>
      </c>
      <c r="AX38" s="464">
        <f t="shared" si="39"/>
        <v>0</v>
      </c>
      <c r="AY38" s="3261">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6">
        <f t="shared" si="61"/>
        <v>0</v>
      </c>
    </row>
    <row r="39" spans="1:72">
      <c r="A39" s="3192"/>
      <c r="B39" s="3200"/>
      <c r="C39" s="3199"/>
      <c r="D39" s="3188"/>
      <c r="E39" s="3194">
        <f t="shared" si="33"/>
        <v>0</v>
      </c>
      <c r="F39" s="3195"/>
      <c r="G39" s="3196">
        <f t="shared" si="34"/>
        <v>0</v>
      </c>
      <c r="H39" s="3197">
        <f t="shared" si="35"/>
        <v>0</v>
      </c>
      <c r="I39" s="3202"/>
      <c r="J39" s="3213"/>
      <c r="K39" s="3202"/>
      <c r="L39" s="3213"/>
      <c r="M39" s="3213"/>
      <c r="N39" s="3213"/>
      <c r="O39" s="3213"/>
      <c r="P39" s="3213"/>
      <c r="Q39" s="3213"/>
      <c r="R39" s="3213"/>
      <c r="S39" s="3213"/>
      <c r="T39" s="3213"/>
      <c r="U39" s="3213"/>
      <c r="V39" s="3213"/>
      <c r="W39" s="3213"/>
      <c r="X39" s="3213"/>
      <c r="Y39" s="3213"/>
      <c r="Z39" s="3213"/>
      <c r="AA39" s="3213"/>
      <c r="AB39" s="3213"/>
      <c r="AC39" s="3194">
        <f t="shared" si="36"/>
        <v>0</v>
      </c>
      <c r="AD39" s="3224"/>
      <c r="AE39" s="3224"/>
      <c r="AF39" s="3202"/>
      <c r="AG39" s="3224"/>
      <c r="AH39" s="3224"/>
      <c r="AI39" s="3224"/>
      <c r="AJ39" s="3224"/>
      <c r="AK39" s="3224"/>
      <c r="AL39" s="3224"/>
      <c r="AM39" s="3224"/>
      <c r="AN39" s="3224"/>
      <c r="AO39" s="3224"/>
      <c r="AP39" s="3224"/>
      <c r="AQ39" s="3224"/>
      <c r="AR39" s="3224"/>
      <c r="AS39" s="3224"/>
      <c r="AT39" s="3244"/>
      <c r="AU39" s="3245"/>
      <c r="AV39" s="464">
        <f t="shared" si="37"/>
        <v>0</v>
      </c>
      <c r="AW39" s="464">
        <f t="shared" si="38"/>
        <v>0</v>
      </c>
      <c r="AX39" s="464">
        <f t="shared" si="39"/>
        <v>0</v>
      </c>
      <c r="AY39" s="3261">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6">
        <f t="shared" si="61"/>
        <v>0</v>
      </c>
    </row>
    <row r="40" spans="1:72">
      <c r="A40" s="3192"/>
      <c r="B40" s="3200"/>
      <c r="C40" s="3199"/>
      <c r="D40" s="3188"/>
      <c r="E40" s="3194">
        <f t="shared" si="33"/>
        <v>0</v>
      </c>
      <c r="F40" s="3195"/>
      <c r="G40" s="3196">
        <f t="shared" si="34"/>
        <v>0</v>
      </c>
      <c r="H40" s="3197">
        <f t="shared" si="35"/>
        <v>0</v>
      </c>
      <c r="I40" s="3202"/>
      <c r="J40" s="3213"/>
      <c r="K40" s="3202"/>
      <c r="L40" s="3213"/>
      <c r="M40" s="3213"/>
      <c r="N40" s="3213"/>
      <c r="O40" s="3213"/>
      <c r="P40" s="3213"/>
      <c r="Q40" s="3213"/>
      <c r="R40" s="3213"/>
      <c r="S40" s="3213"/>
      <c r="T40" s="3213"/>
      <c r="U40" s="3213"/>
      <c r="V40" s="3213"/>
      <c r="W40" s="3213"/>
      <c r="X40" s="3213"/>
      <c r="Y40" s="3213"/>
      <c r="Z40" s="3213"/>
      <c r="AA40" s="3213"/>
      <c r="AB40" s="3213"/>
      <c r="AC40" s="3194">
        <f t="shared" si="36"/>
        <v>0</v>
      </c>
      <c r="AD40" s="3224"/>
      <c r="AE40" s="3224"/>
      <c r="AF40" s="3202"/>
      <c r="AG40" s="3224"/>
      <c r="AH40" s="3224"/>
      <c r="AI40" s="3224"/>
      <c r="AJ40" s="3224"/>
      <c r="AK40" s="3224"/>
      <c r="AL40" s="3224"/>
      <c r="AM40" s="3224"/>
      <c r="AN40" s="3224"/>
      <c r="AO40" s="3224"/>
      <c r="AP40" s="3224"/>
      <c r="AQ40" s="3224"/>
      <c r="AR40" s="3224"/>
      <c r="AS40" s="3224"/>
      <c r="AT40" s="3244"/>
      <c r="AU40" s="3245"/>
      <c r="AV40" s="464">
        <f t="shared" si="37"/>
        <v>0</v>
      </c>
      <c r="AW40" s="464">
        <f t="shared" si="38"/>
        <v>0</v>
      </c>
      <c r="AX40" s="464">
        <f t="shared" si="39"/>
        <v>0</v>
      </c>
      <c r="AY40" s="3261">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6">
        <f t="shared" si="61"/>
        <v>0</v>
      </c>
    </row>
    <row r="41" spans="1:72">
      <c r="A41" s="3192"/>
      <c r="B41" s="3200"/>
      <c r="C41" s="3199"/>
      <c r="D41" s="3188"/>
      <c r="E41" s="3194">
        <f t="shared" si="33"/>
        <v>0</v>
      </c>
      <c r="F41" s="3195"/>
      <c r="G41" s="3196">
        <f t="shared" si="34"/>
        <v>0</v>
      </c>
      <c r="H41" s="3197">
        <f t="shared" si="35"/>
        <v>0</v>
      </c>
      <c r="I41" s="3202"/>
      <c r="J41" s="3213"/>
      <c r="K41" s="3202"/>
      <c r="L41" s="3213"/>
      <c r="M41" s="3213"/>
      <c r="N41" s="3213"/>
      <c r="O41" s="3213"/>
      <c r="P41" s="3213"/>
      <c r="Q41" s="3213"/>
      <c r="R41" s="3213"/>
      <c r="S41" s="3213"/>
      <c r="T41" s="3213"/>
      <c r="U41" s="3213"/>
      <c r="V41" s="3213"/>
      <c r="W41" s="3213"/>
      <c r="X41" s="3213"/>
      <c r="Y41" s="3213"/>
      <c r="Z41" s="3213"/>
      <c r="AA41" s="3213"/>
      <c r="AB41" s="3213"/>
      <c r="AC41" s="3194">
        <f t="shared" si="36"/>
        <v>0</v>
      </c>
      <c r="AD41" s="3224"/>
      <c r="AE41" s="3224"/>
      <c r="AF41" s="3202"/>
      <c r="AG41" s="3224"/>
      <c r="AH41" s="3224"/>
      <c r="AI41" s="3224"/>
      <c r="AJ41" s="3224"/>
      <c r="AK41" s="3224"/>
      <c r="AL41" s="3224"/>
      <c r="AM41" s="3224"/>
      <c r="AN41" s="3224"/>
      <c r="AO41" s="3224"/>
      <c r="AP41" s="3224"/>
      <c r="AQ41" s="3224"/>
      <c r="AR41" s="3224"/>
      <c r="AS41" s="3224"/>
      <c r="AT41" s="3244"/>
      <c r="AU41" s="3245"/>
      <c r="AV41" s="464">
        <f t="shared" si="37"/>
        <v>0</v>
      </c>
      <c r="AW41" s="464">
        <f t="shared" si="38"/>
        <v>0</v>
      </c>
      <c r="AX41" s="464">
        <f t="shared" si="39"/>
        <v>0</v>
      </c>
      <c r="AY41" s="3261">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6">
        <f t="shared" si="61"/>
        <v>0</v>
      </c>
    </row>
    <row r="42" spans="1:72">
      <c r="A42" s="3192"/>
      <c r="B42" s="3200"/>
      <c r="C42" s="3199"/>
      <c r="D42" s="3188"/>
      <c r="E42" s="3194">
        <f t="shared" si="33"/>
        <v>0</v>
      </c>
      <c r="F42" s="3195"/>
      <c r="G42" s="3196">
        <f t="shared" si="34"/>
        <v>0</v>
      </c>
      <c r="H42" s="3197">
        <f t="shared" si="35"/>
        <v>0</v>
      </c>
      <c r="I42" s="3202"/>
      <c r="J42" s="3213"/>
      <c r="K42" s="3202"/>
      <c r="L42" s="3213"/>
      <c r="M42" s="3213"/>
      <c r="N42" s="3213"/>
      <c r="O42" s="3213"/>
      <c r="P42" s="3213"/>
      <c r="Q42" s="3213"/>
      <c r="R42" s="3213"/>
      <c r="S42" s="3213"/>
      <c r="T42" s="3213"/>
      <c r="U42" s="3213"/>
      <c r="V42" s="3213"/>
      <c r="W42" s="3213"/>
      <c r="X42" s="3213"/>
      <c r="Y42" s="3213"/>
      <c r="Z42" s="3213"/>
      <c r="AA42" s="3213"/>
      <c r="AB42" s="3213"/>
      <c r="AC42" s="3194">
        <f t="shared" si="36"/>
        <v>0</v>
      </c>
      <c r="AD42" s="3224"/>
      <c r="AE42" s="3224"/>
      <c r="AF42" s="3202"/>
      <c r="AG42" s="3224"/>
      <c r="AH42" s="3224"/>
      <c r="AI42" s="3224"/>
      <c r="AJ42" s="3224"/>
      <c r="AK42" s="3224"/>
      <c r="AL42" s="3224"/>
      <c r="AM42" s="3224"/>
      <c r="AN42" s="3224"/>
      <c r="AO42" s="3224"/>
      <c r="AP42" s="3224"/>
      <c r="AQ42" s="3224"/>
      <c r="AR42" s="3224"/>
      <c r="AS42" s="3224"/>
      <c r="AT42" s="3244"/>
      <c r="AU42" s="3245"/>
      <c r="AV42" s="464">
        <f t="shared" si="37"/>
        <v>0</v>
      </c>
      <c r="AW42" s="464">
        <f t="shared" si="38"/>
        <v>0</v>
      </c>
      <c r="AX42" s="464">
        <f t="shared" si="39"/>
        <v>0</v>
      </c>
      <c r="AY42" s="3261">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6">
        <f t="shared" si="61"/>
        <v>0</v>
      </c>
    </row>
    <row r="43" spans="1:72">
      <c r="A43" s="3192"/>
      <c r="B43" s="3200"/>
      <c r="C43" s="3199"/>
      <c r="D43" s="3188"/>
      <c r="E43" s="3194">
        <f t="shared" si="33"/>
        <v>0</v>
      </c>
      <c r="F43" s="3195"/>
      <c r="G43" s="3196">
        <f t="shared" si="34"/>
        <v>0</v>
      </c>
      <c r="H43" s="3197">
        <f t="shared" si="35"/>
        <v>0</v>
      </c>
      <c r="I43" s="3202"/>
      <c r="J43" s="3213"/>
      <c r="K43" s="3202"/>
      <c r="L43" s="3213"/>
      <c r="M43" s="3213"/>
      <c r="N43" s="3213"/>
      <c r="O43" s="3213"/>
      <c r="P43" s="3213"/>
      <c r="Q43" s="3213"/>
      <c r="R43" s="3213"/>
      <c r="S43" s="3213"/>
      <c r="T43" s="3213"/>
      <c r="U43" s="3213"/>
      <c r="V43" s="3213"/>
      <c r="W43" s="3213"/>
      <c r="X43" s="3213"/>
      <c r="Y43" s="3213"/>
      <c r="Z43" s="3213"/>
      <c r="AA43" s="3213"/>
      <c r="AB43" s="3213"/>
      <c r="AC43" s="3194">
        <f t="shared" si="36"/>
        <v>0</v>
      </c>
      <c r="AD43" s="3224"/>
      <c r="AE43" s="3224"/>
      <c r="AF43" s="3202"/>
      <c r="AG43" s="3224"/>
      <c r="AH43" s="3224"/>
      <c r="AI43" s="3224"/>
      <c r="AJ43" s="3224"/>
      <c r="AK43" s="3224"/>
      <c r="AL43" s="3224"/>
      <c r="AM43" s="3224"/>
      <c r="AN43" s="3224"/>
      <c r="AO43" s="3224"/>
      <c r="AP43" s="3224"/>
      <c r="AQ43" s="3224"/>
      <c r="AR43" s="3224"/>
      <c r="AS43" s="3224"/>
      <c r="AT43" s="3244"/>
      <c r="AU43" s="3245"/>
      <c r="AV43" s="464">
        <f t="shared" si="37"/>
        <v>0</v>
      </c>
      <c r="AW43" s="464">
        <f t="shared" si="38"/>
        <v>0</v>
      </c>
      <c r="AX43" s="464">
        <f t="shared" si="39"/>
        <v>0</v>
      </c>
      <c r="AY43" s="3261">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6">
        <f t="shared" si="61"/>
        <v>0</v>
      </c>
    </row>
    <row r="44" spans="1:72">
      <c r="A44" s="3192"/>
      <c r="B44" s="3200"/>
      <c r="C44" s="3199"/>
      <c r="D44" s="3188"/>
      <c r="E44" s="3194">
        <f t="shared" si="33"/>
        <v>0</v>
      </c>
      <c r="F44" s="3195"/>
      <c r="G44" s="3196">
        <f t="shared" si="34"/>
        <v>0</v>
      </c>
      <c r="H44" s="3197">
        <f t="shared" si="35"/>
        <v>0</v>
      </c>
      <c r="I44" s="3202"/>
      <c r="J44" s="3213"/>
      <c r="K44" s="3202"/>
      <c r="L44" s="3213"/>
      <c r="M44" s="3213"/>
      <c r="N44" s="3213"/>
      <c r="O44" s="3213"/>
      <c r="P44" s="3213"/>
      <c r="Q44" s="3213"/>
      <c r="R44" s="3213"/>
      <c r="S44" s="3213"/>
      <c r="T44" s="3213"/>
      <c r="U44" s="3213"/>
      <c r="V44" s="3213"/>
      <c r="W44" s="3213"/>
      <c r="X44" s="3213"/>
      <c r="Y44" s="3213"/>
      <c r="Z44" s="3213"/>
      <c r="AA44" s="3213"/>
      <c r="AB44" s="3213"/>
      <c r="AC44" s="3194">
        <f t="shared" si="36"/>
        <v>0</v>
      </c>
      <c r="AD44" s="3224"/>
      <c r="AE44" s="3224"/>
      <c r="AF44" s="3202"/>
      <c r="AG44" s="3224"/>
      <c r="AH44" s="3224"/>
      <c r="AI44" s="3224"/>
      <c r="AJ44" s="3224"/>
      <c r="AK44" s="3224"/>
      <c r="AL44" s="3224"/>
      <c r="AM44" s="3224"/>
      <c r="AN44" s="3224"/>
      <c r="AO44" s="3224"/>
      <c r="AP44" s="3224"/>
      <c r="AQ44" s="3224"/>
      <c r="AR44" s="3224"/>
      <c r="AS44" s="3224"/>
      <c r="AT44" s="3244"/>
      <c r="AU44" s="3245"/>
      <c r="AV44" s="464">
        <f t="shared" si="37"/>
        <v>0</v>
      </c>
      <c r="AW44" s="464">
        <f t="shared" si="38"/>
        <v>0</v>
      </c>
      <c r="AX44" s="464">
        <f t="shared" si="39"/>
        <v>0</v>
      </c>
      <c r="AY44" s="3261">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6">
        <f t="shared" si="61"/>
        <v>0</v>
      </c>
    </row>
    <row r="45" spans="1:72">
      <c r="A45" s="3192"/>
      <c r="B45" s="3200"/>
      <c r="C45" s="3199"/>
      <c r="D45" s="3188"/>
      <c r="E45" s="3194">
        <f t="shared" si="33"/>
        <v>0</v>
      </c>
      <c r="F45" s="3195"/>
      <c r="G45" s="3196">
        <f t="shared" si="34"/>
        <v>0</v>
      </c>
      <c r="H45" s="3197">
        <f t="shared" si="35"/>
        <v>0</v>
      </c>
      <c r="I45" s="3202"/>
      <c r="J45" s="3213"/>
      <c r="K45" s="3202"/>
      <c r="L45" s="3213"/>
      <c r="M45" s="3213"/>
      <c r="N45" s="3213"/>
      <c r="O45" s="3213"/>
      <c r="P45" s="3213"/>
      <c r="Q45" s="3213"/>
      <c r="R45" s="3213"/>
      <c r="S45" s="3213"/>
      <c r="T45" s="3213"/>
      <c r="U45" s="3213"/>
      <c r="V45" s="3213"/>
      <c r="W45" s="3213"/>
      <c r="X45" s="3213"/>
      <c r="Y45" s="3213"/>
      <c r="Z45" s="3213"/>
      <c r="AA45" s="3213"/>
      <c r="AB45" s="3213"/>
      <c r="AC45" s="3194">
        <f t="shared" si="36"/>
        <v>0</v>
      </c>
      <c r="AD45" s="3224"/>
      <c r="AE45" s="3224"/>
      <c r="AF45" s="3202"/>
      <c r="AG45" s="3224"/>
      <c r="AH45" s="3224"/>
      <c r="AI45" s="3224"/>
      <c r="AJ45" s="3224"/>
      <c r="AK45" s="3224"/>
      <c r="AL45" s="3224"/>
      <c r="AM45" s="3224"/>
      <c r="AN45" s="3224"/>
      <c r="AO45" s="3224"/>
      <c r="AP45" s="3224"/>
      <c r="AQ45" s="3224"/>
      <c r="AR45" s="3224"/>
      <c r="AS45" s="3224"/>
      <c r="AT45" s="3244"/>
      <c r="AU45" s="3245"/>
      <c r="AV45" s="464">
        <f t="shared" si="37"/>
        <v>0</v>
      </c>
      <c r="AW45" s="464">
        <f t="shared" si="38"/>
        <v>0</v>
      </c>
      <c r="AX45" s="464">
        <f t="shared" si="39"/>
        <v>0</v>
      </c>
      <c r="AY45" s="3261">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6">
        <f t="shared" si="61"/>
        <v>0</v>
      </c>
    </row>
    <row r="46" spans="1:72">
      <c r="A46" s="3192"/>
      <c r="B46" s="3200"/>
      <c r="C46" s="3199"/>
      <c r="D46" s="3188"/>
      <c r="E46" s="3194">
        <f t="shared" si="33"/>
        <v>0</v>
      </c>
      <c r="F46" s="3195"/>
      <c r="G46" s="3196">
        <f t="shared" si="34"/>
        <v>0</v>
      </c>
      <c r="H46" s="3197">
        <f t="shared" si="35"/>
        <v>0</v>
      </c>
      <c r="I46" s="3202"/>
      <c r="J46" s="3213"/>
      <c r="K46" s="3202"/>
      <c r="L46" s="3213"/>
      <c r="M46" s="3213"/>
      <c r="N46" s="3213"/>
      <c r="O46" s="3213"/>
      <c r="P46" s="3213"/>
      <c r="Q46" s="3213"/>
      <c r="R46" s="3213"/>
      <c r="S46" s="3213"/>
      <c r="T46" s="3213"/>
      <c r="U46" s="3213"/>
      <c r="V46" s="3213"/>
      <c r="W46" s="3213"/>
      <c r="X46" s="3213"/>
      <c r="Y46" s="3213"/>
      <c r="Z46" s="3213"/>
      <c r="AA46" s="3213"/>
      <c r="AB46" s="3213"/>
      <c r="AC46" s="3194">
        <f t="shared" si="36"/>
        <v>0</v>
      </c>
      <c r="AD46" s="3224"/>
      <c r="AE46" s="3224"/>
      <c r="AF46" s="3202"/>
      <c r="AG46" s="3224"/>
      <c r="AH46" s="3224"/>
      <c r="AI46" s="3224"/>
      <c r="AJ46" s="3224"/>
      <c r="AK46" s="3224"/>
      <c r="AL46" s="3224"/>
      <c r="AM46" s="3224"/>
      <c r="AN46" s="3224"/>
      <c r="AO46" s="3224"/>
      <c r="AP46" s="3224"/>
      <c r="AQ46" s="3224"/>
      <c r="AR46" s="3224"/>
      <c r="AS46" s="3224"/>
      <c r="AT46" s="3244"/>
      <c r="AU46" s="3245"/>
      <c r="AV46" s="464">
        <f t="shared" si="37"/>
        <v>0</v>
      </c>
      <c r="AW46" s="464">
        <f t="shared" si="38"/>
        <v>0</v>
      </c>
      <c r="AX46" s="464">
        <f t="shared" si="39"/>
        <v>0</v>
      </c>
      <c r="AY46" s="3261">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6">
        <f t="shared" si="61"/>
        <v>0</v>
      </c>
    </row>
    <row r="47" spans="1:72">
      <c r="A47" s="3192"/>
      <c r="B47" s="3200"/>
      <c r="C47" s="3199"/>
      <c r="D47" s="3188"/>
      <c r="E47" s="3194">
        <f t="shared" si="33"/>
        <v>0</v>
      </c>
      <c r="F47" s="3195"/>
      <c r="G47" s="3196">
        <f t="shared" si="34"/>
        <v>0</v>
      </c>
      <c r="H47" s="3197">
        <f t="shared" si="35"/>
        <v>0</v>
      </c>
      <c r="I47" s="3202"/>
      <c r="J47" s="3213"/>
      <c r="K47" s="3202"/>
      <c r="L47" s="3213"/>
      <c r="M47" s="3213"/>
      <c r="N47" s="3213"/>
      <c r="O47" s="3213"/>
      <c r="P47" s="3213"/>
      <c r="Q47" s="3213"/>
      <c r="R47" s="3213"/>
      <c r="S47" s="3213"/>
      <c r="T47" s="3213"/>
      <c r="U47" s="3213"/>
      <c r="V47" s="3213"/>
      <c r="W47" s="3213"/>
      <c r="X47" s="3213"/>
      <c r="Y47" s="3213"/>
      <c r="Z47" s="3213"/>
      <c r="AA47" s="3213"/>
      <c r="AB47" s="3213"/>
      <c r="AC47" s="3194">
        <f t="shared" si="36"/>
        <v>0</v>
      </c>
      <c r="AD47" s="3224"/>
      <c r="AE47" s="3224"/>
      <c r="AF47" s="3199"/>
      <c r="AG47" s="3224"/>
      <c r="AH47" s="3224"/>
      <c r="AI47" s="3224"/>
      <c r="AJ47" s="3224"/>
      <c r="AK47" s="3224"/>
      <c r="AL47" s="3224"/>
      <c r="AM47" s="3224"/>
      <c r="AN47" s="3224"/>
      <c r="AO47" s="3224"/>
      <c r="AP47" s="3224"/>
      <c r="AQ47" s="3224"/>
      <c r="AR47" s="3224"/>
      <c r="AS47" s="3224"/>
      <c r="AT47" s="3244"/>
      <c r="AU47" s="3245"/>
      <c r="AV47" s="464">
        <f t="shared" si="37"/>
        <v>0</v>
      </c>
      <c r="AW47" s="464">
        <f t="shared" si="38"/>
        <v>0</v>
      </c>
      <c r="AX47" s="464">
        <f t="shared" si="39"/>
        <v>0</v>
      </c>
      <c r="AY47" s="3261">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6">
        <f t="shared" si="61"/>
        <v>0</v>
      </c>
    </row>
    <row r="48" spans="1:72">
      <c r="A48" s="3192"/>
      <c r="B48" s="3200"/>
      <c r="C48" s="3199"/>
      <c r="D48" s="3188"/>
      <c r="E48" s="3194">
        <f t="shared" si="33"/>
        <v>0</v>
      </c>
      <c r="F48" s="3195"/>
      <c r="G48" s="3196">
        <f t="shared" si="34"/>
        <v>0</v>
      </c>
      <c r="H48" s="3197">
        <f t="shared" si="35"/>
        <v>0</v>
      </c>
      <c r="I48" s="3199"/>
      <c r="J48" s="3213"/>
      <c r="K48" s="3199"/>
      <c r="L48" s="3213"/>
      <c r="M48" s="3213"/>
      <c r="N48" s="3213"/>
      <c r="O48" s="3213"/>
      <c r="P48" s="3213"/>
      <c r="Q48" s="3213"/>
      <c r="R48" s="3213"/>
      <c r="S48" s="3213"/>
      <c r="T48" s="3213"/>
      <c r="U48" s="3213"/>
      <c r="V48" s="3213"/>
      <c r="W48" s="3213"/>
      <c r="X48" s="3213"/>
      <c r="Y48" s="3213"/>
      <c r="Z48" s="3213"/>
      <c r="AA48" s="3213"/>
      <c r="AB48" s="3213"/>
      <c r="AC48" s="3194">
        <f t="shared" si="36"/>
        <v>0</v>
      </c>
      <c r="AD48" s="3224"/>
      <c r="AE48" s="3224"/>
      <c r="AF48" s="3199"/>
      <c r="AG48" s="3224"/>
      <c r="AH48" s="3224"/>
      <c r="AI48" s="3224"/>
      <c r="AJ48" s="3224"/>
      <c r="AK48" s="3224"/>
      <c r="AL48" s="3224"/>
      <c r="AM48" s="3224"/>
      <c r="AN48" s="3224"/>
      <c r="AO48" s="3224"/>
      <c r="AP48" s="3224"/>
      <c r="AQ48" s="3224"/>
      <c r="AR48" s="3224"/>
      <c r="AS48" s="3224"/>
      <c r="AT48" s="3244"/>
      <c r="AU48" s="3245"/>
      <c r="AV48" s="464">
        <f t="shared" si="37"/>
        <v>0</v>
      </c>
      <c r="AW48" s="464">
        <f t="shared" si="38"/>
        <v>0</v>
      </c>
      <c r="AX48" s="464">
        <f t="shared" si="39"/>
        <v>0</v>
      </c>
      <c r="AY48" s="3261">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6">
        <f t="shared" si="61"/>
        <v>0</v>
      </c>
    </row>
    <row r="49" spans="1:72">
      <c r="A49" s="3192"/>
      <c r="B49" s="3200"/>
      <c r="C49" s="3199"/>
      <c r="D49" s="3188"/>
      <c r="E49" s="3194">
        <f t="shared" si="33"/>
        <v>0</v>
      </c>
      <c r="F49" s="3195"/>
      <c r="G49" s="3196">
        <f t="shared" si="34"/>
        <v>0</v>
      </c>
      <c r="H49" s="3197">
        <f t="shared" si="35"/>
        <v>0</v>
      </c>
      <c r="I49" s="3199"/>
      <c r="J49" s="3213"/>
      <c r="K49" s="3199"/>
      <c r="L49" s="3213"/>
      <c r="M49" s="3213"/>
      <c r="N49" s="3213"/>
      <c r="O49" s="3213"/>
      <c r="P49" s="3213"/>
      <c r="Q49" s="3213"/>
      <c r="R49" s="3213"/>
      <c r="S49" s="3213"/>
      <c r="T49" s="3213"/>
      <c r="U49" s="3213"/>
      <c r="V49" s="3213"/>
      <c r="W49" s="3213"/>
      <c r="X49" s="3213"/>
      <c r="Y49" s="3213"/>
      <c r="Z49" s="3213"/>
      <c r="AA49" s="3213"/>
      <c r="AB49" s="3213"/>
      <c r="AC49" s="3194">
        <f t="shared" si="36"/>
        <v>0</v>
      </c>
      <c r="AD49" s="3224"/>
      <c r="AE49" s="3224"/>
      <c r="AF49" s="3199"/>
      <c r="AG49" s="3224"/>
      <c r="AH49" s="3224"/>
      <c r="AI49" s="3224"/>
      <c r="AJ49" s="3224"/>
      <c r="AK49" s="3224"/>
      <c r="AL49" s="3224"/>
      <c r="AM49" s="3224"/>
      <c r="AN49" s="3224"/>
      <c r="AO49" s="3224"/>
      <c r="AP49" s="3224"/>
      <c r="AQ49" s="3224"/>
      <c r="AR49" s="3224"/>
      <c r="AS49" s="3224"/>
      <c r="AT49" s="3244"/>
      <c r="AU49" s="3245"/>
      <c r="AV49" s="464">
        <f t="shared" si="37"/>
        <v>0</v>
      </c>
      <c r="AW49" s="464">
        <f t="shared" si="38"/>
        <v>0</v>
      </c>
      <c r="AX49" s="464">
        <f t="shared" si="39"/>
        <v>0</v>
      </c>
      <c r="AY49" s="3261">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6">
        <f t="shared" si="61"/>
        <v>0</v>
      </c>
    </row>
    <row r="50" spans="1:72">
      <c r="A50" s="3192"/>
      <c r="B50" s="3200"/>
      <c r="C50" s="3199"/>
      <c r="D50" s="3188"/>
      <c r="E50" s="3194">
        <f t="shared" si="33"/>
        <v>0</v>
      </c>
      <c r="F50" s="3195"/>
      <c r="G50" s="3196">
        <f t="shared" si="34"/>
        <v>0</v>
      </c>
      <c r="H50" s="3197">
        <f t="shared" si="35"/>
        <v>0</v>
      </c>
      <c r="I50" s="3199"/>
      <c r="J50" s="3213"/>
      <c r="K50" s="3199"/>
      <c r="L50" s="3213"/>
      <c r="M50" s="3213"/>
      <c r="N50" s="3213"/>
      <c r="O50" s="3213"/>
      <c r="P50" s="3213"/>
      <c r="Q50" s="3213"/>
      <c r="R50" s="3213"/>
      <c r="S50" s="3213"/>
      <c r="T50" s="3213"/>
      <c r="U50" s="3213"/>
      <c r="V50" s="3213"/>
      <c r="W50" s="3213"/>
      <c r="X50" s="3213"/>
      <c r="Y50" s="3213"/>
      <c r="Z50" s="3213"/>
      <c r="AA50" s="3213"/>
      <c r="AB50" s="3213"/>
      <c r="AC50" s="3194">
        <f t="shared" si="36"/>
        <v>0</v>
      </c>
      <c r="AD50" s="3224"/>
      <c r="AE50" s="3224"/>
      <c r="AF50" s="3199"/>
      <c r="AG50" s="3224"/>
      <c r="AH50" s="3224"/>
      <c r="AI50" s="3224"/>
      <c r="AJ50" s="3224"/>
      <c r="AK50" s="3224"/>
      <c r="AL50" s="3224"/>
      <c r="AM50" s="3224"/>
      <c r="AN50" s="3224"/>
      <c r="AO50" s="3224"/>
      <c r="AP50" s="3224"/>
      <c r="AQ50" s="3224"/>
      <c r="AR50" s="3224"/>
      <c r="AS50" s="3224"/>
      <c r="AT50" s="3244"/>
      <c r="AU50" s="3245"/>
      <c r="AV50" s="464">
        <f t="shared" si="37"/>
        <v>0</v>
      </c>
      <c r="AW50" s="464">
        <f t="shared" si="38"/>
        <v>0</v>
      </c>
      <c r="AX50" s="464">
        <f t="shared" si="39"/>
        <v>0</v>
      </c>
      <c r="AY50" s="3261">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6">
        <f t="shared" si="61"/>
        <v>0</v>
      </c>
    </row>
    <row r="51" spans="1:72">
      <c r="A51" s="3192"/>
      <c r="B51" s="3200"/>
      <c r="C51" s="3199"/>
      <c r="D51" s="3188"/>
      <c r="E51" s="3194">
        <f t="shared" si="33"/>
        <v>0</v>
      </c>
      <c r="F51" s="3195"/>
      <c r="G51" s="3196">
        <f t="shared" si="34"/>
        <v>0</v>
      </c>
      <c r="H51" s="3197">
        <f t="shared" si="35"/>
        <v>0</v>
      </c>
      <c r="I51" s="3199"/>
      <c r="J51" s="3213"/>
      <c r="K51" s="3199"/>
      <c r="L51" s="3213"/>
      <c r="M51" s="3213"/>
      <c r="N51" s="3213"/>
      <c r="O51" s="3213"/>
      <c r="P51" s="3213"/>
      <c r="Q51" s="3213"/>
      <c r="R51" s="3213"/>
      <c r="S51" s="3213"/>
      <c r="T51" s="3213"/>
      <c r="U51" s="3213"/>
      <c r="V51" s="3213"/>
      <c r="W51" s="3213"/>
      <c r="X51" s="3213"/>
      <c r="Y51" s="3213"/>
      <c r="Z51" s="3213"/>
      <c r="AA51" s="3213"/>
      <c r="AB51" s="3213"/>
      <c r="AC51" s="3194">
        <f t="shared" si="36"/>
        <v>0</v>
      </c>
      <c r="AD51" s="3224"/>
      <c r="AE51" s="3224"/>
      <c r="AF51" s="3199"/>
      <c r="AG51" s="3224"/>
      <c r="AH51" s="3224"/>
      <c r="AI51" s="3224"/>
      <c r="AJ51" s="3224"/>
      <c r="AK51" s="3224"/>
      <c r="AL51" s="3224"/>
      <c r="AM51" s="3224"/>
      <c r="AN51" s="3224"/>
      <c r="AO51" s="3224"/>
      <c r="AP51" s="3224"/>
      <c r="AQ51" s="3224"/>
      <c r="AR51" s="3224"/>
      <c r="AS51" s="3224"/>
      <c r="AT51" s="3244"/>
      <c r="AU51" s="3245"/>
      <c r="AV51" s="464">
        <f t="shared" si="37"/>
        <v>0</v>
      </c>
      <c r="AW51" s="464">
        <f t="shared" si="38"/>
        <v>0</v>
      </c>
      <c r="AX51" s="464">
        <f t="shared" si="39"/>
        <v>0</v>
      </c>
      <c r="AY51" s="3261">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6">
        <f t="shared" si="61"/>
        <v>0</v>
      </c>
    </row>
    <row r="52" spans="1:72">
      <c r="A52" s="3192"/>
      <c r="B52" s="3200"/>
      <c r="C52" s="3199"/>
      <c r="D52" s="3188"/>
      <c r="E52" s="3194">
        <f t="shared" si="33"/>
        <v>0</v>
      </c>
      <c r="F52" s="3195"/>
      <c r="G52" s="3196">
        <f t="shared" si="34"/>
        <v>0</v>
      </c>
      <c r="H52" s="3197">
        <f t="shared" si="35"/>
        <v>0</v>
      </c>
      <c r="I52" s="3199"/>
      <c r="J52" s="3213"/>
      <c r="K52" s="3199"/>
      <c r="L52" s="3213"/>
      <c r="M52" s="3213"/>
      <c r="N52" s="3213"/>
      <c r="O52" s="3213"/>
      <c r="P52" s="3213"/>
      <c r="Q52" s="3213"/>
      <c r="R52" s="3213"/>
      <c r="S52" s="3213"/>
      <c r="T52" s="3213"/>
      <c r="U52" s="3213"/>
      <c r="V52" s="3213"/>
      <c r="W52" s="3213"/>
      <c r="X52" s="3213"/>
      <c r="Y52" s="3213"/>
      <c r="Z52" s="3213"/>
      <c r="AA52" s="3213"/>
      <c r="AB52" s="3213"/>
      <c r="AC52" s="3194">
        <f t="shared" si="36"/>
        <v>0</v>
      </c>
      <c r="AD52" s="3224"/>
      <c r="AE52" s="3224"/>
      <c r="AF52" s="3199"/>
      <c r="AG52" s="3224"/>
      <c r="AH52" s="3224"/>
      <c r="AI52" s="3224"/>
      <c r="AJ52" s="3224"/>
      <c r="AK52" s="3224"/>
      <c r="AL52" s="3224"/>
      <c r="AM52" s="3224"/>
      <c r="AN52" s="3224"/>
      <c r="AO52" s="3224"/>
      <c r="AP52" s="3224"/>
      <c r="AQ52" s="3224"/>
      <c r="AR52" s="3224"/>
      <c r="AS52" s="3224"/>
      <c r="AT52" s="3244"/>
      <c r="AU52" s="3245"/>
      <c r="AV52" s="464">
        <f t="shared" si="37"/>
        <v>0</v>
      </c>
      <c r="AW52" s="464">
        <f t="shared" si="38"/>
        <v>0</v>
      </c>
      <c r="AX52" s="464">
        <f t="shared" si="39"/>
        <v>0</v>
      </c>
      <c r="AY52" s="3261">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6">
        <f t="shared" si="61"/>
        <v>0</v>
      </c>
    </row>
    <row r="53" spans="1:72">
      <c r="A53" s="3192"/>
      <c r="B53" s="3200"/>
      <c r="C53" s="3199"/>
      <c r="D53" s="3188"/>
      <c r="E53" s="3194">
        <f t="shared" si="33"/>
        <v>0</v>
      </c>
      <c r="F53" s="3195"/>
      <c r="G53" s="3196">
        <f t="shared" si="34"/>
        <v>0</v>
      </c>
      <c r="H53" s="3197">
        <f t="shared" si="35"/>
        <v>0</v>
      </c>
      <c r="I53" s="3199"/>
      <c r="J53" s="3213"/>
      <c r="K53" s="3199"/>
      <c r="L53" s="3213"/>
      <c r="M53" s="3213"/>
      <c r="N53" s="3213"/>
      <c r="O53" s="3213"/>
      <c r="P53" s="3213"/>
      <c r="Q53" s="3213"/>
      <c r="R53" s="3213"/>
      <c r="S53" s="3213"/>
      <c r="T53" s="3213"/>
      <c r="U53" s="3213"/>
      <c r="V53" s="3213"/>
      <c r="W53" s="3213"/>
      <c r="X53" s="3213"/>
      <c r="Y53" s="3213"/>
      <c r="Z53" s="3213"/>
      <c r="AA53" s="3213"/>
      <c r="AB53" s="3213"/>
      <c r="AC53" s="3194">
        <f t="shared" si="36"/>
        <v>0</v>
      </c>
      <c r="AD53" s="3224"/>
      <c r="AE53" s="3224"/>
      <c r="AF53" s="3199"/>
      <c r="AG53" s="3224"/>
      <c r="AH53" s="3224"/>
      <c r="AI53" s="3224"/>
      <c r="AJ53" s="3224"/>
      <c r="AK53" s="3224"/>
      <c r="AL53" s="3224"/>
      <c r="AM53" s="3224"/>
      <c r="AN53" s="3224"/>
      <c r="AO53" s="3224"/>
      <c r="AP53" s="3224"/>
      <c r="AQ53" s="3224"/>
      <c r="AR53" s="3224"/>
      <c r="AS53" s="3224"/>
      <c r="AT53" s="3244"/>
      <c r="AU53" s="3245"/>
      <c r="AV53" s="464">
        <f t="shared" si="37"/>
        <v>0</v>
      </c>
      <c r="AW53" s="464">
        <f t="shared" si="38"/>
        <v>0</v>
      </c>
      <c r="AX53" s="464">
        <f t="shared" si="39"/>
        <v>0</v>
      </c>
      <c r="AY53" s="3261">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6">
        <f t="shared" si="61"/>
        <v>0</v>
      </c>
    </row>
    <row r="54" spans="1:72">
      <c r="A54" s="3192"/>
      <c r="B54" s="3200"/>
      <c r="C54" s="3199"/>
      <c r="D54" s="3188"/>
      <c r="E54" s="3194">
        <f t="shared" si="33"/>
        <v>0</v>
      </c>
      <c r="F54" s="3195"/>
      <c r="G54" s="3196">
        <f t="shared" si="34"/>
        <v>0</v>
      </c>
      <c r="H54" s="3197">
        <f t="shared" si="35"/>
        <v>0</v>
      </c>
      <c r="I54" s="3199"/>
      <c r="J54" s="3213"/>
      <c r="K54" s="3199"/>
      <c r="L54" s="3213"/>
      <c r="M54" s="3213"/>
      <c r="N54" s="3213"/>
      <c r="O54" s="3213"/>
      <c r="P54" s="3213"/>
      <c r="Q54" s="3213"/>
      <c r="R54" s="3213"/>
      <c r="S54" s="3213"/>
      <c r="T54" s="3213"/>
      <c r="U54" s="3213"/>
      <c r="V54" s="3213"/>
      <c r="W54" s="3213"/>
      <c r="X54" s="3213"/>
      <c r="Y54" s="3213"/>
      <c r="Z54" s="3213"/>
      <c r="AA54" s="3213"/>
      <c r="AB54" s="3213"/>
      <c r="AC54" s="3194">
        <f t="shared" si="36"/>
        <v>0</v>
      </c>
      <c r="AD54" s="3224"/>
      <c r="AE54" s="3224"/>
      <c r="AF54" s="3199"/>
      <c r="AG54" s="3224"/>
      <c r="AH54" s="3224"/>
      <c r="AI54" s="3224"/>
      <c r="AJ54" s="3224"/>
      <c r="AK54" s="3224"/>
      <c r="AL54" s="3224"/>
      <c r="AM54" s="3224"/>
      <c r="AN54" s="3224"/>
      <c r="AO54" s="3224"/>
      <c r="AP54" s="3224"/>
      <c r="AQ54" s="3224"/>
      <c r="AR54" s="3224"/>
      <c r="AS54" s="3224"/>
      <c r="AT54" s="3244"/>
      <c r="AU54" s="3245"/>
      <c r="AV54" s="464">
        <f t="shared" si="37"/>
        <v>0</v>
      </c>
      <c r="AW54" s="464">
        <f t="shared" si="38"/>
        <v>0</v>
      </c>
      <c r="AX54" s="464">
        <f t="shared" si="39"/>
        <v>0</v>
      </c>
      <c r="AY54" s="3261">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6">
        <f t="shared" si="61"/>
        <v>0</v>
      </c>
    </row>
    <row r="55" spans="1:72">
      <c r="A55" s="3192"/>
      <c r="B55" s="3201"/>
      <c r="C55" s="3202"/>
      <c r="D55" s="3188"/>
      <c r="E55" s="3194">
        <f t="shared" si="33"/>
        <v>0</v>
      </c>
      <c r="F55" s="3195"/>
      <c r="G55" s="3196">
        <f t="shared" si="34"/>
        <v>0</v>
      </c>
      <c r="H55" s="3197">
        <f t="shared" si="35"/>
        <v>0</v>
      </c>
      <c r="I55" s="3199"/>
      <c r="J55" s="3213"/>
      <c r="K55" s="3199"/>
      <c r="L55" s="3213"/>
      <c r="M55" s="3199"/>
      <c r="N55" s="3213"/>
      <c r="O55" s="3213"/>
      <c r="P55" s="3213"/>
      <c r="Q55" s="3213"/>
      <c r="R55" s="3213"/>
      <c r="S55" s="3213"/>
      <c r="T55" s="3213"/>
      <c r="U55" s="3213"/>
      <c r="V55" s="3213"/>
      <c r="W55" s="3213"/>
      <c r="X55" s="3213"/>
      <c r="Y55" s="3213"/>
      <c r="Z55" s="3213"/>
      <c r="AA55" s="3213"/>
      <c r="AB55" s="3213"/>
      <c r="AC55" s="3194">
        <f t="shared" si="36"/>
        <v>0</v>
      </c>
      <c r="AD55" s="3224"/>
      <c r="AE55" s="3224"/>
      <c r="AF55" s="3199"/>
      <c r="AG55" s="3224"/>
      <c r="AH55" s="3224"/>
      <c r="AI55" s="3224"/>
      <c r="AJ55" s="3224"/>
      <c r="AK55" s="3224"/>
      <c r="AL55" s="3224"/>
      <c r="AM55" s="3224"/>
      <c r="AN55" s="3224"/>
      <c r="AO55" s="3224"/>
      <c r="AP55" s="3224"/>
      <c r="AQ55" s="3224"/>
      <c r="AR55" s="3224"/>
      <c r="AS55" s="3224"/>
      <c r="AT55" s="3244"/>
      <c r="AU55" s="3245"/>
      <c r="AV55" s="464">
        <f t="shared" si="37"/>
        <v>0</v>
      </c>
      <c r="AW55" s="464">
        <f t="shared" si="38"/>
        <v>0</v>
      </c>
      <c r="AX55" s="464">
        <f t="shared" si="39"/>
        <v>0</v>
      </c>
      <c r="AY55" s="3261">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6">
        <f t="shared" si="61"/>
        <v>0</v>
      </c>
    </row>
    <row r="56" spans="1:72">
      <c r="A56" s="3192"/>
      <c r="B56" s="3193"/>
      <c r="C56" s="3193"/>
      <c r="D56" s="3188"/>
      <c r="E56" s="3194">
        <f t="shared" si="33"/>
        <v>0</v>
      </c>
      <c r="F56" s="3195"/>
      <c r="G56" s="3196">
        <f t="shared" si="34"/>
        <v>0</v>
      </c>
      <c r="H56" s="3197">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4">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64">
        <f t="shared" si="37"/>
        <v>0</v>
      </c>
      <c r="AW56" s="464">
        <f t="shared" si="38"/>
        <v>0</v>
      </c>
      <c r="AX56" s="464">
        <f t="shared" si="39"/>
        <v>0</v>
      </c>
      <c r="AY56" s="3261">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6">
        <f t="shared" si="61"/>
        <v>0</v>
      </c>
    </row>
    <row r="57" spans="1:72">
      <c r="A57" s="3192"/>
      <c r="B57" s="3193"/>
      <c r="C57" s="3193"/>
      <c r="D57" s="3188"/>
      <c r="E57" s="3194">
        <f t="shared" si="33"/>
        <v>0</v>
      </c>
      <c r="F57" s="3195"/>
      <c r="G57" s="3196">
        <f t="shared" si="34"/>
        <v>0</v>
      </c>
      <c r="H57" s="3197">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4">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64">
        <f t="shared" si="37"/>
        <v>0</v>
      </c>
      <c r="AW57" s="464">
        <f t="shared" si="38"/>
        <v>0</v>
      </c>
      <c r="AX57" s="464">
        <f t="shared" si="39"/>
        <v>0</v>
      </c>
      <c r="AY57" s="3261">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6">
        <f t="shared" si="61"/>
        <v>0</v>
      </c>
    </row>
    <row r="58" spans="1:72">
      <c r="A58" s="3192"/>
      <c r="B58" s="3193"/>
      <c r="C58" s="3193"/>
      <c r="D58" s="3188"/>
      <c r="E58" s="3194">
        <f t="shared" si="33"/>
        <v>0</v>
      </c>
      <c r="F58" s="3195"/>
      <c r="G58" s="3196">
        <f t="shared" si="34"/>
        <v>0</v>
      </c>
      <c r="H58" s="3197">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4">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64">
        <f t="shared" si="37"/>
        <v>0</v>
      </c>
      <c r="AW58" s="464">
        <f t="shared" si="38"/>
        <v>0</v>
      </c>
      <c r="AX58" s="464">
        <f t="shared" si="39"/>
        <v>0</v>
      </c>
      <c r="AY58" s="3261">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6">
        <f t="shared" si="61"/>
        <v>0</v>
      </c>
    </row>
    <row r="59" spans="1:72">
      <c r="A59" s="3192"/>
      <c r="B59" s="3193"/>
      <c r="C59" s="3193"/>
      <c r="D59" s="3188"/>
      <c r="E59" s="3194">
        <f t="shared" si="33"/>
        <v>0</v>
      </c>
      <c r="F59" s="3195"/>
      <c r="G59" s="3196">
        <f t="shared" si="34"/>
        <v>0</v>
      </c>
      <c r="H59" s="3197">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4">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64">
        <f t="shared" si="37"/>
        <v>0</v>
      </c>
      <c r="AW59" s="464">
        <f t="shared" si="38"/>
        <v>0</v>
      </c>
      <c r="AX59" s="464">
        <f t="shared" si="39"/>
        <v>0</v>
      </c>
      <c r="AY59" s="3261">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6">
        <f t="shared" si="61"/>
        <v>0</v>
      </c>
    </row>
    <row r="60" spans="1:72">
      <c r="A60" s="3192"/>
      <c r="B60" s="3193"/>
      <c r="C60" s="3193"/>
      <c r="D60" s="3188"/>
      <c r="E60" s="3194">
        <f t="shared" si="33"/>
        <v>0</v>
      </c>
      <c r="F60" s="3195"/>
      <c r="G60" s="3196">
        <f t="shared" si="34"/>
        <v>0</v>
      </c>
      <c r="H60" s="3197">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4">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64">
        <f t="shared" si="37"/>
        <v>0</v>
      </c>
      <c r="AW60" s="464">
        <f t="shared" si="38"/>
        <v>0</v>
      </c>
      <c r="AX60" s="464">
        <f t="shared" si="39"/>
        <v>0</v>
      </c>
      <c r="AY60" s="3261">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6">
        <f t="shared" si="61"/>
        <v>0</v>
      </c>
    </row>
    <row r="61" spans="1:72">
      <c r="A61" s="3192"/>
      <c r="B61" s="3193"/>
      <c r="C61" s="3193"/>
      <c r="D61" s="3188"/>
      <c r="E61" s="3194">
        <f t="shared" si="33"/>
        <v>0</v>
      </c>
      <c r="F61" s="3195"/>
      <c r="G61" s="3196">
        <f t="shared" si="34"/>
        <v>0</v>
      </c>
      <c r="H61" s="3197">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4">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64">
        <f t="shared" si="37"/>
        <v>0</v>
      </c>
      <c r="AW61" s="464">
        <f t="shared" si="38"/>
        <v>0</v>
      </c>
      <c r="AX61" s="464">
        <f t="shared" si="39"/>
        <v>0</v>
      </c>
      <c r="AY61" s="3261">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6">
        <f t="shared" si="61"/>
        <v>0</v>
      </c>
    </row>
    <row r="62" spans="1:72">
      <c r="A62" s="3192"/>
      <c r="B62" s="3193"/>
      <c r="C62" s="3193"/>
      <c r="D62" s="3188"/>
      <c r="E62" s="3194">
        <f t="shared" si="33"/>
        <v>0</v>
      </c>
      <c r="F62" s="3195"/>
      <c r="G62" s="3196">
        <f t="shared" si="34"/>
        <v>0</v>
      </c>
      <c r="H62" s="3197">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4">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64">
        <f t="shared" si="37"/>
        <v>0</v>
      </c>
      <c r="AW62" s="464">
        <f t="shared" si="38"/>
        <v>0</v>
      </c>
      <c r="AX62" s="464">
        <f t="shared" si="39"/>
        <v>0</v>
      </c>
      <c r="AY62" s="3261">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6">
        <f t="shared" si="61"/>
        <v>0</v>
      </c>
    </row>
    <row r="63" spans="1:72">
      <c r="A63" s="3192"/>
      <c r="B63" s="3193"/>
      <c r="C63" s="3193"/>
      <c r="D63" s="3188"/>
      <c r="E63" s="3194">
        <f t="shared" si="33"/>
        <v>0</v>
      </c>
      <c r="F63" s="3195"/>
      <c r="G63" s="3196">
        <f t="shared" si="34"/>
        <v>0</v>
      </c>
      <c r="H63" s="3197">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4">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64">
        <f t="shared" si="37"/>
        <v>0</v>
      </c>
      <c r="AW63" s="464">
        <f t="shared" si="38"/>
        <v>0</v>
      </c>
      <c r="AX63" s="464">
        <f t="shared" si="39"/>
        <v>0</v>
      </c>
      <c r="AY63" s="3261">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6">
        <f t="shared" si="61"/>
        <v>0</v>
      </c>
    </row>
    <row r="64" spans="1:72">
      <c r="A64" s="3192"/>
      <c r="B64" s="3193"/>
      <c r="C64" s="3193"/>
      <c r="D64" s="3188"/>
      <c r="E64" s="3194">
        <f t="shared" si="33"/>
        <v>0</v>
      </c>
      <c r="F64" s="3195"/>
      <c r="G64" s="3196">
        <f t="shared" si="34"/>
        <v>0</v>
      </c>
      <c r="H64" s="3197">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4">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64">
        <f t="shared" si="37"/>
        <v>0</v>
      </c>
      <c r="AW64" s="464">
        <f t="shared" si="38"/>
        <v>0</v>
      </c>
      <c r="AX64" s="464">
        <f t="shared" si="39"/>
        <v>0</v>
      </c>
      <c r="AY64" s="3261">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6">
        <f t="shared" si="61"/>
        <v>0</v>
      </c>
    </row>
    <row r="65" spans="1:72">
      <c r="A65" s="3192"/>
      <c r="B65" s="3193"/>
      <c r="C65" s="3193"/>
      <c r="D65" s="3188"/>
      <c r="E65" s="3194">
        <f t="shared" si="33"/>
        <v>0</v>
      </c>
      <c r="F65" s="3195"/>
      <c r="G65" s="3196">
        <f t="shared" si="34"/>
        <v>0</v>
      </c>
      <c r="H65" s="3197">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4">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64">
        <f t="shared" si="37"/>
        <v>0</v>
      </c>
      <c r="AW65" s="464">
        <f t="shared" si="38"/>
        <v>0</v>
      </c>
      <c r="AX65" s="464">
        <f t="shared" si="39"/>
        <v>0</v>
      </c>
      <c r="AY65" s="3261">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6">
        <f t="shared" si="61"/>
        <v>0</v>
      </c>
    </row>
    <row r="66" spans="1:72">
      <c r="A66" s="3192"/>
      <c r="B66" s="3193"/>
      <c r="C66" s="3193"/>
      <c r="D66" s="3188"/>
      <c r="E66" s="3194">
        <f t="shared" si="33"/>
        <v>0</v>
      </c>
      <c r="F66" s="3195"/>
      <c r="G66" s="3196">
        <f t="shared" si="34"/>
        <v>0</v>
      </c>
      <c r="H66" s="3197">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4">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64">
        <f t="shared" si="37"/>
        <v>0</v>
      </c>
      <c r="AW66" s="464">
        <f t="shared" si="38"/>
        <v>0</v>
      </c>
      <c r="AX66" s="464">
        <f t="shared" si="39"/>
        <v>0</v>
      </c>
      <c r="AY66" s="3261">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6">
        <f t="shared" si="61"/>
        <v>0</v>
      </c>
    </row>
    <row r="67" spans="1:72">
      <c r="A67" s="3192"/>
      <c r="B67" s="3193"/>
      <c r="C67" s="3193"/>
      <c r="D67" s="3188"/>
      <c r="E67" s="3194">
        <f t="shared" si="33"/>
        <v>0</v>
      </c>
      <c r="F67" s="3195"/>
      <c r="G67" s="3196">
        <f t="shared" si="34"/>
        <v>0</v>
      </c>
      <c r="H67" s="3197">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4">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64">
        <f t="shared" si="37"/>
        <v>0</v>
      </c>
      <c r="AW67" s="464">
        <f t="shared" si="38"/>
        <v>0</v>
      </c>
      <c r="AX67" s="464">
        <f t="shared" si="39"/>
        <v>0</v>
      </c>
      <c r="AY67" s="3261">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6">
        <f t="shared" si="61"/>
        <v>0</v>
      </c>
    </row>
    <row r="68" spans="1:72">
      <c r="A68" s="3192"/>
      <c r="B68" s="3193"/>
      <c r="C68" s="3193"/>
      <c r="D68" s="3188"/>
      <c r="E68" s="3194">
        <f t="shared" si="33"/>
        <v>0</v>
      </c>
      <c r="F68" s="3195"/>
      <c r="G68" s="3196">
        <f t="shared" si="34"/>
        <v>0</v>
      </c>
      <c r="H68" s="3197">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4">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64">
        <f t="shared" si="37"/>
        <v>0</v>
      </c>
      <c r="AW68" s="464">
        <f t="shared" si="38"/>
        <v>0</v>
      </c>
      <c r="AX68" s="464">
        <f t="shared" si="39"/>
        <v>0</v>
      </c>
      <c r="AY68" s="3261">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6">
        <f t="shared" si="61"/>
        <v>0</v>
      </c>
    </row>
    <row r="69" spans="1:72">
      <c r="A69" s="3192"/>
      <c r="B69" s="3193"/>
      <c r="C69" s="3193"/>
      <c r="D69" s="3188"/>
      <c r="E69" s="3194">
        <f t="shared" si="33"/>
        <v>0</v>
      </c>
      <c r="F69" s="3195"/>
      <c r="G69" s="3196">
        <f t="shared" si="34"/>
        <v>0</v>
      </c>
      <c r="H69" s="3197">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4">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64">
        <f t="shared" si="37"/>
        <v>0</v>
      </c>
      <c r="AW69" s="464">
        <f t="shared" si="38"/>
        <v>0</v>
      </c>
      <c r="AX69" s="464">
        <f t="shared" si="39"/>
        <v>0</v>
      </c>
      <c r="AY69" s="3261">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6">
        <f t="shared" si="61"/>
        <v>0</v>
      </c>
    </row>
    <row r="70" spans="1:72">
      <c r="A70" s="3192"/>
      <c r="B70" s="3193"/>
      <c r="C70" s="3193"/>
      <c r="D70" s="3188"/>
      <c r="E70" s="3194">
        <f t="shared" si="33"/>
        <v>0</v>
      </c>
      <c r="F70" s="3195"/>
      <c r="G70" s="3196">
        <f t="shared" si="34"/>
        <v>0</v>
      </c>
      <c r="H70" s="3197">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4">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64">
        <f t="shared" si="37"/>
        <v>0</v>
      </c>
      <c r="AW70" s="464">
        <f t="shared" si="38"/>
        <v>0</v>
      </c>
      <c r="AX70" s="464">
        <f t="shared" si="39"/>
        <v>0</v>
      </c>
      <c r="AY70" s="3261">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6">
        <f t="shared" si="61"/>
        <v>0</v>
      </c>
    </row>
    <row r="71" spans="1:72">
      <c r="A71" s="3192"/>
      <c r="B71" s="3193"/>
      <c r="C71" s="3193"/>
      <c r="D71" s="3188"/>
      <c r="E71" s="3194">
        <f t="shared" si="33"/>
        <v>0</v>
      </c>
      <c r="F71" s="3195"/>
      <c r="G71" s="3196">
        <f t="shared" si="34"/>
        <v>0</v>
      </c>
      <c r="H71" s="3197">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4">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64">
        <f t="shared" si="37"/>
        <v>0</v>
      </c>
      <c r="AW71" s="464">
        <f t="shared" si="38"/>
        <v>0</v>
      </c>
      <c r="AX71" s="464">
        <f t="shared" si="39"/>
        <v>0</v>
      </c>
      <c r="AY71" s="3261">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6">
        <f t="shared" si="61"/>
        <v>0</v>
      </c>
    </row>
    <row r="72" spans="1:72">
      <c r="A72" s="3192"/>
      <c r="B72" s="3193"/>
      <c r="C72" s="3193"/>
      <c r="D72" s="3188"/>
      <c r="E72" s="3194">
        <f t="shared" si="33"/>
        <v>0</v>
      </c>
      <c r="F72" s="3195"/>
      <c r="G72" s="3196">
        <f t="shared" si="34"/>
        <v>0</v>
      </c>
      <c r="H72" s="3197">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4">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64">
        <f t="shared" si="37"/>
        <v>0</v>
      </c>
      <c r="AW72" s="464">
        <f t="shared" si="38"/>
        <v>0</v>
      </c>
      <c r="AX72" s="464">
        <f t="shared" si="39"/>
        <v>0</v>
      </c>
      <c r="AY72" s="3261">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6">
        <f t="shared" si="61"/>
        <v>0</v>
      </c>
    </row>
    <row r="73" spans="1:72">
      <c r="A73" s="3192"/>
      <c r="B73" s="3193"/>
      <c r="C73" s="3193"/>
      <c r="D73" s="3188"/>
      <c r="E73" s="3194">
        <f t="shared" si="33"/>
        <v>0</v>
      </c>
      <c r="F73" s="3195"/>
      <c r="G73" s="3196">
        <f t="shared" si="34"/>
        <v>0</v>
      </c>
      <c r="H73" s="3197">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4">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64">
        <f t="shared" si="37"/>
        <v>0</v>
      </c>
      <c r="AW73" s="464">
        <f t="shared" si="38"/>
        <v>0</v>
      </c>
      <c r="AX73" s="464">
        <f t="shared" si="39"/>
        <v>0</v>
      </c>
      <c r="AY73" s="3261">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6">
        <f t="shared" si="61"/>
        <v>0</v>
      </c>
    </row>
    <row r="74" spans="1:72">
      <c r="A74" s="3192"/>
      <c r="B74" s="3193"/>
      <c r="C74" s="3193"/>
      <c r="D74" s="3188"/>
      <c r="E74" s="3194">
        <f t="shared" si="33"/>
        <v>0</v>
      </c>
      <c r="F74" s="3195"/>
      <c r="G74" s="3196">
        <f t="shared" si="34"/>
        <v>0</v>
      </c>
      <c r="H74" s="3197">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4">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64">
        <f t="shared" si="37"/>
        <v>0</v>
      </c>
      <c r="AW74" s="464">
        <f t="shared" si="38"/>
        <v>0</v>
      </c>
      <c r="AX74" s="464">
        <f t="shared" si="39"/>
        <v>0</v>
      </c>
      <c r="AY74" s="3261">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6">
        <f t="shared" si="61"/>
        <v>0</v>
      </c>
    </row>
    <row r="75" spans="1:72">
      <c r="A75" s="3192"/>
      <c r="B75" s="3193"/>
      <c r="C75" s="3193"/>
      <c r="D75" s="3188"/>
      <c r="E75" s="3194">
        <f t="shared" si="33"/>
        <v>0</v>
      </c>
      <c r="F75" s="3195"/>
      <c r="G75" s="3196">
        <f t="shared" si="34"/>
        <v>0</v>
      </c>
      <c r="H75" s="3197">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4">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64">
        <f t="shared" si="37"/>
        <v>0</v>
      </c>
      <c r="AW75" s="464">
        <f t="shared" si="38"/>
        <v>0</v>
      </c>
      <c r="AX75" s="464">
        <f t="shared" si="39"/>
        <v>0</v>
      </c>
      <c r="AY75" s="3261">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6">
        <f t="shared" si="61"/>
        <v>0</v>
      </c>
    </row>
    <row r="76" spans="1:72">
      <c r="A76" s="3192"/>
      <c r="B76" s="3193"/>
      <c r="C76" s="3193"/>
      <c r="D76" s="3188"/>
      <c r="E76" s="3194">
        <f t="shared" si="33"/>
        <v>0</v>
      </c>
      <c r="F76" s="3195"/>
      <c r="G76" s="3196">
        <f t="shared" si="34"/>
        <v>0</v>
      </c>
      <c r="H76" s="3197">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4">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64">
        <f t="shared" si="37"/>
        <v>0</v>
      </c>
      <c r="AW76" s="464">
        <f t="shared" si="38"/>
        <v>0</v>
      </c>
      <c r="AX76" s="464">
        <f t="shared" si="39"/>
        <v>0</v>
      </c>
      <c r="AY76" s="3261">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6">
        <f t="shared" si="61"/>
        <v>0</v>
      </c>
    </row>
    <row r="77" spans="1:72">
      <c r="A77" s="3192"/>
      <c r="B77" s="3193"/>
      <c r="C77" s="3193"/>
      <c r="D77" s="3188"/>
      <c r="E77" s="3194">
        <f t="shared" si="33"/>
        <v>0</v>
      </c>
      <c r="F77" s="3195"/>
      <c r="G77" s="3196">
        <f t="shared" si="34"/>
        <v>0</v>
      </c>
      <c r="H77" s="3197">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4">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64">
        <f t="shared" si="37"/>
        <v>0</v>
      </c>
      <c r="AW77" s="464">
        <f t="shared" si="38"/>
        <v>0</v>
      </c>
      <c r="AX77" s="464">
        <f t="shared" si="39"/>
        <v>0</v>
      </c>
      <c r="AY77" s="3261">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6">
        <f t="shared" si="61"/>
        <v>0</v>
      </c>
    </row>
    <row r="78" spans="1:72">
      <c r="A78" s="3192"/>
      <c r="B78" s="3193"/>
      <c r="C78" s="3193"/>
      <c r="D78" s="3188"/>
      <c r="E78" s="3194">
        <f t="shared" si="33"/>
        <v>0</v>
      </c>
      <c r="F78" s="3195"/>
      <c r="G78" s="3196">
        <f t="shared" si="34"/>
        <v>0</v>
      </c>
      <c r="H78" s="3197">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4">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64">
        <f t="shared" si="37"/>
        <v>0</v>
      </c>
      <c r="AW78" s="464">
        <f t="shared" si="38"/>
        <v>0</v>
      </c>
      <c r="AX78" s="464">
        <f t="shared" si="39"/>
        <v>0</v>
      </c>
      <c r="AY78" s="3261">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6">
        <f t="shared" si="61"/>
        <v>0</v>
      </c>
    </row>
    <row r="79" spans="1:72">
      <c r="A79" s="3192"/>
      <c r="B79" s="3193"/>
      <c r="C79" s="3193"/>
      <c r="D79" s="3188"/>
      <c r="E79" s="3194">
        <f t="shared" si="33"/>
        <v>0</v>
      </c>
      <c r="F79" s="3195"/>
      <c r="G79" s="3196">
        <f t="shared" si="34"/>
        <v>0</v>
      </c>
      <c r="H79" s="3197">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4">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64">
        <f t="shared" si="37"/>
        <v>0</v>
      </c>
      <c r="AW79" s="464">
        <f t="shared" si="38"/>
        <v>0</v>
      </c>
      <c r="AX79" s="464">
        <f t="shared" si="39"/>
        <v>0</v>
      </c>
      <c r="AY79" s="3261">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6">
        <f t="shared" si="61"/>
        <v>0</v>
      </c>
    </row>
    <row r="80" spans="1:72">
      <c r="A80" s="3192"/>
      <c r="B80" s="3193"/>
      <c r="C80" s="3193"/>
      <c r="D80" s="3188"/>
      <c r="E80" s="3194">
        <f t="shared" si="33"/>
        <v>0</v>
      </c>
      <c r="F80" s="3195"/>
      <c r="G80" s="3196">
        <f t="shared" si="34"/>
        <v>0</v>
      </c>
      <c r="H80" s="3197">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4">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64">
        <f t="shared" si="37"/>
        <v>0</v>
      </c>
      <c r="AW80" s="464">
        <f t="shared" si="38"/>
        <v>0</v>
      </c>
      <c r="AX80" s="464">
        <f t="shared" si="39"/>
        <v>0</v>
      </c>
      <c r="AY80" s="3261">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6">
        <f t="shared" si="61"/>
        <v>0</v>
      </c>
    </row>
    <row r="81" spans="1:72">
      <c r="A81" s="3192"/>
      <c r="B81" s="3193"/>
      <c r="C81" s="3193"/>
      <c r="D81" s="3188"/>
      <c r="E81" s="3194">
        <f t="shared" si="33"/>
        <v>0</v>
      </c>
      <c r="F81" s="3195"/>
      <c r="G81" s="3196">
        <f t="shared" si="34"/>
        <v>0</v>
      </c>
      <c r="H81" s="3197">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4">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64">
        <f t="shared" si="37"/>
        <v>0</v>
      </c>
      <c r="AW81" s="464">
        <f t="shared" si="38"/>
        <v>0</v>
      </c>
      <c r="AX81" s="464">
        <f t="shared" si="39"/>
        <v>0</v>
      </c>
      <c r="AY81" s="3261">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6">
        <f t="shared" si="61"/>
        <v>0</v>
      </c>
    </row>
    <row r="82" spans="1:72">
      <c r="A82" s="3192"/>
      <c r="B82" s="3193"/>
      <c r="C82" s="3193"/>
      <c r="D82" s="3188"/>
      <c r="E82" s="3194">
        <f t="shared" si="33"/>
        <v>0</v>
      </c>
      <c r="F82" s="3195"/>
      <c r="G82" s="3196">
        <f t="shared" si="34"/>
        <v>0</v>
      </c>
      <c r="H82" s="3197">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4">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64">
        <f t="shared" si="37"/>
        <v>0</v>
      </c>
      <c r="AW82" s="464">
        <f t="shared" si="38"/>
        <v>0</v>
      </c>
      <c r="AX82" s="464">
        <f t="shared" si="39"/>
        <v>0</v>
      </c>
      <c r="AY82" s="3261">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6">
        <f t="shared" si="61"/>
        <v>0</v>
      </c>
    </row>
    <row r="83" spans="1:72">
      <c r="A83" s="3192"/>
      <c r="B83" s="3193"/>
      <c r="C83" s="3193"/>
      <c r="D83" s="3188"/>
      <c r="E83" s="3194">
        <f t="shared" si="33"/>
        <v>0</v>
      </c>
      <c r="F83" s="3195"/>
      <c r="G83" s="3196">
        <f t="shared" si="34"/>
        <v>0</v>
      </c>
      <c r="H83" s="3197">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4">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64">
        <f t="shared" si="37"/>
        <v>0</v>
      </c>
      <c r="AW83" s="464">
        <f t="shared" si="38"/>
        <v>0</v>
      </c>
      <c r="AX83" s="464">
        <f t="shared" si="39"/>
        <v>0</v>
      </c>
      <c r="AY83" s="3261">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6">
        <f t="shared" si="61"/>
        <v>0</v>
      </c>
    </row>
    <row r="84" spans="1:72">
      <c r="A84" s="3192"/>
      <c r="B84" s="3193"/>
      <c r="C84" s="3193"/>
      <c r="D84" s="3188"/>
      <c r="E84" s="3194">
        <f t="shared" si="33"/>
        <v>0</v>
      </c>
      <c r="F84" s="3195"/>
      <c r="G84" s="3196">
        <f t="shared" si="34"/>
        <v>0</v>
      </c>
      <c r="H84" s="3197">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4">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64">
        <f t="shared" si="37"/>
        <v>0</v>
      </c>
      <c r="AW84" s="464">
        <f t="shared" si="38"/>
        <v>0</v>
      </c>
      <c r="AX84" s="464">
        <f t="shared" si="39"/>
        <v>0</v>
      </c>
      <c r="AY84" s="3261">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6">
        <f t="shared" si="61"/>
        <v>0</v>
      </c>
    </row>
    <row r="85" spans="1:72">
      <c r="A85" s="3192"/>
      <c r="B85" s="3193"/>
      <c r="C85" s="3193"/>
      <c r="D85" s="3188"/>
      <c r="E85" s="3194">
        <f t="shared" si="33"/>
        <v>0</v>
      </c>
      <c r="F85" s="3195"/>
      <c r="G85" s="3196">
        <f t="shared" si="34"/>
        <v>0</v>
      </c>
      <c r="H85" s="3197">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4">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64">
        <f t="shared" si="37"/>
        <v>0</v>
      </c>
      <c r="AW85" s="464">
        <f t="shared" si="38"/>
        <v>0</v>
      </c>
      <c r="AX85" s="464">
        <f t="shared" si="39"/>
        <v>0</v>
      </c>
      <c r="AY85" s="3261">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6">
        <f t="shared" si="61"/>
        <v>0</v>
      </c>
    </row>
    <row r="86" spans="1:72">
      <c r="A86" s="3192"/>
      <c r="B86" s="3193"/>
      <c r="C86" s="3193"/>
      <c r="D86" s="3188"/>
      <c r="E86" s="3194">
        <f t="shared" si="33"/>
        <v>0</v>
      </c>
      <c r="F86" s="3195"/>
      <c r="G86" s="3196">
        <f t="shared" si="34"/>
        <v>0</v>
      </c>
      <c r="H86" s="3197">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4">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64">
        <f t="shared" si="37"/>
        <v>0</v>
      </c>
      <c r="AW86" s="464">
        <f t="shared" si="38"/>
        <v>0</v>
      </c>
      <c r="AX86" s="464">
        <f t="shared" si="39"/>
        <v>0</v>
      </c>
      <c r="AY86" s="3261">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6">
        <f t="shared" si="61"/>
        <v>0</v>
      </c>
    </row>
    <row r="87" spans="1:72">
      <c r="A87" s="3192"/>
      <c r="B87" s="3193"/>
      <c r="C87" s="3193"/>
      <c r="D87" s="3188"/>
      <c r="E87" s="3194">
        <f t="shared" si="33"/>
        <v>0</v>
      </c>
      <c r="F87" s="3195"/>
      <c r="G87" s="3196">
        <f t="shared" si="34"/>
        <v>0</v>
      </c>
      <c r="H87" s="3197">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4">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64">
        <f t="shared" si="37"/>
        <v>0</v>
      </c>
      <c r="AW87" s="464">
        <f t="shared" si="38"/>
        <v>0</v>
      </c>
      <c r="AX87" s="464">
        <f t="shared" si="39"/>
        <v>0</v>
      </c>
      <c r="AY87" s="3261">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6">
        <f t="shared" si="61"/>
        <v>0</v>
      </c>
    </row>
    <row r="88" spans="1:72">
      <c r="A88" s="3192"/>
      <c r="B88" s="3193"/>
      <c r="C88" s="3193"/>
      <c r="D88" s="3188"/>
      <c r="E88" s="3194">
        <f t="shared" si="33"/>
        <v>0</v>
      </c>
      <c r="F88" s="3195"/>
      <c r="G88" s="3196">
        <f t="shared" si="34"/>
        <v>0</v>
      </c>
      <c r="H88" s="3197">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4">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64">
        <f t="shared" si="37"/>
        <v>0</v>
      </c>
      <c r="AW88" s="464">
        <f t="shared" si="38"/>
        <v>0</v>
      </c>
      <c r="AX88" s="464">
        <f t="shared" si="39"/>
        <v>0</v>
      </c>
      <c r="AY88" s="3261">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6">
        <f t="shared" si="61"/>
        <v>0</v>
      </c>
    </row>
    <row r="89" spans="1:72">
      <c r="A89" s="3192"/>
      <c r="B89" s="3193"/>
      <c r="C89" s="3193"/>
      <c r="D89" s="3188"/>
      <c r="E89" s="3194">
        <f t="shared" si="33"/>
        <v>0</v>
      </c>
      <c r="F89" s="3195"/>
      <c r="G89" s="3196">
        <f t="shared" si="34"/>
        <v>0</v>
      </c>
      <c r="H89" s="3197">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4">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64">
        <f t="shared" si="37"/>
        <v>0</v>
      </c>
      <c r="AW89" s="464">
        <f t="shared" si="38"/>
        <v>0</v>
      </c>
      <c r="AX89" s="464">
        <f t="shared" si="39"/>
        <v>0</v>
      </c>
      <c r="AY89" s="3261">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6">
        <f t="shared" si="61"/>
        <v>0</v>
      </c>
    </row>
    <row r="90" spans="1:72">
      <c r="A90" s="3192"/>
      <c r="B90" s="3193"/>
      <c r="C90" s="3193"/>
      <c r="D90" s="3188"/>
      <c r="E90" s="3194">
        <f t="shared" si="33"/>
        <v>0</v>
      </c>
      <c r="F90" s="3195"/>
      <c r="G90" s="3196">
        <f t="shared" si="34"/>
        <v>0</v>
      </c>
      <c r="H90" s="3197">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4">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64">
        <f t="shared" si="37"/>
        <v>0</v>
      </c>
      <c r="AW90" s="464">
        <f t="shared" si="38"/>
        <v>0</v>
      </c>
      <c r="AX90" s="464">
        <f t="shared" si="39"/>
        <v>0</v>
      </c>
      <c r="AY90" s="3261">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6">
        <f t="shared" si="61"/>
        <v>0</v>
      </c>
    </row>
    <row r="91" spans="1:72">
      <c r="A91" s="3192"/>
      <c r="B91" s="3193"/>
      <c r="C91" s="3193"/>
      <c r="D91" s="3188"/>
      <c r="E91" s="3194">
        <f t="shared" si="33"/>
        <v>0</v>
      </c>
      <c r="F91" s="3195"/>
      <c r="G91" s="3196">
        <f t="shared" si="34"/>
        <v>0</v>
      </c>
      <c r="H91" s="3197">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4">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64">
        <f t="shared" si="37"/>
        <v>0</v>
      </c>
      <c r="AW91" s="464">
        <f t="shared" si="38"/>
        <v>0</v>
      </c>
      <c r="AX91" s="464">
        <f t="shared" si="39"/>
        <v>0</v>
      </c>
      <c r="AY91" s="3261">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6">
        <f t="shared" si="61"/>
        <v>0</v>
      </c>
    </row>
    <row r="92" spans="1:72">
      <c r="A92" s="3192"/>
      <c r="B92" s="3193"/>
      <c r="C92" s="3193"/>
      <c r="D92" s="3188"/>
      <c r="E92" s="3194">
        <f t="shared" si="33"/>
        <v>0</v>
      </c>
      <c r="F92" s="3195"/>
      <c r="G92" s="3196">
        <f t="shared" si="34"/>
        <v>0</v>
      </c>
      <c r="H92" s="3197">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4">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64">
        <f t="shared" si="37"/>
        <v>0</v>
      </c>
      <c r="AW92" s="464">
        <f t="shared" si="38"/>
        <v>0</v>
      </c>
      <c r="AX92" s="464">
        <f t="shared" si="39"/>
        <v>0</v>
      </c>
      <c r="AY92" s="3261">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6">
        <f t="shared" si="61"/>
        <v>0</v>
      </c>
    </row>
    <row r="93" spans="1:72">
      <c r="A93" s="3192"/>
      <c r="B93" s="3193"/>
      <c r="C93" s="3193"/>
      <c r="D93" s="3188"/>
      <c r="E93" s="3194">
        <f t="shared" si="33"/>
        <v>0</v>
      </c>
      <c r="F93" s="3195"/>
      <c r="G93" s="3196">
        <f t="shared" si="34"/>
        <v>0</v>
      </c>
      <c r="H93" s="3197">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4">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64">
        <f t="shared" si="37"/>
        <v>0</v>
      </c>
      <c r="AW93" s="464">
        <f t="shared" si="38"/>
        <v>0</v>
      </c>
      <c r="AX93" s="464">
        <f t="shared" si="39"/>
        <v>0</v>
      </c>
      <c r="AY93" s="3261">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6">
        <f t="shared" si="61"/>
        <v>0</v>
      </c>
    </row>
    <row r="94" spans="1:72">
      <c r="A94" s="3192"/>
      <c r="B94" s="3193"/>
      <c r="C94" s="3193"/>
      <c r="D94" s="3188"/>
      <c r="E94" s="3194">
        <f t="shared" si="33"/>
        <v>0</v>
      </c>
      <c r="F94" s="3195"/>
      <c r="G94" s="3196">
        <f t="shared" si="34"/>
        <v>0</v>
      </c>
      <c r="H94" s="3197">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4">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64">
        <f t="shared" si="37"/>
        <v>0</v>
      </c>
      <c r="AW94" s="464">
        <f t="shared" si="38"/>
        <v>0</v>
      </c>
      <c r="AX94" s="464">
        <f t="shared" si="39"/>
        <v>0</v>
      </c>
      <c r="AY94" s="3261">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6">
        <f t="shared" si="61"/>
        <v>0</v>
      </c>
    </row>
    <row r="95" spans="1:72">
      <c r="A95" s="3192"/>
      <c r="B95" s="3193"/>
      <c r="C95" s="3193"/>
      <c r="D95" s="3188"/>
      <c r="E95" s="3194">
        <f t="shared" si="33"/>
        <v>0</v>
      </c>
      <c r="F95" s="3195"/>
      <c r="G95" s="3196">
        <f t="shared" si="34"/>
        <v>0</v>
      </c>
      <c r="H95" s="3197">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4">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64">
        <f t="shared" si="37"/>
        <v>0</v>
      </c>
      <c r="AW95" s="464">
        <f t="shared" si="38"/>
        <v>0</v>
      </c>
      <c r="AX95" s="464">
        <f t="shared" si="39"/>
        <v>0</v>
      </c>
      <c r="AY95" s="3261">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6">
        <f t="shared" si="61"/>
        <v>0</v>
      </c>
    </row>
    <row r="96" spans="1:72">
      <c r="A96" s="3192"/>
      <c r="B96" s="3193"/>
      <c r="C96" s="3193"/>
      <c r="D96" s="3188"/>
      <c r="E96" s="3194">
        <f t="shared" si="33"/>
        <v>0</v>
      </c>
      <c r="F96" s="3195"/>
      <c r="G96" s="3196">
        <f t="shared" si="34"/>
        <v>0</v>
      </c>
      <c r="H96" s="3197">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4">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64">
        <f t="shared" si="37"/>
        <v>0</v>
      </c>
      <c r="AW96" s="464">
        <f t="shared" si="38"/>
        <v>0</v>
      </c>
      <c r="AX96" s="464">
        <f t="shared" si="39"/>
        <v>0</v>
      </c>
      <c r="AY96" s="3261">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6">
        <f t="shared" si="61"/>
        <v>0</v>
      </c>
    </row>
    <row r="97" spans="1:72">
      <c r="A97" s="3192"/>
      <c r="B97" s="3193"/>
      <c r="C97" s="3193"/>
      <c r="D97" s="3188"/>
      <c r="E97" s="3194">
        <f t="shared" si="33"/>
        <v>0</v>
      </c>
      <c r="F97" s="3195"/>
      <c r="G97" s="3196">
        <f t="shared" si="34"/>
        <v>0</v>
      </c>
      <c r="H97" s="3197">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4">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64">
        <f t="shared" si="37"/>
        <v>0</v>
      </c>
      <c r="AW97" s="464">
        <f t="shared" si="38"/>
        <v>0</v>
      </c>
      <c r="AX97" s="464">
        <f t="shared" si="39"/>
        <v>0</v>
      </c>
      <c r="AY97" s="3261">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6">
        <f t="shared" si="61"/>
        <v>0</v>
      </c>
    </row>
    <row r="98" spans="1:72">
      <c r="A98" s="3192"/>
      <c r="B98" s="3193"/>
      <c r="C98" s="3193"/>
      <c r="D98" s="3188"/>
      <c r="E98" s="3194">
        <f t="shared" si="33"/>
        <v>0</v>
      </c>
      <c r="F98" s="3195"/>
      <c r="G98" s="3196">
        <f t="shared" si="34"/>
        <v>0</v>
      </c>
      <c r="H98" s="3197">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4">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64">
        <f t="shared" si="37"/>
        <v>0</v>
      </c>
      <c r="AW98" s="464">
        <f t="shared" si="38"/>
        <v>0</v>
      </c>
      <c r="AX98" s="464">
        <f t="shared" si="39"/>
        <v>0</v>
      </c>
      <c r="AY98" s="3261">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6">
        <f t="shared" si="61"/>
        <v>0</v>
      </c>
    </row>
    <row r="99" spans="1:72">
      <c r="A99" s="3192"/>
      <c r="B99" s="3193"/>
      <c r="C99" s="3193"/>
      <c r="D99" s="3188"/>
      <c r="E99" s="3194">
        <f t="shared" si="33"/>
        <v>0</v>
      </c>
      <c r="F99" s="3195"/>
      <c r="G99" s="3196">
        <f t="shared" si="34"/>
        <v>0</v>
      </c>
      <c r="H99" s="3197">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4">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64">
        <f t="shared" si="37"/>
        <v>0</v>
      </c>
      <c r="AW99" s="464">
        <f t="shared" si="38"/>
        <v>0</v>
      </c>
      <c r="AX99" s="464">
        <f t="shared" si="39"/>
        <v>0</v>
      </c>
      <c r="AY99" s="3261">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6">
        <f t="shared" si="61"/>
        <v>0</v>
      </c>
    </row>
    <row r="100" spans="1:72">
      <c r="A100" s="3192"/>
      <c r="B100" s="3193"/>
      <c r="C100" s="3193"/>
      <c r="D100" s="3188"/>
      <c r="E100" s="3194">
        <f t="shared" si="33"/>
        <v>0</v>
      </c>
      <c r="F100" s="3195"/>
      <c r="G100" s="3196">
        <f t="shared" si="34"/>
        <v>0</v>
      </c>
      <c r="H100" s="3197">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4">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64">
        <f t="shared" si="37"/>
        <v>0</v>
      </c>
      <c r="AW100" s="464">
        <f t="shared" si="38"/>
        <v>0</v>
      </c>
      <c r="AX100" s="464">
        <f t="shared" si="39"/>
        <v>0</v>
      </c>
      <c r="AY100" s="3261">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6">
        <f t="shared" si="61"/>
        <v>0</v>
      </c>
    </row>
    <row r="101" spans="1:72">
      <c r="A101" s="3192"/>
      <c r="B101" s="3193"/>
      <c r="C101" s="3193"/>
      <c r="D101" s="3188"/>
      <c r="E101" s="3194">
        <f t="shared" si="33"/>
        <v>0</v>
      </c>
      <c r="F101" s="3195"/>
      <c r="G101" s="3196">
        <f t="shared" si="34"/>
        <v>0</v>
      </c>
      <c r="H101" s="3197">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4">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64">
        <f t="shared" si="37"/>
        <v>0</v>
      </c>
      <c r="AW101" s="464">
        <f t="shared" si="38"/>
        <v>0</v>
      </c>
      <c r="AX101" s="464">
        <f t="shared" si="39"/>
        <v>0</v>
      </c>
      <c r="AY101" s="3261">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6">
        <f t="shared" si="61"/>
        <v>0</v>
      </c>
    </row>
    <row r="102" spans="1:72">
      <c r="A102" s="3192"/>
      <c r="B102" s="3193"/>
      <c r="C102" s="3193"/>
      <c r="D102" s="3188"/>
      <c r="E102" s="3194">
        <f t="shared" si="33"/>
        <v>0</v>
      </c>
      <c r="F102" s="3195"/>
      <c r="G102" s="3196">
        <f t="shared" si="34"/>
        <v>0</v>
      </c>
      <c r="H102" s="3197">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4">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64">
        <f t="shared" si="37"/>
        <v>0</v>
      </c>
      <c r="AW102" s="464">
        <f t="shared" si="38"/>
        <v>0</v>
      </c>
      <c r="AX102" s="464">
        <f t="shared" si="39"/>
        <v>0</v>
      </c>
      <c r="AY102" s="3261">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6">
        <f t="shared" si="61"/>
        <v>0</v>
      </c>
    </row>
    <row r="103" spans="1:72">
      <c r="A103" s="3192"/>
      <c r="B103" s="3193"/>
      <c r="C103" s="3193"/>
      <c r="D103" s="3188"/>
      <c r="E103" s="3194">
        <f t="shared" si="33"/>
        <v>0</v>
      </c>
      <c r="F103" s="3195"/>
      <c r="G103" s="3196">
        <f t="shared" si="34"/>
        <v>0</v>
      </c>
      <c r="H103" s="3197">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4">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64">
        <f t="shared" si="37"/>
        <v>0</v>
      </c>
      <c r="AW103" s="464">
        <f t="shared" si="38"/>
        <v>0</v>
      </c>
      <c r="AX103" s="464">
        <f t="shared" si="39"/>
        <v>0</v>
      </c>
      <c r="AY103" s="3261">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6">
        <f t="shared" si="61"/>
        <v>0</v>
      </c>
    </row>
    <row r="104" spans="1:72">
      <c r="A104" s="3192"/>
      <c r="B104" s="3193"/>
      <c r="C104" s="3193"/>
      <c r="D104" s="3188"/>
      <c r="E104" s="3194">
        <f t="shared" si="33"/>
        <v>0</v>
      </c>
      <c r="F104" s="3195"/>
      <c r="G104" s="3196">
        <f t="shared" si="34"/>
        <v>0</v>
      </c>
      <c r="H104" s="3197">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4">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64">
        <f t="shared" si="37"/>
        <v>0</v>
      </c>
      <c r="AW104" s="464">
        <f t="shared" si="38"/>
        <v>0</v>
      </c>
      <c r="AX104" s="464">
        <f t="shared" si="39"/>
        <v>0</v>
      </c>
      <c r="AY104" s="3261">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6">
        <f t="shared" si="61"/>
        <v>0</v>
      </c>
    </row>
    <row r="105" spans="1:72">
      <c r="A105" s="3192"/>
      <c r="B105" s="3193"/>
      <c r="C105" s="3193"/>
      <c r="D105" s="3188"/>
      <c r="E105" s="3194">
        <f t="shared" si="33"/>
        <v>0</v>
      </c>
      <c r="F105" s="3195"/>
      <c r="G105" s="3196">
        <f t="shared" si="34"/>
        <v>0</v>
      </c>
      <c r="H105" s="3197">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4">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64">
        <f t="shared" si="37"/>
        <v>0</v>
      </c>
      <c r="AW105" s="464">
        <f t="shared" si="38"/>
        <v>0</v>
      </c>
      <c r="AX105" s="464">
        <f t="shared" si="39"/>
        <v>0</v>
      </c>
      <c r="AY105" s="3261">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6">
        <f t="shared" si="61"/>
        <v>0</v>
      </c>
    </row>
    <row r="106" spans="1:72">
      <c r="A106" s="3192"/>
      <c r="B106" s="3193"/>
      <c r="C106" s="3193"/>
      <c r="D106" s="3188"/>
      <c r="E106" s="3194">
        <f t="shared" si="33"/>
        <v>0</v>
      </c>
      <c r="F106" s="3195"/>
      <c r="G106" s="3196">
        <f t="shared" si="34"/>
        <v>0</v>
      </c>
      <c r="H106" s="3197">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4">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64">
        <f t="shared" si="37"/>
        <v>0</v>
      </c>
      <c r="AW106" s="464">
        <f t="shared" si="38"/>
        <v>0</v>
      </c>
      <c r="AX106" s="464">
        <f t="shared" si="39"/>
        <v>0</v>
      </c>
      <c r="AY106" s="3261">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6">
        <f t="shared" si="61"/>
        <v>0</v>
      </c>
    </row>
    <row r="107" spans="1:72">
      <c r="A107" s="3192"/>
      <c r="B107" s="3193"/>
      <c r="C107" s="3193"/>
      <c r="D107" s="3188"/>
      <c r="E107" s="3194">
        <f t="shared" si="33"/>
        <v>0</v>
      </c>
      <c r="F107" s="3195"/>
      <c r="G107" s="3196">
        <f t="shared" si="34"/>
        <v>0</v>
      </c>
      <c r="H107" s="3197">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4">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64">
        <f t="shared" si="37"/>
        <v>0</v>
      </c>
      <c r="AW107" s="464">
        <f t="shared" si="38"/>
        <v>0</v>
      </c>
      <c r="AX107" s="464">
        <f t="shared" si="39"/>
        <v>0</v>
      </c>
      <c r="AY107" s="3261">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6">
        <f t="shared" si="61"/>
        <v>0</v>
      </c>
    </row>
    <row r="108" spans="1:72">
      <c r="A108" s="3192"/>
      <c r="B108" s="3193"/>
      <c r="C108" s="3193"/>
      <c r="D108" s="3188"/>
      <c r="E108" s="3194">
        <f t="shared" si="33"/>
        <v>0</v>
      </c>
      <c r="F108" s="3195"/>
      <c r="G108" s="3196">
        <f t="shared" si="34"/>
        <v>0</v>
      </c>
      <c r="H108" s="3197">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4">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64">
        <f t="shared" si="37"/>
        <v>0</v>
      </c>
      <c r="AW108" s="464">
        <f t="shared" si="38"/>
        <v>0</v>
      </c>
      <c r="AX108" s="464">
        <f t="shared" si="39"/>
        <v>0</v>
      </c>
      <c r="AY108" s="3261">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6">
        <f t="shared" si="61"/>
        <v>0</v>
      </c>
    </row>
    <row r="109" spans="1:72">
      <c r="A109" s="3192"/>
      <c r="B109" s="3193"/>
      <c r="C109" s="3193"/>
      <c r="D109" s="3188"/>
      <c r="E109" s="3194">
        <f t="shared" si="33"/>
        <v>0</v>
      </c>
      <c r="F109" s="3195"/>
      <c r="G109" s="3196">
        <f t="shared" si="34"/>
        <v>0</v>
      </c>
      <c r="H109" s="3197">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4">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64">
        <f t="shared" si="37"/>
        <v>0</v>
      </c>
      <c r="AW109" s="464">
        <f t="shared" si="38"/>
        <v>0</v>
      </c>
      <c r="AX109" s="464">
        <f t="shared" si="39"/>
        <v>0</v>
      </c>
      <c r="AY109" s="3261">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6">
        <f t="shared" si="61"/>
        <v>0</v>
      </c>
    </row>
    <row r="110" spans="1:72">
      <c r="A110" s="3192"/>
      <c r="B110" s="3192"/>
      <c r="C110" s="3192"/>
      <c r="D110" s="3188"/>
      <c r="E110" s="3194">
        <f t="shared" si="33"/>
        <v>0</v>
      </c>
      <c r="F110" s="3267"/>
      <c r="G110" s="3196">
        <f t="shared" ref="G110:G141" si="62">H110+AC110+AT110</f>
        <v>0</v>
      </c>
      <c r="H110" s="3197">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4">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64">
        <f t="shared" si="37"/>
        <v>0</v>
      </c>
      <c r="AW110" s="464">
        <f t="shared" si="38"/>
        <v>0</v>
      </c>
      <c r="AX110" s="464">
        <f t="shared" si="39"/>
        <v>0</v>
      </c>
      <c r="AY110" s="3261">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6">
        <f t="shared" ref="BT110:BT141" si="86">IF($D110="是",AR110-AS110,0)</f>
        <v>0</v>
      </c>
    </row>
    <row r="111" spans="1:72">
      <c r="A111" s="3192"/>
      <c r="B111" s="3192"/>
      <c r="C111" s="3192"/>
      <c r="D111" s="3188"/>
      <c r="E111" s="3194">
        <f t="shared" si="33"/>
        <v>0</v>
      </c>
      <c r="F111" s="3267"/>
      <c r="G111" s="3196">
        <f t="shared" si="62"/>
        <v>0</v>
      </c>
      <c r="H111" s="3197">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4">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64">
        <f t="shared" si="37"/>
        <v>0</v>
      </c>
      <c r="AW111" s="464">
        <f t="shared" si="38"/>
        <v>0</v>
      </c>
      <c r="AX111" s="464">
        <f t="shared" si="39"/>
        <v>0</v>
      </c>
      <c r="AY111" s="3261">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6">
        <f t="shared" si="86"/>
        <v>0</v>
      </c>
    </row>
    <row r="112" spans="1:72">
      <c r="A112" s="3192"/>
      <c r="B112" s="3192"/>
      <c r="C112" s="3192"/>
      <c r="D112" s="3188"/>
      <c r="E112" s="3194">
        <f t="shared" si="33"/>
        <v>0</v>
      </c>
      <c r="F112" s="3267"/>
      <c r="G112" s="3196">
        <f t="shared" si="62"/>
        <v>0</v>
      </c>
      <c r="H112" s="3197">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4">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64">
        <f t="shared" si="37"/>
        <v>0</v>
      </c>
      <c r="AW112" s="464">
        <f t="shared" si="38"/>
        <v>0</v>
      </c>
      <c r="AX112" s="464">
        <f t="shared" si="39"/>
        <v>0</v>
      </c>
      <c r="AY112" s="3261">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6">
        <f t="shared" si="86"/>
        <v>0</v>
      </c>
    </row>
    <row r="113" spans="1:72">
      <c r="A113" s="3192"/>
      <c r="B113" s="3200"/>
      <c r="C113" s="3199"/>
      <c r="D113" s="3188"/>
      <c r="E113" s="3194">
        <f t="shared" ref="E113:E144" si="87">IF($C$3="是",ROUND($A$3*G113/$B$3,2),ROUND($A$3*(G113-AT113)/$B$3,2))</f>
        <v>0</v>
      </c>
      <c r="F113" s="3195"/>
      <c r="G113" s="3196">
        <f t="shared" si="62"/>
        <v>0</v>
      </c>
      <c r="H113" s="3197">
        <f t="shared" si="63"/>
        <v>0</v>
      </c>
      <c r="I113" s="3202"/>
      <c r="J113" s="3213"/>
      <c r="K113" s="3202"/>
      <c r="L113" s="3213"/>
      <c r="M113" s="3213"/>
      <c r="N113" s="3213"/>
      <c r="O113" s="3213"/>
      <c r="P113" s="3213"/>
      <c r="Q113" s="3213"/>
      <c r="R113" s="3213"/>
      <c r="S113" s="3213"/>
      <c r="T113" s="3213"/>
      <c r="U113" s="3213"/>
      <c r="V113" s="3213"/>
      <c r="W113" s="3213"/>
      <c r="X113" s="3213"/>
      <c r="Y113" s="3213"/>
      <c r="Z113" s="3213"/>
      <c r="AA113" s="3213"/>
      <c r="AB113" s="3213"/>
      <c r="AC113" s="3194">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64">
        <f t="shared" ref="AV113:AV144" si="88">A113</f>
        <v>0</v>
      </c>
      <c r="AW113" s="464">
        <f t="shared" ref="AW113:AW144" si="89">B113</f>
        <v>0</v>
      </c>
      <c r="AX113" s="464">
        <f t="shared" ref="AX113:AX144" si="90">C113</f>
        <v>0</v>
      </c>
      <c r="AY113" s="3261">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6">
        <f t="shared" si="86"/>
        <v>0</v>
      </c>
    </row>
    <row r="114" spans="1:72">
      <c r="A114" s="3192"/>
      <c r="B114" s="3200"/>
      <c r="C114" s="3199"/>
      <c r="D114" s="3188"/>
      <c r="E114" s="3194">
        <f t="shared" si="87"/>
        <v>0</v>
      </c>
      <c r="F114" s="3195"/>
      <c r="G114" s="3196">
        <f t="shared" si="62"/>
        <v>0</v>
      </c>
      <c r="H114" s="3197">
        <f t="shared" si="63"/>
        <v>0</v>
      </c>
      <c r="I114" s="3202"/>
      <c r="J114" s="3213"/>
      <c r="K114" s="3202"/>
      <c r="L114" s="3213"/>
      <c r="M114" s="3214"/>
      <c r="N114" s="3213"/>
      <c r="O114" s="3213"/>
      <c r="P114" s="3213"/>
      <c r="Q114" s="3213"/>
      <c r="R114" s="3213"/>
      <c r="S114" s="3213"/>
      <c r="T114" s="3213"/>
      <c r="U114" s="3213"/>
      <c r="V114" s="3213"/>
      <c r="W114" s="3213"/>
      <c r="X114" s="3213"/>
      <c r="Y114" s="3213"/>
      <c r="Z114" s="3213"/>
      <c r="AA114" s="3213"/>
      <c r="AB114" s="3213"/>
      <c r="AC114" s="3194">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64">
        <f t="shared" si="88"/>
        <v>0</v>
      </c>
      <c r="AW114" s="464">
        <f t="shared" si="89"/>
        <v>0</v>
      </c>
      <c r="AX114" s="464">
        <f t="shared" si="90"/>
        <v>0</v>
      </c>
      <c r="AY114" s="3261">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6">
        <f t="shared" si="86"/>
        <v>0</v>
      </c>
    </row>
    <row r="115" spans="1:72">
      <c r="A115" s="3192"/>
      <c r="B115" s="3200"/>
      <c r="C115" s="3199"/>
      <c r="D115" s="3188"/>
      <c r="E115" s="3194">
        <f t="shared" si="87"/>
        <v>0</v>
      </c>
      <c r="F115" s="3195"/>
      <c r="G115" s="3196">
        <f t="shared" si="62"/>
        <v>0</v>
      </c>
      <c r="H115" s="3197">
        <f t="shared" si="63"/>
        <v>0</v>
      </c>
      <c r="I115" s="3202"/>
      <c r="J115" s="3213"/>
      <c r="K115" s="3202"/>
      <c r="L115" s="3213"/>
      <c r="M115" s="3214"/>
      <c r="N115" s="3213"/>
      <c r="O115" s="3213"/>
      <c r="P115" s="3213"/>
      <c r="Q115" s="3213"/>
      <c r="R115" s="3213"/>
      <c r="S115" s="3213"/>
      <c r="T115" s="3213"/>
      <c r="U115" s="3213"/>
      <c r="V115" s="3213"/>
      <c r="W115" s="3213"/>
      <c r="X115" s="3213"/>
      <c r="Y115" s="3213"/>
      <c r="Z115" s="3213"/>
      <c r="AA115" s="3213"/>
      <c r="AB115" s="3213"/>
      <c r="AC115" s="3194">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64">
        <f t="shared" si="88"/>
        <v>0</v>
      </c>
      <c r="AW115" s="464">
        <f t="shared" si="89"/>
        <v>0</v>
      </c>
      <c r="AX115" s="464">
        <f t="shared" si="90"/>
        <v>0</v>
      </c>
      <c r="AY115" s="3261">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6">
        <f t="shared" si="86"/>
        <v>0</v>
      </c>
    </row>
    <row r="116" spans="1:72">
      <c r="A116" s="3192"/>
      <c r="B116" s="3200"/>
      <c r="C116" s="3199"/>
      <c r="D116" s="3188"/>
      <c r="E116" s="3194">
        <f t="shared" si="87"/>
        <v>0</v>
      </c>
      <c r="F116" s="3195"/>
      <c r="G116" s="3196">
        <f t="shared" si="62"/>
        <v>0</v>
      </c>
      <c r="H116" s="3197">
        <f t="shared" si="63"/>
        <v>0</v>
      </c>
      <c r="I116" s="3202"/>
      <c r="J116" s="3213"/>
      <c r="K116" s="3202"/>
      <c r="L116" s="3213"/>
      <c r="M116" s="3213"/>
      <c r="N116" s="3213"/>
      <c r="O116" s="3214"/>
      <c r="P116" s="3213"/>
      <c r="Q116" s="3213"/>
      <c r="R116" s="3213"/>
      <c r="S116" s="3213"/>
      <c r="T116" s="3213"/>
      <c r="U116" s="3213"/>
      <c r="V116" s="3213"/>
      <c r="W116" s="3213"/>
      <c r="X116" s="3213"/>
      <c r="Y116" s="3213"/>
      <c r="Z116" s="3213"/>
      <c r="AA116" s="3213"/>
      <c r="AB116" s="3213"/>
      <c r="AC116" s="3194">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64">
        <f t="shared" si="88"/>
        <v>0</v>
      </c>
      <c r="AW116" s="464">
        <f t="shared" si="89"/>
        <v>0</v>
      </c>
      <c r="AX116" s="464">
        <f t="shared" si="90"/>
        <v>0</v>
      </c>
      <c r="AY116" s="3261">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6">
        <f t="shared" si="86"/>
        <v>0</v>
      </c>
    </row>
    <row r="117" spans="1:72">
      <c r="A117" s="3192"/>
      <c r="B117" s="3200"/>
      <c r="C117" s="3199"/>
      <c r="D117" s="3188"/>
      <c r="E117" s="3194">
        <f t="shared" si="87"/>
        <v>0</v>
      </c>
      <c r="F117" s="3195"/>
      <c r="G117" s="3196">
        <f t="shared" si="62"/>
        <v>0</v>
      </c>
      <c r="H117" s="3197">
        <f t="shared" si="63"/>
        <v>0</v>
      </c>
      <c r="I117" s="3202"/>
      <c r="J117" s="3213"/>
      <c r="K117" s="3202"/>
      <c r="L117" s="3213"/>
      <c r="M117" s="3213"/>
      <c r="N117" s="3213"/>
      <c r="O117" s="3213"/>
      <c r="P117" s="3213"/>
      <c r="Q117" s="3213"/>
      <c r="R117" s="3213"/>
      <c r="S117" s="3213"/>
      <c r="T117" s="3213"/>
      <c r="U117" s="3213"/>
      <c r="V117" s="3213"/>
      <c r="W117" s="3213"/>
      <c r="X117" s="3213"/>
      <c r="Y117" s="3213"/>
      <c r="Z117" s="3213"/>
      <c r="AA117" s="3213"/>
      <c r="AB117" s="3213"/>
      <c r="AC117" s="3194">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64">
        <f t="shared" si="88"/>
        <v>0</v>
      </c>
      <c r="AW117" s="464">
        <f t="shared" si="89"/>
        <v>0</v>
      </c>
      <c r="AX117" s="464">
        <f t="shared" si="90"/>
        <v>0</v>
      </c>
      <c r="AY117" s="3261">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6">
        <f t="shared" si="86"/>
        <v>0</v>
      </c>
    </row>
    <row r="118" spans="1:72">
      <c r="A118" s="3192"/>
      <c r="B118" s="3200"/>
      <c r="C118" s="3199"/>
      <c r="D118" s="3188"/>
      <c r="E118" s="3194">
        <f t="shared" si="87"/>
        <v>0</v>
      </c>
      <c r="F118" s="3195"/>
      <c r="G118" s="3196">
        <f t="shared" si="62"/>
        <v>0</v>
      </c>
      <c r="H118" s="3197">
        <f t="shared" si="63"/>
        <v>0</v>
      </c>
      <c r="I118" s="3202"/>
      <c r="J118" s="3213"/>
      <c r="K118" s="3202"/>
      <c r="L118" s="3213"/>
      <c r="M118" s="3213"/>
      <c r="N118" s="3213"/>
      <c r="O118" s="3213"/>
      <c r="P118" s="3213"/>
      <c r="Q118" s="3213"/>
      <c r="R118" s="3213"/>
      <c r="S118" s="3213"/>
      <c r="T118" s="3213"/>
      <c r="U118" s="3213"/>
      <c r="V118" s="3213"/>
      <c r="W118" s="3213"/>
      <c r="X118" s="3213"/>
      <c r="Y118" s="3213"/>
      <c r="Z118" s="3213"/>
      <c r="AA118" s="3213"/>
      <c r="AB118" s="3213"/>
      <c r="AC118" s="3194">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64">
        <f t="shared" si="88"/>
        <v>0</v>
      </c>
      <c r="AW118" s="464">
        <f t="shared" si="89"/>
        <v>0</v>
      </c>
      <c r="AX118" s="464">
        <f t="shared" si="90"/>
        <v>0</v>
      </c>
      <c r="AY118" s="3261">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6">
        <f t="shared" si="86"/>
        <v>0</v>
      </c>
    </row>
    <row r="119" spans="1:72">
      <c r="A119" s="3192"/>
      <c r="B119" s="3200"/>
      <c r="C119" s="3199"/>
      <c r="D119" s="3188"/>
      <c r="E119" s="3194">
        <f t="shared" si="87"/>
        <v>0</v>
      </c>
      <c r="F119" s="3195"/>
      <c r="G119" s="3196">
        <f t="shared" si="62"/>
        <v>0</v>
      </c>
      <c r="H119" s="3197">
        <f t="shared" si="63"/>
        <v>0</v>
      </c>
      <c r="I119" s="3202"/>
      <c r="J119" s="3213"/>
      <c r="K119" s="3202"/>
      <c r="L119" s="3213"/>
      <c r="M119" s="3213"/>
      <c r="N119" s="3213"/>
      <c r="O119" s="3213"/>
      <c r="P119" s="3213"/>
      <c r="Q119" s="3213"/>
      <c r="R119" s="3213"/>
      <c r="S119" s="3213"/>
      <c r="T119" s="3213"/>
      <c r="U119" s="3213"/>
      <c r="V119" s="3213"/>
      <c r="W119" s="3213"/>
      <c r="X119" s="3213"/>
      <c r="Y119" s="3213"/>
      <c r="Z119" s="3213"/>
      <c r="AA119" s="3213"/>
      <c r="AB119" s="3213"/>
      <c r="AC119" s="3194">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64">
        <f t="shared" si="88"/>
        <v>0</v>
      </c>
      <c r="AW119" s="464">
        <f t="shared" si="89"/>
        <v>0</v>
      </c>
      <c r="AX119" s="464">
        <f t="shared" si="90"/>
        <v>0</v>
      </c>
      <c r="AY119" s="3261">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6">
        <f t="shared" si="86"/>
        <v>0</v>
      </c>
    </row>
    <row r="120" spans="1:72">
      <c r="A120" s="3192"/>
      <c r="B120" s="3200"/>
      <c r="C120" s="3199"/>
      <c r="D120" s="3188"/>
      <c r="E120" s="3194">
        <f t="shared" si="87"/>
        <v>0</v>
      </c>
      <c r="F120" s="3195"/>
      <c r="G120" s="3196">
        <f t="shared" si="62"/>
        <v>0</v>
      </c>
      <c r="H120" s="3197">
        <f t="shared" si="63"/>
        <v>0</v>
      </c>
      <c r="I120" s="3202"/>
      <c r="J120" s="3213"/>
      <c r="K120" s="3202"/>
      <c r="L120" s="3213"/>
      <c r="M120" s="3213"/>
      <c r="N120" s="3213"/>
      <c r="O120" s="3213"/>
      <c r="P120" s="3213"/>
      <c r="Q120" s="3213"/>
      <c r="R120" s="3213"/>
      <c r="S120" s="3213"/>
      <c r="T120" s="3213"/>
      <c r="U120" s="3213"/>
      <c r="V120" s="3213"/>
      <c r="W120" s="3213"/>
      <c r="X120" s="3213"/>
      <c r="Y120" s="3213"/>
      <c r="Z120" s="3213"/>
      <c r="AA120" s="3213"/>
      <c r="AB120" s="3213"/>
      <c r="AC120" s="3194">
        <f t="shared" si="64"/>
        <v>0</v>
      </c>
      <c r="AD120" s="3224"/>
      <c r="AE120" s="3224"/>
      <c r="AF120" s="3202"/>
      <c r="AG120" s="3224"/>
      <c r="AH120" s="3224"/>
      <c r="AI120" s="3224"/>
      <c r="AJ120" s="3224"/>
      <c r="AK120" s="3224"/>
      <c r="AL120" s="3224"/>
      <c r="AM120" s="3224"/>
      <c r="AN120" s="3224"/>
      <c r="AO120" s="3224"/>
      <c r="AP120" s="3224"/>
      <c r="AQ120" s="3224"/>
      <c r="AR120" s="3224"/>
      <c r="AS120" s="3224"/>
      <c r="AT120" s="3244"/>
      <c r="AU120" s="3245"/>
      <c r="AV120" s="464">
        <f t="shared" si="88"/>
        <v>0</v>
      </c>
      <c r="AW120" s="464">
        <f t="shared" si="89"/>
        <v>0</v>
      </c>
      <c r="AX120" s="464">
        <f t="shared" si="90"/>
        <v>0</v>
      </c>
      <c r="AY120" s="3261">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6">
        <f t="shared" si="86"/>
        <v>0</v>
      </c>
    </row>
    <row r="121" spans="1:72">
      <c r="A121" s="3192"/>
      <c r="B121" s="3201"/>
      <c r="C121" s="3202"/>
      <c r="D121" s="3188"/>
      <c r="E121" s="3194">
        <f t="shared" si="87"/>
        <v>0</v>
      </c>
      <c r="F121" s="3195"/>
      <c r="G121" s="3196">
        <f t="shared" si="62"/>
        <v>0</v>
      </c>
      <c r="H121" s="3197">
        <f t="shared" si="63"/>
        <v>0</v>
      </c>
      <c r="I121" s="3202"/>
      <c r="J121" s="3213"/>
      <c r="K121" s="3202"/>
      <c r="L121" s="3213"/>
      <c r="M121" s="3213"/>
      <c r="N121" s="3213"/>
      <c r="O121" s="3213"/>
      <c r="P121" s="3213"/>
      <c r="Q121" s="3213"/>
      <c r="R121" s="3213"/>
      <c r="S121" s="3213"/>
      <c r="T121" s="3213"/>
      <c r="U121" s="3213"/>
      <c r="V121" s="3213"/>
      <c r="W121" s="3213"/>
      <c r="X121" s="3213"/>
      <c r="Y121" s="3213"/>
      <c r="Z121" s="3213"/>
      <c r="AA121" s="3213"/>
      <c r="AB121" s="3213"/>
      <c r="AC121" s="3194">
        <f t="shared" si="64"/>
        <v>0</v>
      </c>
      <c r="AD121" s="3224"/>
      <c r="AE121" s="3224"/>
      <c r="AF121" s="3202"/>
      <c r="AG121" s="3224"/>
      <c r="AH121" s="3224"/>
      <c r="AI121" s="3224"/>
      <c r="AJ121" s="3224"/>
      <c r="AK121" s="3224"/>
      <c r="AL121" s="3224"/>
      <c r="AM121" s="3224"/>
      <c r="AN121" s="3224"/>
      <c r="AO121" s="3224"/>
      <c r="AP121" s="3224"/>
      <c r="AQ121" s="3224"/>
      <c r="AR121" s="3224"/>
      <c r="AS121" s="3224"/>
      <c r="AT121" s="3244"/>
      <c r="AU121" s="3245"/>
      <c r="AV121" s="464">
        <f t="shared" si="88"/>
        <v>0</v>
      </c>
      <c r="AW121" s="464">
        <f t="shared" si="89"/>
        <v>0</v>
      </c>
      <c r="AX121" s="464">
        <f t="shared" si="90"/>
        <v>0</v>
      </c>
      <c r="AY121" s="3261">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6">
        <f t="shared" si="86"/>
        <v>0</v>
      </c>
    </row>
    <row r="122" spans="1:72">
      <c r="A122" s="3192"/>
      <c r="B122" s="3200"/>
      <c r="C122" s="3199"/>
      <c r="D122" s="3188"/>
      <c r="E122" s="3194">
        <f t="shared" si="87"/>
        <v>0</v>
      </c>
      <c r="F122" s="3195"/>
      <c r="G122" s="3196">
        <f t="shared" si="62"/>
        <v>0</v>
      </c>
      <c r="H122" s="3197">
        <f t="shared" si="63"/>
        <v>0</v>
      </c>
      <c r="I122" s="3202"/>
      <c r="J122" s="3213"/>
      <c r="K122" s="3202"/>
      <c r="L122" s="3213"/>
      <c r="M122" s="3213"/>
      <c r="N122" s="3213"/>
      <c r="O122" s="3213"/>
      <c r="P122" s="3213"/>
      <c r="Q122" s="3213"/>
      <c r="R122" s="3213"/>
      <c r="S122" s="3213"/>
      <c r="T122" s="3213"/>
      <c r="U122" s="3213"/>
      <c r="V122" s="3213"/>
      <c r="W122" s="3213"/>
      <c r="X122" s="3213"/>
      <c r="Y122" s="3213"/>
      <c r="Z122" s="3213"/>
      <c r="AA122" s="3213"/>
      <c r="AB122" s="3213"/>
      <c r="AC122" s="3194">
        <f t="shared" si="64"/>
        <v>0</v>
      </c>
      <c r="AD122" s="3224"/>
      <c r="AE122" s="3224"/>
      <c r="AF122" s="3202"/>
      <c r="AG122" s="3224"/>
      <c r="AH122" s="3224"/>
      <c r="AI122" s="3224"/>
      <c r="AJ122" s="3224"/>
      <c r="AK122" s="3224"/>
      <c r="AL122" s="3224"/>
      <c r="AM122" s="3224"/>
      <c r="AN122" s="3224"/>
      <c r="AO122" s="3224"/>
      <c r="AP122" s="3224"/>
      <c r="AQ122" s="3224"/>
      <c r="AR122" s="3224"/>
      <c r="AS122" s="3224"/>
      <c r="AT122" s="3244"/>
      <c r="AU122" s="3245"/>
      <c r="AV122" s="464">
        <f t="shared" si="88"/>
        <v>0</v>
      </c>
      <c r="AW122" s="464">
        <f t="shared" si="89"/>
        <v>0</v>
      </c>
      <c r="AX122" s="464">
        <f t="shared" si="90"/>
        <v>0</v>
      </c>
      <c r="AY122" s="3261">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6">
        <f t="shared" si="86"/>
        <v>0</v>
      </c>
    </row>
    <row r="123" spans="1:72">
      <c r="A123" s="3192"/>
      <c r="B123" s="3200"/>
      <c r="C123" s="3199"/>
      <c r="D123" s="3188"/>
      <c r="E123" s="3194">
        <f t="shared" si="87"/>
        <v>0</v>
      </c>
      <c r="F123" s="3195"/>
      <c r="G123" s="3196">
        <f t="shared" si="62"/>
        <v>0</v>
      </c>
      <c r="H123" s="3197">
        <f t="shared" si="63"/>
        <v>0</v>
      </c>
      <c r="I123" s="3202"/>
      <c r="J123" s="3213"/>
      <c r="K123" s="3202"/>
      <c r="L123" s="3213"/>
      <c r="M123" s="3213"/>
      <c r="N123" s="3213"/>
      <c r="O123" s="3213"/>
      <c r="P123" s="3213"/>
      <c r="Q123" s="3213"/>
      <c r="R123" s="3213"/>
      <c r="S123" s="3213"/>
      <c r="T123" s="3213"/>
      <c r="U123" s="3213"/>
      <c r="V123" s="3213"/>
      <c r="W123" s="3213"/>
      <c r="X123" s="3213"/>
      <c r="Y123" s="3213"/>
      <c r="Z123" s="3213"/>
      <c r="AA123" s="3213"/>
      <c r="AB123" s="3213"/>
      <c r="AC123" s="3194">
        <f t="shared" si="64"/>
        <v>0</v>
      </c>
      <c r="AD123" s="3224"/>
      <c r="AE123" s="3224"/>
      <c r="AF123" s="3202"/>
      <c r="AG123" s="3224"/>
      <c r="AH123" s="3224"/>
      <c r="AI123" s="3224"/>
      <c r="AJ123" s="3224"/>
      <c r="AK123" s="3224"/>
      <c r="AL123" s="3224"/>
      <c r="AM123" s="3224"/>
      <c r="AN123" s="3224"/>
      <c r="AO123" s="3224"/>
      <c r="AP123" s="3224"/>
      <c r="AQ123" s="3224"/>
      <c r="AR123" s="3224"/>
      <c r="AS123" s="3224"/>
      <c r="AT123" s="3244"/>
      <c r="AU123" s="3245"/>
      <c r="AV123" s="464">
        <f t="shared" si="88"/>
        <v>0</v>
      </c>
      <c r="AW123" s="464">
        <f t="shared" si="89"/>
        <v>0</v>
      </c>
      <c r="AX123" s="464">
        <f t="shared" si="90"/>
        <v>0</v>
      </c>
      <c r="AY123" s="3261">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6">
        <f t="shared" si="86"/>
        <v>0</v>
      </c>
    </row>
    <row r="124" spans="1:72">
      <c r="A124" s="3192"/>
      <c r="B124" s="3200"/>
      <c r="C124" s="3199"/>
      <c r="D124" s="3188"/>
      <c r="E124" s="3194">
        <f t="shared" si="87"/>
        <v>0</v>
      </c>
      <c r="F124" s="3195"/>
      <c r="G124" s="3196">
        <f t="shared" si="62"/>
        <v>0</v>
      </c>
      <c r="H124" s="3197">
        <f t="shared" si="63"/>
        <v>0</v>
      </c>
      <c r="I124" s="3202"/>
      <c r="J124" s="3213"/>
      <c r="K124" s="3202"/>
      <c r="L124" s="3213"/>
      <c r="M124" s="3213"/>
      <c r="N124" s="3213"/>
      <c r="O124" s="3213"/>
      <c r="P124" s="3213"/>
      <c r="Q124" s="3213"/>
      <c r="R124" s="3213"/>
      <c r="S124" s="3213"/>
      <c r="T124" s="3213"/>
      <c r="U124" s="3213"/>
      <c r="V124" s="3213"/>
      <c r="W124" s="3213"/>
      <c r="X124" s="3213"/>
      <c r="Y124" s="3213"/>
      <c r="Z124" s="3213"/>
      <c r="AA124" s="3213"/>
      <c r="AB124" s="3213"/>
      <c r="AC124" s="3194">
        <f t="shared" si="64"/>
        <v>0</v>
      </c>
      <c r="AD124" s="3224"/>
      <c r="AE124" s="3224"/>
      <c r="AF124" s="3202"/>
      <c r="AG124" s="3224"/>
      <c r="AH124" s="3224"/>
      <c r="AI124" s="3224"/>
      <c r="AJ124" s="3224"/>
      <c r="AK124" s="3224"/>
      <c r="AL124" s="3224"/>
      <c r="AM124" s="3224"/>
      <c r="AN124" s="3224"/>
      <c r="AO124" s="3224"/>
      <c r="AP124" s="3224"/>
      <c r="AQ124" s="3224"/>
      <c r="AR124" s="3224"/>
      <c r="AS124" s="3224"/>
      <c r="AT124" s="3244"/>
      <c r="AU124" s="3245"/>
      <c r="AV124" s="464">
        <f t="shared" si="88"/>
        <v>0</v>
      </c>
      <c r="AW124" s="464">
        <f t="shared" si="89"/>
        <v>0</v>
      </c>
      <c r="AX124" s="464">
        <f t="shared" si="90"/>
        <v>0</v>
      </c>
      <c r="AY124" s="3261">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6">
        <f t="shared" si="86"/>
        <v>0</v>
      </c>
    </row>
    <row r="125" spans="1:72">
      <c r="A125" s="3192"/>
      <c r="B125" s="3200"/>
      <c r="C125" s="3199"/>
      <c r="D125" s="3188"/>
      <c r="E125" s="3194">
        <f t="shared" si="87"/>
        <v>0</v>
      </c>
      <c r="F125" s="3195"/>
      <c r="G125" s="3196">
        <f t="shared" si="62"/>
        <v>0</v>
      </c>
      <c r="H125" s="3197">
        <f t="shared" si="63"/>
        <v>0</v>
      </c>
      <c r="I125" s="3202"/>
      <c r="J125" s="3213"/>
      <c r="K125" s="3202"/>
      <c r="L125" s="3213"/>
      <c r="M125" s="3213"/>
      <c r="N125" s="3213"/>
      <c r="O125" s="3213"/>
      <c r="P125" s="3213"/>
      <c r="Q125" s="3213"/>
      <c r="R125" s="3213"/>
      <c r="S125" s="3213"/>
      <c r="T125" s="3213"/>
      <c r="U125" s="3213"/>
      <c r="V125" s="3213"/>
      <c r="W125" s="3213"/>
      <c r="X125" s="3213"/>
      <c r="Y125" s="3213"/>
      <c r="Z125" s="3213"/>
      <c r="AA125" s="3213"/>
      <c r="AB125" s="3213"/>
      <c r="AC125" s="3194">
        <f t="shared" si="64"/>
        <v>0</v>
      </c>
      <c r="AD125" s="3224"/>
      <c r="AE125" s="3224"/>
      <c r="AF125" s="3202"/>
      <c r="AG125" s="3224"/>
      <c r="AH125" s="3224"/>
      <c r="AI125" s="3224"/>
      <c r="AJ125" s="3224"/>
      <c r="AK125" s="3224"/>
      <c r="AL125" s="3224"/>
      <c r="AM125" s="3224"/>
      <c r="AN125" s="3224"/>
      <c r="AO125" s="3224"/>
      <c r="AP125" s="3224"/>
      <c r="AQ125" s="3224"/>
      <c r="AR125" s="3224"/>
      <c r="AS125" s="3224"/>
      <c r="AT125" s="3244"/>
      <c r="AU125" s="3245"/>
      <c r="AV125" s="464">
        <f t="shared" si="88"/>
        <v>0</v>
      </c>
      <c r="AW125" s="464">
        <f t="shared" si="89"/>
        <v>0</v>
      </c>
      <c r="AX125" s="464">
        <f t="shared" si="90"/>
        <v>0</v>
      </c>
      <c r="AY125" s="3261">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6">
        <f t="shared" si="86"/>
        <v>0</v>
      </c>
    </row>
    <row r="126" spans="1:72">
      <c r="A126" s="3192"/>
      <c r="B126" s="3200"/>
      <c r="C126" s="3199"/>
      <c r="D126" s="3188"/>
      <c r="E126" s="3194">
        <f t="shared" si="87"/>
        <v>0</v>
      </c>
      <c r="F126" s="3195"/>
      <c r="G126" s="3196">
        <f t="shared" si="62"/>
        <v>0</v>
      </c>
      <c r="H126" s="3197">
        <f t="shared" si="63"/>
        <v>0</v>
      </c>
      <c r="I126" s="3202"/>
      <c r="J126" s="3213"/>
      <c r="K126" s="3202"/>
      <c r="L126" s="3213"/>
      <c r="M126" s="3213"/>
      <c r="N126" s="3213"/>
      <c r="O126" s="3213"/>
      <c r="P126" s="3213"/>
      <c r="Q126" s="3213"/>
      <c r="R126" s="3213"/>
      <c r="S126" s="3213"/>
      <c r="T126" s="3213"/>
      <c r="U126" s="3213"/>
      <c r="V126" s="3213"/>
      <c r="W126" s="3213"/>
      <c r="X126" s="3213"/>
      <c r="Y126" s="3213"/>
      <c r="Z126" s="3213"/>
      <c r="AA126" s="3213"/>
      <c r="AB126" s="3213"/>
      <c r="AC126" s="3194">
        <f t="shared" si="64"/>
        <v>0</v>
      </c>
      <c r="AD126" s="3224"/>
      <c r="AE126" s="3224"/>
      <c r="AF126" s="3202"/>
      <c r="AG126" s="3224"/>
      <c r="AH126" s="3224"/>
      <c r="AI126" s="3224"/>
      <c r="AJ126" s="3224"/>
      <c r="AK126" s="3224"/>
      <c r="AL126" s="3224"/>
      <c r="AM126" s="3224"/>
      <c r="AN126" s="3224"/>
      <c r="AO126" s="3224"/>
      <c r="AP126" s="3224"/>
      <c r="AQ126" s="3224"/>
      <c r="AR126" s="3224"/>
      <c r="AS126" s="3224"/>
      <c r="AT126" s="3244"/>
      <c r="AU126" s="3245"/>
      <c r="AV126" s="464">
        <f t="shared" si="88"/>
        <v>0</v>
      </c>
      <c r="AW126" s="464">
        <f t="shared" si="89"/>
        <v>0</v>
      </c>
      <c r="AX126" s="464">
        <f t="shared" si="90"/>
        <v>0</v>
      </c>
      <c r="AY126" s="3261">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6">
        <f t="shared" si="86"/>
        <v>0</v>
      </c>
    </row>
    <row r="127" spans="1:72">
      <c r="A127" s="3192"/>
      <c r="B127" s="3200"/>
      <c r="C127" s="3199"/>
      <c r="D127" s="3188"/>
      <c r="E127" s="3194">
        <f t="shared" si="87"/>
        <v>0</v>
      </c>
      <c r="F127" s="3195"/>
      <c r="G127" s="3196">
        <f t="shared" si="62"/>
        <v>0</v>
      </c>
      <c r="H127" s="3197">
        <f t="shared" si="63"/>
        <v>0</v>
      </c>
      <c r="I127" s="3202"/>
      <c r="J127" s="3213"/>
      <c r="K127" s="3202"/>
      <c r="L127" s="3213"/>
      <c r="M127" s="3213"/>
      <c r="N127" s="3213"/>
      <c r="O127" s="3213"/>
      <c r="P127" s="3213"/>
      <c r="Q127" s="3213"/>
      <c r="R127" s="3213"/>
      <c r="S127" s="3213"/>
      <c r="T127" s="3213"/>
      <c r="U127" s="3213"/>
      <c r="V127" s="3213"/>
      <c r="W127" s="3213"/>
      <c r="X127" s="3213"/>
      <c r="Y127" s="3213"/>
      <c r="Z127" s="3213"/>
      <c r="AA127" s="3213"/>
      <c r="AB127" s="3213"/>
      <c r="AC127" s="3194">
        <f t="shared" si="64"/>
        <v>0</v>
      </c>
      <c r="AD127" s="3224"/>
      <c r="AE127" s="3224"/>
      <c r="AF127" s="3202"/>
      <c r="AG127" s="3224"/>
      <c r="AH127" s="3224"/>
      <c r="AI127" s="3224"/>
      <c r="AJ127" s="3224"/>
      <c r="AK127" s="3224"/>
      <c r="AL127" s="3224"/>
      <c r="AM127" s="3224"/>
      <c r="AN127" s="3224"/>
      <c r="AO127" s="3224"/>
      <c r="AP127" s="3224"/>
      <c r="AQ127" s="3224"/>
      <c r="AR127" s="3224"/>
      <c r="AS127" s="3224"/>
      <c r="AT127" s="3244"/>
      <c r="AU127" s="3245"/>
      <c r="AV127" s="464">
        <f t="shared" si="88"/>
        <v>0</v>
      </c>
      <c r="AW127" s="464">
        <f t="shared" si="89"/>
        <v>0</v>
      </c>
      <c r="AX127" s="464">
        <f t="shared" si="90"/>
        <v>0</v>
      </c>
      <c r="AY127" s="3261">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6">
        <f t="shared" si="86"/>
        <v>0</v>
      </c>
    </row>
    <row r="128" spans="1:72">
      <c r="A128" s="3192"/>
      <c r="B128" s="3200"/>
      <c r="C128" s="3199"/>
      <c r="D128" s="3188"/>
      <c r="E128" s="3194">
        <f t="shared" si="87"/>
        <v>0</v>
      </c>
      <c r="F128" s="3195"/>
      <c r="G128" s="3196">
        <f t="shared" si="62"/>
        <v>0</v>
      </c>
      <c r="H128" s="3197">
        <f t="shared" si="63"/>
        <v>0</v>
      </c>
      <c r="I128" s="3202"/>
      <c r="J128" s="3213"/>
      <c r="K128" s="3202"/>
      <c r="L128" s="3213"/>
      <c r="M128" s="3213"/>
      <c r="N128" s="3213"/>
      <c r="O128" s="3213"/>
      <c r="P128" s="3213"/>
      <c r="Q128" s="3213"/>
      <c r="R128" s="3213"/>
      <c r="S128" s="3213"/>
      <c r="T128" s="3213"/>
      <c r="U128" s="3213"/>
      <c r="V128" s="3213"/>
      <c r="W128" s="3213"/>
      <c r="X128" s="3213"/>
      <c r="Y128" s="3213"/>
      <c r="Z128" s="3213"/>
      <c r="AA128" s="3213"/>
      <c r="AB128" s="3213"/>
      <c r="AC128" s="3194">
        <f t="shared" si="64"/>
        <v>0</v>
      </c>
      <c r="AD128" s="3224"/>
      <c r="AE128" s="3224"/>
      <c r="AF128" s="3202"/>
      <c r="AG128" s="3224"/>
      <c r="AH128" s="3224"/>
      <c r="AI128" s="3224"/>
      <c r="AJ128" s="3224"/>
      <c r="AK128" s="3224"/>
      <c r="AL128" s="3224"/>
      <c r="AM128" s="3224"/>
      <c r="AN128" s="3224"/>
      <c r="AO128" s="3224"/>
      <c r="AP128" s="3224"/>
      <c r="AQ128" s="3224"/>
      <c r="AR128" s="3224"/>
      <c r="AS128" s="3224"/>
      <c r="AT128" s="3244"/>
      <c r="AU128" s="3245"/>
      <c r="AV128" s="464">
        <f t="shared" si="88"/>
        <v>0</v>
      </c>
      <c r="AW128" s="464">
        <f t="shared" si="89"/>
        <v>0</v>
      </c>
      <c r="AX128" s="464">
        <f t="shared" si="90"/>
        <v>0</v>
      </c>
      <c r="AY128" s="3261">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6">
        <f t="shared" si="86"/>
        <v>0</v>
      </c>
    </row>
    <row r="129" spans="1:72">
      <c r="A129" s="3192"/>
      <c r="B129" s="3200"/>
      <c r="C129" s="3199"/>
      <c r="D129" s="3188"/>
      <c r="E129" s="3194">
        <f t="shared" si="87"/>
        <v>0</v>
      </c>
      <c r="F129" s="3195"/>
      <c r="G129" s="3196">
        <f t="shared" si="62"/>
        <v>0</v>
      </c>
      <c r="H129" s="3197">
        <f t="shared" si="63"/>
        <v>0</v>
      </c>
      <c r="I129" s="3202"/>
      <c r="J129" s="3213"/>
      <c r="K129" s="3202"/>
      <c r="L129" s="3213"/>
      <c r="M129" s="3213"/>
      <c r="N129" s="3213"/>
      <c r="O129" s="3213"/>
      <c r="P129" s="3213"/>
      <c r="Q129" s="3213"/>
      <c r="R129" s="3213"/>
      <c r="S129" s="3213"/>
      <c r="T129" s="3213"/>
      <c r="U129" s="3213"/>
      <c r="V129" s="3213"/>
      <c r="W129" s="3213"/>
      <c r="X129" s="3213"/>
      <c r="Y129" s="3213"/>
      <c r="Z129" s="3213"/>
      <c r="AA129" s="3213"/>
      <c r="AB129" s="3213"/>
      <c r="AC129" s="3194">
        <f t="shared" si="64"/>
        <v>0</v>
      </c>
      <c r="AD129" s="3224"/>
      <c r="AE129" s="3224"/>
      <c r="AF129" s="3202"/>
      <c r="AG129" s="3224"/>
      <c r="AH129" s="3224"/>
      <c r="AI129" s="3224"/>
      <c r="AJ129" s="3224"/>
      <c r="AK129" s="3224"/>
      <c r="AL129" s="3224"/>
      <c r="AM129" s="3224"/>
      <c r="AN129" s="3224"/>
      <c r="AO129" s="3224"/>
      <c r="AP129" s="3224"/>
      <c r="AQ129" s="3224"/>
      <c r="AR129" s="3224"/>
      <c r="AS129" s="3224"/>
      <c r="AT129" s="3244"/>
      <c r="AU129" s="3245"/>
      <c r="AV129" s="464">
        <f t="shared" si="88"/>
        <v>0</v>
      </c>
      <c r="AW129" s="464">
        <f t="shared" si="89"/>
        <v>0</v>
      </c>
      <c r="AX129" s="464">
        <f t="shared" si="90"/>
        <v>0</v>
      </c>
      <c r="AY129" s="3261">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6">
        <f t="shared" si="86"/>
        <v>0</v>
      </c>
    </row>
    <row r="130" spans="1:72">
      <c r="A130" s="3192"/>
      <c r="B130" s="3200"/>
      <c r="C130" s="3199"/>
      <c r="D130" s="3188"/>
      <c r="E130" s="3194">
        <f t="shared" si="87"/>
        <v>0</v>
      </c>
      <c r="F130" s="3195"/>
      <c r="G130" s="3196">
        <f t="shared" si="62"/>
        <v>0</v>
      </c>
      <c r="H130" s="3197">
        <f t="shared" si="63"/>
        <v>0</v>
      </c>
      <c r="I130" s="3202"/>
      <c r="J130" s="3213"/>
      <c r="K130" s="3202"/>
      <c r="L130" s="3213"/>
      <c r="M130" s="3213"/>
      <c r="N130" s="3213"/>
      <c r="O130" s="3213"/>
      <c r="P130" s="3213"/>
      <c r="Q130" s="3213"/>
      <c r="R130" s="3213"/>
      <c r="S130" s="3213"/>
      <c r="T130" s="3213"/>
      <c r="U130" s="3213"/>
      <c r="V130" s="3213"/>
      <c r="W130" s="3213"/>
      <c r="X130" s="3213"/>
      <c r="Y130" s="3213"/>
      <c r="Z130" s="3213"/>
      <c r="AA130" s="3213"/>
      <c r="AB130" s="3213"/>
      <c r="AC130" s="3194">
        <f t="shared" si="64"/>
        <v>0</v>
      </c>
      <c r="AD130" s="3224"/>
      <c r="AE130" s="3224"/>
      <c r="AF130" s="3202"/>
      <c r="AG130" s="3224"/>
      <c r="AH130" s="3224"/>
      <c r="AI130" s="3224"/>
      <c r="AJ130" s="3224"/>
      <c r="AK130" s="3224"/>
      <c r="AL130" s="3224"/>
      <c r="AM130" s="3224"/>
      <c r="AN130" s="3224"/>
      <c r="AO130" s="3224"/>
      <c r="AP130" s="3224"/>
      <c r="AQ130" s="3224"/>
      <c r="AR130" s="3224"/>
      <c r="AS130" s="3224"/>
      <c r="AT130" s="3244"/>
      <c r="AU130" s="3245"/>
      <c r="AV130" s="464">
        <f t="shared" si="88"/>
        <v>0</v>
      </c>
      <c r="AW130" s="464">
        <f t="shared" si="89"/>
        <v>0</v>
      </c>
      <c r="AX130" s="464">
        <f t="shared" si="90"/>
        <v>0</v>
      </c>
      <c r="AY130" s="3261">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6">
        <f t="shared" si="86"/>
        <v>0</v>
      </c>
    </row>
    <row r="131" spans="1:72">
      <c r="A131" s="3192"/>
      <c r="B131" s="3200"/>
      <c r="C131" s="3199"/>
      <c r="D131" s="3188"/>
      <c r="E131" s="3194">
        <f t="shared" si="87"/>
        <v>0</v>
      </c>
      <c r="F131" s="3195"/>
      <c r="G131" s="3196">
        <f t="shared" si="62"/>
        <v>0</v>
      </c>
      <c r="H131" s="3197">
        <f t="shared" si="63"/>
        <v>0</v>
      </c>
      <c r="I131" s="3202"/>
      <c r="J131" s="3213"/>
      <c r="K131" s="3202"/>
      <c r="L131" s="3213"/>
      <c r="M131" s="3213"/>
      <c r="N131" s="3213"/>
      <c r="O131" s="3213"/>
      <c r="P131" s="3213"/>
      <c r="Q131" s="3213"/>
      <c r="R131" s="3213"/>
      <c r="S131" s="3213"/>
      <c r="T131" s="3213"/>
      <c r="U131" s="3213"/>
      <c r="V131" s="3213"/>
      <c r="W131" s="3213"/>
      <c r="X131" s="3213"/>
      <c r="Y131" s="3213"/>
      <c r="Z131" s="3213"/>
      <c r="AA131" s="3213"/>
      <c r="AB131" s="3213"/>
      <c r="AC131" s="3194">
        <f t="shared" si="64"/>
        <v>0</v>
      </c>
      <c r="AD131" s="3224"/>
      <c r="AE131" s="3224"/>
      <c r="AF131" s="3202"/>
      <c r="AG131" s="3224"/>
      <c r="AH131" s="3224"/>
      <c r="AI131" s="3224"/>
      <c r="AJ131" s="3224"/>
      <c r="AK131" s="3224"/>
      <c r="AL131" s="3224"/>
      <c r="AM131" s="3224"/>
      <c r="AN131" s="3224"/>
      <c r="AO131" s="3224"/>
      <c r="AP131" s="3224"/>
      <c r="AQ131" s="3224"/>
      <c r="AR131" s="3224"/>
      <c r="AS131" s="3224"/>
      <c r="AT131" s="3244"/>
      <c r="AU131" s="3245"/>
      <c r="AV131" s="464">
        <f t="shared" si="88"/>
        <v>0</v>
      </c>
      <c r="AW131" s="464">
        <f t="shared" si="89"/>
        <v>0</v>
      </c>
      <c r="AX131" s="464">
        <f t="shared" si="90"/>
        <v>0</v>
      </c>
      <c r="AY131" s="3261">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6">
        <f t="shared" si="86"/>
        <v>0</v>
      </c>
    </row>
    <row r="132" spans="1:72">
      <c r="A132" s="3192"/>
      <c r="B132" s="3200"/>
      <c r="C132" s="3199"/>
      <c r="D132" s="3188"/>
      <c r="E132" s="3194">
        <f t="shared" si="87"/>
        <v>0</v>
      </c>
      <c r="F132" s="3195"/>
      <c r="G132" s="3196">
        <f t="shared" si="62"/>
        <v>0</v>
      </c>
      <c r="H132" s="3197">
        <f t="shared" si="63"/>
        <v>0</v>
      </c>
      <c r="I132" s="3202"/>
      <c r="J132" s="3213"/>
      <c r="K132" s="3202"/>
      <c r="L132" s="3213"/>
      <c r="M132" s="3213"/>
      <c r="N132" s="3213"/>
      <c r="O132" s="3213"/>
      <c r="P132" s="3213"/>
      <c r="Q132" s="3213"/>
      <c r="R132" s="3213"/>
      <c r="S132" s="3213"/>
      <c r="T132" s="3213"/>
      <c r="U132" s="3213"/>
      <c r="V132" s="3213"/>
      <c r="W132" s="3213"/>
      <c r="X132" s="3213"/>
      <c r="Y132" s="3213"/>
      <c r="Z132" s="3213"/>
      <c r="AA132" s="3213"/>
      <c r="AB132" s="3213"/>
      <c r="AC132" s="3194">
        <f t="shared" si="64"/>
        <v>0</v>
      </c>
      <c r="AD132" s="3224"/>
      <c r="AE132" s="3224"/>
      <c r="AF132" s="3202"/>
      <c r="AG132" s="3224"/>
      <c r="AH132" s="3224"/>
      <c r="AI132" s="3224"/>
      <c r="AJ132" s="3224"/>
      <c r="AK132" s="3224"/>
      <c r="AL132" s="3224"/>
      <c r="AM132" s="3224"/>
      <c r="AN132" s="3224"/>
      <c r="AO132" s="3224"/>
      <c r="AP132" s="3224"/>
      <c r="AQ132" s="3224"/>
      <c r="AR132" s="3224"/>
      <c r="AS132" s="3224"/>
      <c r="AT132" s="3244"/>
      <c r="AU132" s="3245"/>
      <c r="AV132" s="464">
        <f t="shared" si="88"/>
        <v>0</v>
      </c>
      <c r="AW132" s="464">
        <f t="shared" si="89"/>
        <v>0</v>
      </c>
      <c r="AX132" s="464">
        <f t="shared" si="90"/>
        <v>0</v>
      </c>
      <c r="AY132" s="3261">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6">
        <f t="shared" si="86"/>
        <v>0</v>
      </c>
    </row>
    <row r="133" spans="1:72">
      <c r="A133" s="3192"/>
      <c r="B133" s="3200"/>
      <c r="C133" s="3199"/>
      <c r="D133" s="3188"/>
      <c r="E133" s="3194">
        <f t="shared" si="87"/>
        <v>0</v>
      </c>
      <c r="F133" s="3195"/>
      <c r="G133" s="3196">
        <f t="shared" si="62"/>
        <v>0</v>
      </c>
      <c r="H133" s="3197">
        <f t="shared" si="63"/>
        <v>0</v>
      </c>
      <c r="I133" s="3202"/>
      <c r="J133" s="3213"/>
      <c r="K133" s="3202"/>
      <c r="L133" s="3213"/>
      <c r="M133" s="3213"/>
      <c r="N133" s="3213"/>
      <c r="O133" s="3213"/>
      <c r="P133" s="3213"/>
      <c r="Q133" s="3213"/>
      <c r="R133" s="3213"/>
      <c r="S133" s="3213"/>
      <c r="T133" s="3213"/>
      <c r="U133" s="3213"/>
      <c r="V133" s="3213"/>
      <c r="W133" s="3213"/>
      <c r="X133" s="3213"/>
      <c r="Y133" s="3213"/>
      <c r="Z133" s="3213"/>
      <c r="AA133" s="3213"/>
      <c r="AB133" s="3213"/>
      <c r="AC133" s="3194">
        <f t="shared" si="64"/>
        <v>0</v>
      </c>
      <c r="AD133" s="3224"/>
      <c r="AE133" s="3224"/>
      <c r="AF133" s="3202"/>
      <c r="AG133" s="3224"/>
      <c r="AH133" s="3224"/>
      <c r="AI133" s="3224"/>
      <c r="AJ133" s="3224"/>
      <c r="AK133" s="3224"/>
      <c r="AL133" s="3224"/>
      <c r="AM133" s="3224"/>
      <c r="AN133" s="3224"/>
      <c r="AO133" s="3224"/>
      <c r="AP133" s="3224"/>
      <c r="AQ133" s="3224"/>
      <c r="AR133" s="3224"/>
      <c r="AS133" s="3224"/>
      <c r="AT133" s="3244"/>
      <c r="AU133" s="3245"/>
      <c r="AV133" s="464">
        <f t="shared" si="88"/>
        <v>0</v>
      </c>
      <c r="AW133" s="464">
        <f t="shared" si="89"/>
        <v>0</v>
      </c>
      <c r="AX133" s="464">
        <f t="shared" si="90"/>
        <v>0</v>
      </c>
      <c r="AY133" s="3261">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6">
        <f t="shared" si="86"/>
        <v>0</v>
      </c>
    </row>
    <row r="134" spans="1:72">
      <c r="A134" s="3192"/>
      <c r="B134" s="3200"/>
      <c r="C134" s="3199"/>
      <c r="D134" s="3188"/>
      <c r="E134" s="3194">
        <f t="shared" si="87"/>
        <v>0</v>
      </c>
      <c r="F134" s="3195"/>
      <c r="G134" s="3196">
        <f t="shared" si="62"/>
        <v>0</v>
      </c>
      <c r="H134" s="3197">
        <f t="shared" si="63"/>
        <v>0</v>
      </c>
      <c r="I134" s="3202"/>
      <c r="J134" s="3213"/>
      <c r="K134" s="3202"/>
      <c r="L134" s="3213"/>
      <c r="M134" s="3213"/>
      <c r="N134" s="3213"/>
      <c r="O134" s="3213"/>
      <c r="P134" s="3213"/>
      <c r="Q134" s="3213"/>
      <c r="R134" s="3213"/>
      <c r="S134" s="3213"/>
      <c r="T134" s="3213"/>
      <c r="U134" s="3213"/>
      <c r="V134" s="3213"/>
      <c r="W134" s="3213"/>
      <c r="X134" s="3213"/>
      <c r="Y134" s="3213"/>
      <c r="Z134" s="3213"/>
      <c r="AA134" s="3213"/>
      <c r="AB134" s="3213"/>
      <c r="AC134" s="3194">
        <f t="shared" si="64"/>
        <v>0</v>
      </c>
      <c r="AD134" s="3224"/>
      <c r="AE134" s="3224"/>
      <c r="AF134" s="3202"/>
      <c r="AG134" s="3224"/>
      <c r="AH134" s="3224"/>
      <c r="AI134" s="3224"/>
      <c r="AJ134" s="3224"/>
      <c r="AK134" s="3224"/>
      <c r="AL134" s="3224"/>
      <c r="AM134" s="3224"/>
      <c r="AN134" s="3224"/>
      <c r="AO134" s="3224"/>
      <c r="AP134" s="3224"/>
      <c r="AQ134" s="3224"/>
      <c r="AR134" s="3224"/>
      <c r="AS134" s="3224"/>
      <c r="AT134" s="3244"/>
      <c r="AU134" s="3245"/>
      <c r="AV134" s="464">
        <f t="shared" si="88"/>
        <v>0</v>
      </c>
      <c r="AW134" s="464">
        <f t="shared" si="89"/>
        <v>0</v>
      </c>
      <c r="AX134" s="464">
        <f t="shared" si="90"/>
        <v>0</v>
      </c>
      <c r="AY134" s="3261">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6">
        <f t="shared" si="86"/>
        <v>0</v>
      </c>
    </row>
    <row r="135" spans="1:72">
      <c r="A135" s="3192"/>
      <c r="B135" s="3200"/>
      <c r="C135" s="3199"/>
      <c r="D135" s="3188"/>
      <c r="E135" s="3194">
        <f t="shared" si="87"/>
        <v>0</v>
      </c>
      <c r="F135" s="3195"/>
      <c r="G135" s="3196">
        <f t="shared" si="62"/>
        <v>0</v>
      </c>
      <c r="H135" s="3197">
        <f t="shared" si="63"/>
        <v>0</v>
      </c>
      <c r="I135" s="3202"/>
      <c r="J135" s="3213"/>
      <c r="K135" s="3202"/>
      <c r="L135" s="3213"/>
      <c r="M135" s="3213"/>
      <c r="N135" s="3213"/>
      <c r="O135" s="3213"/>
      <c r="P135" s="3213"/>
      <c r="Q135" s="3213"/>
      <c r="R135" s="3213"/>
      <c r="S135" s="3213"/>
      <c r="T135" s="3213"/>
      <c r="U135" s="3213"/>
      <c r="V135" s="3213"/>
      <c r="W135" s="3213"/>
      <c r="X135" s="3213"/>
      <c r="Y135" s="3213"/>
      <c r="Z135" s="3213"/>
      <c r="AA135" s="3213"/>
      <c r="AB135" s="3213"/>
      <c r="AC135" s="3194">
        <f t="shared" si="64"/>
        <v>0</v>
      </c>
      <c r="AD135" s="3224"/>
      <c r="AE135" s="3224"/>
      <c r="AF135" s="3202"/>
      <c r="AG135" s="3224"/>
      <c r="AH135" s="3224"/>
      <c r="AI135" s="3224"/>
      <c r="AJ135" s="3224"/>
      <c r="AK135" s="3224"/>
      <c r="AL135" s="3224"/>
      <c r="AM135" s="3224"/>
      <c r="AN135" s="3224"/>
      <c r="AO135" s="3224"/>
      <c r="AP135" s="3224"/>
      <c r="AQ135" s="3224"/>
      <c r="AR135" s="3224"/>
      <c r="AS135" s="3224"/>
      <c r="AT135" s="3244"/>
      <c r="AU135" s="3245"/>
      <c r="AV135" s="464">
        <f t="shared" si="88"/>
        <v>0</v>
      </c>
      <c r="AW135" s="464">
        <f t="shared" si="89"/>
        <v>0</v>
      </c>
      <c r="AX135" s="464">
        <f t="shared" si="90"/>
        <v>0</v>
      </c>
      <c r="AY135" s="3261">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6">
        <f t="shared" si="86"/>
        <v>0</v>
      </c>
    </row>
    <row r="136" spans="1:72">
      <c r="A136" s="3192"/>
      <c r="B136" s="3200"/>
      <c r="C136" s="3199"/>
      <c r="D136" s="3188"/>
      <c r="E136" s="3194">
        <f t="shared" si="87"/>
        <v>0</v>
      </c>
      <c r="F136" s="3195"/>
      <c r="G136" s="3196">
        <f t="shared" si="62"/>
        <v>0</v>
      </c>
      <c r="H136" s="3197">
        <f t="shared" si="63"/>
        <v>0</v>
      </c>
      <c r="I136" s="3202"/>
      <c r="J136" s="3213"/>
      <c r="K136" s="3202"/>
      <c r="L136" s="3213"/>
      <c r="M136" s="3213"/>
      <c r="N136" s="3213"/>
      <c r="O136" s="3213"/>
      <c r="P136" s="3213"/>
      <c r="Q136" s="3213"/>
      <c r="R136" s="3213"/>
      <c r="S136" s="3213"/>
      <c r="T136" s="3213"/>
      <c r="U136" s="3213"/>
      <c r="V136" s="3213"/>
      <c r="W136" s="3213"/>
      <c r="X136" s="3213"/>
      <c r="Y136" s="3213"/>
      <c r="Z136" s="3213"/>
      <c r="AA136" s="3213"/>
      <c r="AB136" s="3213"/>
      <c r="AC136" s="3194">
        <f t="shared" si="64"/>
        <v>0</v>
      </c>
      <c r="AD136" s="3224"/>
      <c r="AE136" s="3224"/>
      <c r="AF136" s="3202"/>
      <c r="AG136" s="3224"/>
      <c r="AH136" s="3224"/>
      <c r="AI136" s="3224"/>
      <c r="AJ136" s="3224"/>
      <c r="AK136" s="3224"/>
      <c r="AL136" s="3224"/>
      <c r="AM136" s="3224"/>
      <c r="AN136" s="3224"/>
      <c r="AO136" s="3224"/>
      <c r="AP136" s="3224"/>
      <c r="AQ136" s="3224"/>
      <c r="AR136" s="3224"/>
      <c r="AS136" s="3224"/>
      <c r="AT136" s="3244"/>
      <c r="AU136" s="3245"/>
      <c r="AV136" s="464">
        <f t="shared" si="88"/>
        <v>0</v>
      </c>
      <c r="AW136" s="464">
        <f t="shared" si="89"/>
        <v>0</v>
      </c>
      <c r="AX136" s="464">
        <f t="shared" si="90"/>
        <v>0</v>
      </c>
      <c r="AY136" s="3261">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6">
        <f t="shared" si="86"/>
        <v>0</v>
      </c>
    </row>
    <row r="137" spans="1:72">
      <c r="A137" s="3192"/>
      <c r="B137" s="3200"/>
      <c r="C137" s="3199"/>
      <c r="D137" s="3188"/>
      <c r="E137" s="3194">
        <f t="shared" si="87"/>
        <v>0</v>
      </c>
      <c r="F137" s="3195"/>
      <c r="G137" s="3196">
        <f t="shared" si="62"/>
        <v>0</v>
      </c>
      <c r="H137" s="3197">
        <f t="shared" si="63"/>
        <v>0</v>
      </c>
      <c r="I137" s="3202"/>
      <c r="J137" s="3213"/>
      <c r="K137" s="3202"/>
      <c r="L137" s="3213"/>
      <c r="M137" s="3213"/>
      <c r="N137" s="3213"/>
      <c r="O137" s="3213"/>
      <c r="P137" s="3213"/>
      <c r="Q137" s="3213"/>
      <c r="R137" s="3213"/>
      <c r="S137" s="3213"/>
      <c r="T137" s="3213"/>
      <c r="U137" s="3213"/>
      <c r="V137" s="3213"/>
      <c r="W137" s="3213"/>
      <c r="X137" s="3213"/>
      <c r="Y137" s="3213"/>
      <c r="Z137" s="3213"/>
      <c r="AA137" s="3213"/>
      <c r="AB137" s="3213"/>
      <c r="AC137" s="3194">
        <f t="shared" si="64"/>
        <v>0</v>
      </c>
      <c r="AD137" s="3224"/>
      <c r="AE137" s="3224"/>
      <c r="AF137" s="3202"/>
      <c r="AG137" s="3224"/>
      <c r="AH137" s="3224"/>
      <c r="AI137" s="3224"/>
      <c r="AJ137" s="3224"/>
      <c r="AK137" s="3224"/>
      <c r="AL137" s="3224"/>
      <c r="AM137" s="3224"/>
      <c r="AN137" s="3224"/>
      <c r="AO137" s="3224"/>
      <c r="AP137" s="3224"/>
      <c r="AQ137" s="3224"/>
      <c r="AR137" s="3224"/>
      <c r="AS137" s="3224"/>
      <c r="AT137" s="3244"/>
      <c r="AU137" s="3245"/>
      <c r="AV137" s="464">
        <f t="shared" si="88"/>
        <v>0</v>
      </c>
      <c r="AW137" s="464">
        <f t="shared" si="89"/>
        <v>0</v>
      </c>
      <c r="AX137" s="464">
        <f t="shared" si="90"/>
        <v>0</v>
      </c>
      <c r="AY137" s="3261">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6">
        <f t="shared" si="86"/>
        <v>0</v>
      </c>
    </row>
    <row r="138" spans="1:72">
      <c r="A138" s="3192"/>
      <c r="B138" s="3200"/>
      <c r="C138" s="3199"/>
      <c r="D138" s="3188"/>
      <c r="E138" s="3194">
        <f t="shared" si="87"/>
        <v>0</v>
      </c>
      <c r="F138" s="3195"/>
      <c r="G138" s="3196">
        <f t="shared" si="62"/>
        <v>0</v>
      </c>
      <c r="H138" s="3197">
        <f t="shared" si="63"/>
        <v>0</v>
      </c>
      <c r="I138" s="3202"/>
      <c r="J138" s="3213"/>
      <c r="K138" s="3202"/>
      <c r="L138" s="3213"/>
      <c r="M138" s="3213"/>
      <c r="N138" s="3213"/>
      <c r="O138" s="3213"/>
      <c r="P138" s="3213"/>
      <c r="Q138" s="3213"/>
      <c r="R138" s="3213"/>
      <c r="S138" s="3213"/>
      <c r="T138" s="3213"/>
      <c r="U138" s="3213"/>
      <c r="V138" s="3213"/>
      <c r="W138" s="3213"/>
      <c r="X138" s="3213"/>
      <c r="Y138" s="3213"/>
      <c r="Z138" s="3213"/>
      <c r="AA138" s="3213"/>
      <c r="AB138" s="3213"/>
      <c r="AC138" s="3194">
        <f t="shared" si="64"/>
        <v>0</v>
      </c>
      <c r="AD138" s="3224"/>
      <c r="AE138" s="3224"/>
      <c r="AF138" s="3202"/>
      <c r="AG138" s="3224"/>
      <c r="AH138" s="3224"/>
      <c r="AI138" s="3224"/>
      <c r="AJ138" s="3224"/>
      <c r="AK138" s="3224"/>
      <c r="AL138" s="3224"/>
      <c r="AM138" s="3224"/>
      <c r="AN138" s="3224"/>
      <c r="AO138" s="3224"/>
      <c r="AP138" s="3224"/>
      <c r="AQ138" s="3224"/>
      <c r="AR138" s="3224"/>
      <c r="AS138" s="3224"/>
      <c r="AT138" s="3244"/>
      <c r="AU138" s="3245"/>
      <c r="AV138" s="464">
        <f t="shared" si="88"/>
        <v>0</v>
      </c>
      <c r="AW138" s="464">
        <f t="shared" si="89"/>
        <v>0</v>
      </c>
      <c r="AX138" s="464">
        <f t="shared" si="90"/>
        <v>0</v>
      </c>
      <c r="AY138" s="3261">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6">
        <f t="shared" si="86"/>
        <v>0</v>
      </c>
    </row>
    <row r="139" spans="1:72">
      <c r="A139" s="3192"/>
      <c r="B139" s="3200"/>
      <c r="C139" s="3199"/>
      <c r="D139" s="3188"/>
      <c r="E139" s="3194">
        <f t="shared" si="87"/>
        <v>0</v>
      </c>
      <c r="F139" s="3195"/>
      <c r="G139" s="3196">
        <f t="shared" si="62"/>
        <v>0</v>
      </c>
      <c r="H139" s="3197">
        <f t="shared" si="63"/>
        <v>0</v>
      </c>
      <c r="I139" s="3202"/>
      <c r="J139" s="3213"/>
      <c r="K139" s="3202"/>
      <c r="L139" s="3213"/>
      <c r="M139" s="3213"/>
      <c r="N139" s="3213"/>
      <c r="O139" s="3213"/>
      <c r="P139" s="3213"/>
      <c r="Q139" s="3213"/>
      <c r="R139" s="3213"/>
      <c r="S139" s="3213"/>
      <c r="T139" s="3213"/>
      <c r="U139" s="3213"/>
      <c r="V139" s="3213"/>
      <c r="W139" s="3213"/>
      <c r="X139" s="3213"/>
      <c r="Y139" s="3213"/>
      <c r="Z139" s="3213"/>
      <c r="AA139" s="3213"/>
      <c r="AB139" s="3213"/>
      <c r="AC139" s="3194">
        <f t="shared" si="64"/>
        <v>0</v>
      </c>
      <c r="AD139" s="3224"/>
      <c r="AE139" s="3224"/>
      <c r="AF139" s="3199"/>
      <c r="AG139" s="3224"/>
      <c r="AH139" s="3224"/>
      <c r="AI139" s="3224"/>
      <c r="AJ139" s="3224"/>
      <c r="AK139" s="3224"/>
      <c r="AL139" s="3224"/>
      <c r="AM139" s="3224"/>
      <c r="AN139" s="3224"/>
      <c r="AO139" s="3224"/>
      <c r="AP139" s="3224"/>
      <c r="AQ139" s="3224"/>
      <c r="AR139" s="3224"/>
      <c r="AS139" s="3224"/>
      <c r="AT139" s="3244"/>
      <c r="AU139" s="3245"/>
      <c r="AV139" s="464">
        <f t="shared" si="88"/>
        <v>0</v>
      </c>
      <c r="AW139" s="464">
        <f t="shared" si="89"/>
        <v>0</v>
      </c>
      <c r="AX139" s="464">
        <f t="shared" si="90"/>
        <v>0</v>
      </c>
      <c r="AY139" s="3261">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6">
        <f t="shared" si="86"/>
        <v>0</v>
      </c>
    </row>
    <row r="140" spans="1:72">
      <c r="A140" s="3192"/>
      <c r="B140" s="3200"/>
      <c r="C140" s="3199"/>
      <c r="D140" s="3188"/>
      <c r="E140" s="3194">
        <f t="shared" si="87"/>
        <v>0</v>
      </c>
      <c r="F140" s="3195"/>
      <c r="G140" s="3196">
        <f t="shared" si="62"/>
        <v>0</v>
      </c>
      <c r="H140" s="3197">
        <f t="shared" si="63"/>
        <v>0</v>
      </c>
      <c r="I140" s="3199"/>
      <c r="J140" s="3213"/>
      <c r="K140" s="3199"/>
      <c r="L140" s="3213"/>
      <c r="M140" s="3213"/>
      <c r="N140" s="3213"/>
      <c r="O140" s="3213"/>
      <c r="P140" s="3213"/>
      <c r="Q140" s="3213"/>
      <c r="R140" s="3213"/>
      <c r="S140" s="3213"/>
      <c r="T140" s="3213"/>
      <c r="U140" s="3213"/>
      <c r="V140" s="3213"/>
      <c r="W140" s="3213"/>
      <c r="X140" s="3213"/>
      <c r="Y140" s="3213"/>
      <c r="Z140" s="3213"/>
      <c r="AA140" s="3213"/>
      <c r="AB140" s="3213"/>
      <c r="AC140" s="3194">
        <f t="shared" si="64"/>
        <v>0</v>
      </c>
      <c r="AD140" s="3224"/>
      <c r="AE140" s="3224"/>
      <c r="AF140" s="3199"/>
      <c r="AG140" s="3224"/>
      <c r="AH140" s="3224"/>
      <c r="AI140" s="3224"/>
      <c r="AJ140" s="3224"/>
      <c r="AK140" s="3224"/>
      <c r="AL140" s="3224"/>
      <c r="AM140" s="3224"/>
      <c r="AN140" s="3224"/>
      <c r="AO140" s="3224"/>
      <c r="AP140" s="3224"/>
      <c r="AQ140" s="3224"/>
      <c r="AR140" s="3224"/>
      <c r="AS140" s="3224"/>
      <c r="AT140" s="3244"/>
      <c r="AU140" s="3245"/>
      <c r="AV140" s="464">
        <f t="shared" si="88"/>
        <v>0</v>
      </c>
      <c r="AW140" s="464">
        <f t="shared" si="89"/>
        <v>0</v>
      </c>
      <c r="AX140" s="464">
        <f t="shared" si="90"/>
        <v>0</v>
      </c>
      <c r="AY140" s="3261">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6">
        <f t="shared" si="86"/>
        <v>0</v>
      </c>
    </row>
    <row r="141" spans="1:72">
      <c r="A141" s="3192"/>
      <c r="B141" s="3200"/>
      <c r="C141" s="3199"/>
      <c r="D141" s="3188"/>
      <c r="E141" s="3194">
        <f t="shared" si="87"/>
        <v>0</v>
      </c>
      <c r="F141" s="3195"/>
      <c r="G141" s="3196">
        <f t="shared" si="62"/>
        <v>0</v>
      </c>
      <c r="H141" s="3197">
        <f t="shared" si="63"/>
        <v>0</v>
      </c>
      <c r="I141" s="3199"/>
      <c r="J141" s="3213"/>
      <c r="K141" s="3199"/>
      <c r="L141" s="3213"/>
      <c r="M141" s="3213"/>
      <c r="N141" s="3213"/>
      <c r="O141" s="3213"/>
      <c r="P141" s="3213"/>
      <c r="Q141" s="3213"/>
      <c r="R141" s="3213"/>
      <c r="S141" s="3213"/>
      <c r="T141" s="3213"/>
      <c r="U141" s="3213"/>
      <c r="V141" s="3213"/>
      <c r="W141" s="3213"/>
      <c r="X141" s="3213"/>
      <c r="Y141" s="3213"/>
      <c r="Z141" s="3213"/>
      <c r="AA141" s="3213"/>
      <c r="AB141" s="3213"/>
      <c r="AC141" s="3194">
        <f t="shared" si="64"/>
        <v>0</v>
      </c>
      <c r="AD141" s="3224"/>
      <c r="AE141" s="3224"/>
      <c r="AF141" s="3199"/>
      <c r="AG141" s="3224"/>
      <c r="AH141" s="3224"/>
      <c r="AI141" s="3224"/>
      <c r="AJ141" s="3224"/>
      <c r="AK141" s="3224"/>
      <c r="AL141" s="3224"/>
      <c r="AM141" s="3224"/>
      <c r="AN141" s="3224"/>
      <c r="AO141" s="3224"/>
      <c r="AP141" s="3224"/>
      <c r="AQ141" s="3224"/>
      <c r="AR141" s="3224"/>
      <c r="AS141" s="3224"/>
      <c r="AT141" s="3244"/>
      <c r="AU141" s="3245"/>
      <c r="AV141" s="464">
        <f t="shared" si="88"/>
        <v>0</v>
      </c>
      <c r="AW141" s="464">
        <f t="shared" si="89"/>
        <v>0</v>
      </c>
      <c r="AX141" s="464">
        <f t="shared" si="90"/>
        <v>0</v>
      </c>
      <c r="AY141" s="3261">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6">
        <f t="shared" si="86"/>
        <v>0</v>
      </c>
    </row>
    <row r="142" spans="1:72">
      <c r="A142" s="3192"/>
      <c r="B142" s="3200"/>
      <c r="C142" s="3199"/>
      <c r="D142" s="3188"/>
      <c r="E142" s="3194">
        <f t="shared" si="87"/>
        <v>0</v>
      </c>
      <c r="F142" s="3195"/>
      <c r="G142" s="3196">
        <f t="shared" ref="G142:G173" si="91">H142+AC142+AT142</f>
        <v>0</v>
      </c>
      <c r="H142" s="3197">
        <f t="shared" ref="H142:H173" si="92">SUMIF(I$12:AB$12,"总值",I142:AB142)</f>
        <v>0</v>
      </c>
      <c r="I142" s="3199"/>
      <c r="J142" s="3213"/>
      <c r="K142" s="3199"/>
      <c r="L142" s="3213"/>
      <c r="M142" s="3213"/>
      <c r="N142" s="3213"/>
      <c r="O142" s="3213"/>
      <c r="P142" s="3213"/>
      <c r="Q142" s="3213"/>
      <c r="R142" s="3213"/>
      <c r="S142" s="3213"/>
      <c r="T142" s="3213"/>
      <c r="U142" s="3213"/>
      <c r="V142" s="3213"/>
      <c r="W142" s="3213"/>
      <c r="X142" s="3213"/>
      <c r="Y142" s="3213"/>
      <c r="Z142" s="3213"/>
      <c r="AA142" s="3213"/>
      <c r="AB142" s="3213"/>
      <c r="AC142" s="3194">
        <f t="shared" ref="AC142:AC173" si="93">SUMIF(AD$12:AS$12,"总值",AD142:AS142)</f>
        <v>0</v>
      </c>
      <c r="AD142" s="3224"/>
      <c r="AE142" s="3224"/>
      <c r="AF142" s="3199"/>
      <c r="AG142" s="3224"/>
      <c r="AH142" s="3224"/>
      <c r="AI142" s="3224"/>
      <c r="AJ142" s="3224"/>
      <c r="AK142" s="3224"/>
      <c r="AL142" s="3224"/>
      <c r="AM142" s="3224"/>
      <c r="AN142" s="3224"/>
      <c r="AO142" s="3224"/>
      <c r="AP142" s="3224"/>
      <c r="AQ142" s="3224"/>
      <c r="AR142" s="3224"/>
      <c r="AS142" s="3224"/>
      <c r="AT142" s="3244"/>
      <c r="AU142" s="3245"/>
      <c r="AV142" s="464">
        <f t="shared" si="88"/>
        <v>0</v>
      </c>
      <c r="AW142" s="464">
        <f t="shared" si="89"/>
        <v>0</v>
      </c>
      <c r="AX142" s="464">
        <f t="shared" si="90"/>
        <v>0</v>
      </c>
      <c r="AY142" s="3261">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6">
        <f t="shared" ref="BT142:BT173" si="115">IF($D142="是",AR142-AS142,0)</f>
        <v>0</v>
      </c>
    </row>
    <row r="143" spans="1:72">
      <c r="A143" s="3192"/>
      <c r="B143" s="3200"/>
      <c r="C143" s="3199"/>
      <c r="D143" s="3188"/>
      <c r="E143" s="3194">
        <f t="shared" si="87"/>
        <v>0</v>
      </c>
      <c r="F143" s="3195"/>
      <c r="G143" s="3196">
        <f t="shared" si="91"/>
        <v>0</v>
      </c>
      <c r="H143" s="3197">
        <f t="shared" si="92"/>
        <v>0</v>
      </c>
      <c r="I143" s="3199"/>
      <c r="J143" s="3213"/>
      <c r="K143" s="3199"/>
      <c r="L143" s="3213"/>
      <c r="M143" s="3213"/>
      <c r="N143" s="3213"/>
      <c r="O143" s="3213"/>
      <c r="P143" s="3213"/>
      <c r="Q143" s="3213"/>
      <c r="R143" s="3213"/>
      <c r="S143" s="3213"/>
      <c r="T143" s="3213"/>
      <c r="U143" s="3213"/>
      <c r="V143" s="3213"/>
      <c r="W143" s="3213"/>
      <c r="X143" s="3213"/>
      <c r="Y143" s="3213"/>
      <c r="Z143" s="3213"/>
      <c r="AA143" s="3213"/>
      <c r="AB143" s="3213"/>
      <c r="AC143" s="3194">
        <f t="shared" si="93"/>
        <v>0</v>
      </c>
      <c r="AD143" s="3224"/>
      <c r="AE143" s="3224"/>
      <c r="AF143" s="3199"/>
      <c r="AG143" s="3224"/>
      <c r="AH143" s="3224"/>
      <c r="AI143" s="3224"/>
      <c r="AJ143" s="3224"/>
      <c r="AK143" s="3224"/>
      <c r="AL143" s="3224"/>
      <c r="AM143" s="3224"/>
      <c r="AN143" s="3224"/>
      <c r="AO143" s="3224"/>
      <c r="AP143" s="3224"/>
      <c r="AQ143" s="3224"/>
      <c r="AR143" s="3224"/>
      <c r="AS143" s="3224"/>
      <c r="AT143" s="3244"/>
      <c r="AU143" s="3245"/>
      <c r="AV143" s="464">
        <f t="shared" si="88"/>
        <v>0</v>
      </c>
      <c r="AW143" s="464">
        <f t="shared" si="89"/>
        <v>0</v>
      </c>
      <c r="AX143" s="464">
        <f t="shared" si="90"/>
        <v>0</v>
      </c>
      <c r="AY143" s="3261">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6">
        <f t="shared" si="115"/>
        <v>0</v>
      </c>
    </row>
    <row r="144" spans="1:72">
      <c r="A144" s="3192"/>
      <c r="B144" s="3200"/>
      <c r="C144" s="3199"/>
      <c r="D144" s="3188"/>
      <c r="E144" s="3194">
        <f t="shared" si="87"/>
        <v>0</v>
      </c>
      <c r="F144" s="3195"/>
      <c r="G144" s="3196">
        <f t="shared" si="91"/>
        <v>0</v>
      </c>
      <c r="H144" s="3197">
        <f t="shared" si="92"/>
        <v>0</v>
      </c>
      <c r="I144" s="3199"/>
      <c r="J144" s="3213"/>
      <c r="K144" s="3199"/>
      <c r="L144" s="3213"/>
      <c r="M144" s="3213"/>
      <c r="N144" s="3213"/>
      <c r="O144" s="3213"/>
      <c r="P144" s="3213"/>
      <c r="Q144" s="3213"/>
      <c r="R144" s="3213"/>
      <c r="S144" s="3213"/>
      <c r="T144" s="3213"/>
      <c r="U144" s="3213"/>
      <c r="V144" s="3213"/>
      <c r="W144" s="3213"/>
      <c r="X144" s="3213"/>
      <c r="Y144" s="3213"/>
      <c r="Z144" s="3213"/>
      <c r="AA144" s="3213"/>
      <c r="AB144" s="3213"/>
      <c r="AC144" s="3194">
        <f t="shared" si="93"/>
        <v>0</v>
      </c>
      <c r="AD144" s="3224"/>
      <c r="AE144" s="3224"/>
      <c r="AF144" s="3199"/>
      <c r="AG144" s="3224"/>
      <c r="AH144" s="3224"/>
      <c r="AI144" s="3224"/>
      <c r="AJ144" s="3224"/>
      <c r="AK144" s="3224"/>
      <c r="AL144" s="3224"/>
      <c r="AM144" s="3224"/>
      <c r="AN144" s="3224"/>
      <c r="AO144" s="3224"/>
      <c r="AP144" s="3224"/>
      <c r="AQ144" s="3224"/>
      <c r="AR144" s="3224"/>
      <c r="AS144" s="3224"/>
      <c r="AT144" s="3244"/>
      <c r="AU144" s="3245"/>
      <c r="AV144" s="464">
        <f t="shared" si="88"/>
        <v>0</v>
      </c>
      <c r="AW144" s="464">
        <f t="shared" si="89"/>
        <v>0</v>
      </c>
      <c r="AX144" s="464">
        <f t="shared" si="90"/>
        <v>0</v>
      </c>
      <c r="AY144" s="3261">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6">
        <f t="shared" si="115"/>
        <v>0</v>
      </c>
    </row>
    <row r="145" spans="1:72">
      <c r="A145" s="3192"/>
      <c r="B145" s="3200"/>
      <c r="C145" s="3199"/>
      <c r="D145" s="3188"/>
      <c r="E145" s="3194">
        <f t="shared" ref="E145:E176" si="116">IF($C$3="是",ROUND($A$3*G145/$B$3,2),ROUND($A$3*(G145-AT145)/$B$3,2))</f>
        <v>0</v>
      </c>
      <c r="F145" s="3195"/>
      <c r="G145" s="3196">
        <f t="shared" si="91"/>
        <v>0</v>
      </c>
      <c r="H145" s="3197">
        <f t="shared" si="92"/>
        <v>0</v>
      </c>
      <c r="I145" s="3199"/>
      <c r="J145" s="3213"/>
      <c r="K145" s="3199"/>
      <c r="L145" s="3213"/>
      <c r="M145" s="3213"/>
      <c r="N145" s="3213"/>
      <c r="O145" s="3213"/>
      <c r="P145" s="3213"/>
      <c r="Q145" s="3213"/>
      <c r="R145" s="3213"/>
      <c r="S145" s="3213"/>
      <c r="T145" s="3213"/>
      <c r="U145" s="3213"/>
      <c r="V145" s="3213"/>
      <c r="W145" s="3213"/>
      <c r="X145" s="3213"/>
      <c r="Y145" s="3213"/>
      <c r="Z145" s="3213"/>
      <c r="AA145" s="3213"/>
      <c r="AB145" s="3213"/>
      <c r="AC145" s="3194">
        <f t="shared" si="93"/>
        <v>0</v>
      </c>
      <c r="AD145" s="3224"/>
      <c r="AE145" s="3224"/>
      <c r="AF145" s="3199"/>
      <c r="AG145" s="3224"/>
      <c r="AH145" s="3224"/>
      <c r="AI145" s="3224"/>
      <c r="AJ145" s="3224"/>
      <c r="AK145" s="3224"/>
      <c r="AL145" s="3224"/>
      <c r="AM145" s="3224"/>
      <c r="AN145" s="3224"/>
      <c r="AO145" s="3224"/>
      <c r="AP145" s="3224"/>
      <c r="AQ145" s="3224"/>
      <c r="AR145" s="3224"/>
      <c r="AS145" s="3224"/>
      <c r="AT145" s="3244"/>
      <c r="AU145" s="3245"/>
      <c r="AV145" s="464">
        <f t="shared" ref="AV145:AV176" si="117">A145</f>
        <v>0</v>
      </c>
      <c r="AW145" s="464">
        <f t="shared" ref="AW145:AW176" si="118">B145</f>
        <v>0</v>
      </c>
      <c r="AX145" s="464">
        <f t="shared" ref="AX145:AX176" si="119">C145</f>
        <v>0</v>
      </c>
      <c r="AY145" s="3261">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6">
        <f t="shared" si="115"/>
        <v>0</v>
      </c>
    </row>
    <row r="146" spans="1:72">
      <c r="A146" s="3192"/>
      <c r="B146" s="3200"/>
      <c r="C146" s="3199"/>
      <c r="D146" s="3188"/>
      <c r="E146" s="3194">
        <f t="shared" si="116"/>
        <v>0</v>
      </c>
      <c r="F146" s="3195"/>
      <c r="G146" s="3196">
        <f t="shared" si="91"/>
        <v>0</v>
      </c>
      <c r="H146" s="3197">
        <f t="shared" si="92"/>
        <v>0</v>
      </c>
      <c r="I146" s="3199"/>
      <c r="J146" s="3213"/>
      <c r="K146" s="3199"/>
      <c r="L146" s="3213"/>
      <c r="M146" s="3213"/>
      <c r="N146" s="3213"/>
      <c r="O146" s="3213"/>
      <c r="P146" s="3213"/>
      <c r="Q146" s="3213"/>
      <c r="R146" s="3213"/>
      <c r="S146" s="3213"/>
      <c r="T146" s="3213"/>
      <c r="U146" s="3213"/>
      <c r="V146" s="3213"/>
      <c r="W146" s="3213"/>
      <c r="X146" s="3213"/>
      <c r="Y146" s="3213"/>
      <c r="Z146" s="3213"/>
      <c r="AA146" s="3213"/>
      <c r="AB146" s="3213"/>
      <c r="AC146" s="3194">
        <f t="shared" si="93"/>
        <v>0</v>
      </c>
      <c r="AD146" s="3224"/>
      <c r="AE146" s="3224"/>
      <c r="AF146" s="3199"/>
      <c r="AG146" s="3224"/>
      <c r="AH146" s="3224"/>
      <c r="AI146" s="3224"/>
      <c r="AJ146" s="3224"/>
      <c r="AK146" s="3224"/>
      <c r="AL146" s="3224"/>
      <c r="AM146" s="3224"/>
      <c r="AN146" s="3224"/>
      <c r="AO146" s="3224"/>
      <c r="AP146" s="3224"/>
      <c r="AQ146" s="3224"/>
      <c r="AR146" s="3224"/>
      <c r="AS146" s="3224"/>
      <c r="AT146" s="3244"/>
      <c r="AU146" s="3245"/>
      <c r="AV146" s="464">
        <f t="shared" si="117"/>
        <v>0</v>
      </c>
      <c r="AW146" s="464">
        <f t="shared" si="118"/>
        <v>0</v>
      </c>
      <c r="AX146" s="464">
        <f t="shared" si="119"/>
        <v>0</v>
      </c>
      <c r="AY146" s="3261">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6">
        <f t="shared" si="115"/>
        <v>0</v>
      </c>
    </row>
    <row r="147" spans="1:72">
      <c r="A147" s="3192"/>
      <c r="B147" s="3201"/>
      <c r="C147" s="3202"/>
      <c r="D147" s="3188"/>
      <c r="E147" s="3194">
        <f t="shared" si="116"/>
        <v>0</v>
      </c>
      <c r="F147" s="3195"/>
      <c r="G147" s="3196">
        <f t="shared" si="91"/>
        <v>0</v>
      </c>
      <c r="H147" s="3197">
        <f t="shared" si="92"/>
        <v>0</v>
      </c>
      <c r="I147" s="3199"/>
      <c r="J147" s="3213"/>
      <c r="K147" s="3199"/>
      <c r="L147" s="3213"/>
      <c r="M147" s="3199"/>
      <c r="N147" s="3213"/>
      <c r="O147" s="3213"/>
      <c r="P147" s="3213"/>
      <c r="Q147" s="3213"/>
      <c r="R147" s="3213"/>
      <c r="S147" s="3213"/>
      <c r="T147" s="3213"/>
      <c r="U147" s="3213"/>
      <c r="V147" s="3213"/>
      <c r="W147" s="3213"/>
      <c r="X147" s="3213"/>
      <c r="Y147" s="3213"/>
      <c r="Z147" s="3213"/>
      <c r="AA147" s="3213"/>
      <c r="AB147" s="3213"/>
      <c r="AC147" s="3194">
        <f t="shared" si="93"/>
        <v>0</v>
      </c>
      <c r="AD147" s="3224"/>
      <c r="AE147" s="3224"/>
      <c r="AF147" s="3199"/>
      <c r="AG147" s="3224"/>
      <c r="AH147" s="3224"/>
      <c r="AI147" s="3224"/>
      <c r="AJ147" s="3224"/>
      <c r="AK147" s="3224"/>
      <c r="AL147" s="3224"/>
      <c r="AM147" s="3224"/>
      <c r="AN147" s="3224"/>
      <c r="AO147" s="3224"/>
      <c r="AP147" s="3224"/>
      <c r="AQ147" s="3224"/>
      <c r="AR147" s="3224"/>
      <c r="AS147" s="3224"/>
      <c r="AT147" s="3244"/>
      <c r="AU147" s="3245"/>
      <c r="AV147" s="464">
        <f t="shared" si="117"/>
        <v>0</v>
      </c>
      <c r="AW147" s="464">
        <f t="shared" si="118"/>
        <v>0</v>
      </c>
      <c r="AX147" s="464">
        <f t="shared" si="119"/>
        <v>0</v>
      </c>
      <c r="AY147" s="3261">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6">
        <f t="shared" si="115"/>
        <v>0</v>
      </c>
    </row>
    <row r="148" spans="1:72">
      <c r="A148" s="3192"/>
      <c r="B148" s="3193"/>
      <c r="C148" s="3193"/>
      <c r="D148" s="3188"/>
      <c r="E148" s="3194">
        <f t="shared" si="116"/>
        <v>0</v>
      </c>
      <c r="F148" s="3195"/>
      <c r="G148" s="3196">
        <f t="shared" si="91"/>
        <v>0</v>
      </c>
      <c r="H148" s="3197">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4">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64">
        <f t="shared" si="117"/>
        <v>0</v>
      </c>
      <c r="AW148" s="464">
        <f t="shared" si="118"/>
        <v>0</v>
      </c>
      <c r="AX148" s="464">
        <f t="shared" si="119"/>
        <v>0</v>
      </c>
      <c r="AY148" s="3261">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6">
        <f t="shared" si="115"/>
        <v>0</v>
      </c>
    </row>
    <row r="149" spans="1:72">
      <c r="A149" s="3192"/>
      <c r="B149" s="3193"/>
      <c r="C149" s="3193"/>
      <c r="D149" s="3188"/>
      <c r="E149" s="3194">
        <f t="shared" si="116"/>
        <v>0</v>
      </c>
      <c r="F149" s="3195"/>
      <c r="G149" s="3196">
        <f t="shared" si="91"/>
        <v>0</v>
      </c>
      <c r="H149" s="3197">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4">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64">
        <f t="shared" si="117"/>
        <v>0</v>
      </c>
      <c r="AW149" s="464">
        <f t="shared" si="118"/>
        <v>0</v>
      </c>
      <c r="AX149" s="464">
        <f t="shared" si="119"/>
        <v>0</v>
      </c>
      <c r="AY149" s="3261">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6">
        <f t="shared" si="115"/>
        <v>0</v>
      </c>
    </row>
    <row r="150" spans="1:72">
      <c r="A150" s="3192"/>
      <c r="B150" s="3193"/>
      <c r="C150" s="3193"/>
      <c r="D150" s="3188"/>
      <c r="E150" s="3194">
        <f t="shared" si="116"/>
        <v>0</v>
      </c>
      <c r="F150" s="3195"/>
      <c r="G150" s="3196">
        <f t="shared" si="91"/>
        <v>0</v>
      </c>
      <c r="H150" s="3197">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4">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64">
        <f t="shared" si="117"/>
        <v>0</v>
      </c>
      <c r="AW150" s="464">
        <f t="shared" si="118"/>
        <v>0</v>
      </c>
      <c r="AX150" s="464">
        <f t="shared" si="119"/>
        <v>0</v>
      </c>
      <c r="AY150" s="3261">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6">
        <f t="shared" si="115"/>
        <v>0</v>
      </c>
    </row>
    <row r="151" spans="1:72">
      <c r="A151" s="3192"/>
      <c r="B151" s="3193"/>
      <c r="C151" s="3193"/>
      <c r="D151" s="3188"/>
      <c r="E151" s="3194">
        <f t="shared" si="116"/>
        <v>0</v>
      </c>
      <c r="F151" s="3195"/>
      <c r="G151" s="3196">
        <f t="shared" si="91"/>
        <v>0</v>
      </c>
      <c r="H151" s="3197">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4">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64">
        <f t="shared" si="117"/>
        <v>0</v>
      </c>
      <c r="AW151" s="464">
        <f t="shared" si="118"/>
        <v>0</v>
      </c>
      <c r="AX151" s="464">
        <f t="shared" si="119"/>
        <v>0</v>
      </c>
      <c r="AY151" s="3261">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6">
        <f t="shared" si="115"/>
        <v>0</v>
      </c>
    </row>
    <row r="152" spans="1:72">
      <c r="A152" s="3192"/>
      <c r="B152" s="3193"/>
      <c r="C152" s="3193"/>
      <c r="D152" s="3188"/>
      <c r="E152" s="3194">
        <f t="shared" si="116"/>
        <v>0</v>
      </c>
      <c r="F152" s="3195"/>
      <c r="G152" s="3196">
        <f t="shared" si="91"/>
        <v>0</v>
      </c>
      <c r="H152" s="3197">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4">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64">
        <f t="shared" si="117"/>
        <v>0</v>
      </c>
      <c r="AW152" s="464">
        <f t="shared" si="118"/>
        <v>0</v>
      </c>
      <c r="AX152" s="464">
        <f t="shared" si="119"/>
        <v>0</v>
      </c>
      <c r="AY152" s="3261">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6">
        <f t="shared" si="115"/>
        <v>0</v>
      </c>
    </row>
    <row r="153" spans="1:72">
      <c r="A153" s="3192"/>
      <c r="B153" s="3193"/>
      <c r="C153" s="3193"/>
      <c r="D153" s="3188"/>
      <c r="E153" s="3194">
        <f t="shared" si="116"/>
        <v>0</v>
      </c>
      <c r="F153" s="3195"/>
      <c r="G153" s="3196">
        <f t="shared" si="91"/>
        <v>0</v>
      </c>
      <c r="H153" s="3197">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4">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64">
        <f t="shared" si="117"/>
        <v>0</v>
      </c>
      <c r="AW153" s="464">
        <f t="shared" si="118"/>
        <v>0</v>
      </c>
      <c r="AX153" s="464">
        <f t="shared" si="119"/>
        <v>0</v>
      </c>
      <c r="AY153" s="3261">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6">
        <f t="shared" si="115"/>
        <v>0</v>
      </c>
    </row>
    <row r="154" spans="1:72">
      <c r="A154" s="3192"/>
      <c r="B154" s="3193"/>
      <c r="C154" s="3193"/>
      <c r="D154" s="3188"/>
      <c r="E154" s="3194">
        <f t="shared" si="116"/>
        <v>0</v>
      </c>
      <c r="F154" s="3195"/>
      <c r="G154" s="3196">
        <f t="shared" si="91"/>
        <v>0</v>
      </c>
      <c r="H154" s="3197">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4">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64">
        <f t="shared" si="117"/>
        <v>0</v>
      </c>
      <c r="AW154" s="464">
        <f t="shared" si="118"/>
        <v>0</v>
      </c>
      <c r="AX154" s="464">
        <f t="shared" si="119"/>
        <v>0</v>
      </c>
      <c r="AY154" s="3261">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6">
        <f t="shared" si="115"/>
        <v>0</v>
      </c>
    </row>
    <row r="155" spans="1:72">
      <c r="A155" s="3192"/>
      <c r="B155" s="3193"/>
      <c r="C155" s="3193"/>
      <c r="D155" s="3188"/>
      <c r="E155" s="3194">
        <f t="shared" si="116"/>
        <v>0</v>
      </c>
      <c r="F155" s="3195"/>
      <c r="G155" s="3196">
        <f t="shared" si="91"/>
        <v>0</v>
      </c>
      <c r="H155" s="3197">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4">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64">
        <f t="shared" si="117"/>
        <v>0</v>
      </c>
      <c r="AW155" s="464">
        <f t="shared" si="118"/>
        <v>0</v>
      </c>
      <c r="AX155" s="464">
        <f t="shared" si="119"/>
        <v>0</v>
      </c>
      <c r="AY155" s="3261">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6">
        <f t="shared" si="115"/>
        <v>0</v>
      </c>
    </row>
    <row r="156" spans="1:72">
      <c r="A156" s="3192"/>
      <c r="B156" s="3193"/>
      <c r="C156" s="3193"/>
      <c r="D156" s="3188"/>
      <c r="E156" s="3194">
        <f t="shared" si="116"/>
        <v>0</v>
      </c>
      <c r="F156" s="3195"/>
      <c r="G156" s="3196">
        <f t="shared" si="91"/>
        <v>0</v>
      </c>
      <c r="H156" s="3197">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4">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64">
        <f t="shared" si="117"/>
        <v>0</v>
      </c>
      <c r="AW156" s="464">
        <f t="shared" si="118"/>
        <v>0</v>
      </c>
      <c r="AX156" s="464">
        <f t="shared" si="119"/>
        <v>0</v>
      </c>
      <c r="AY156" s="3261">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6">
        <f t="shared" si="115"/>
        <v>0</v>
      </c>
    </row>
    <row r="157" spans="1:72">
      <c r="A157" s="3192"/>
      <c r="B157" s="3193"/>
      <c r="C157" s="3193"/>
      <c r="D157" s="3188"/>
      <c r="E157" s="3194">
        <f t="shared" si="116"/>
        <v>0</v>
      </c>
      <c r="F157" s="3195"/>
      <c r="G157" s="3196">
        <f t="shared" si="91"/>
        <v>0</v>
      </c>
      <c r="H157" s="3197">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4">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64">
        <f t="shared" si="117"/>
        <v>0</v>
      </c>
      <c r="AW157" s="464">
        <f t="shared" si="118"/>
        <v>0</v>
      </c>
      <c r="AX157" s="464">
        <f t="shared" si="119"/>
        <v>0</v>
      </c>
      <c r="AY157" s="3261">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6">
        <f t="shared" si="115"/>
        <v>0</v>
      </c>
    </row>
    <row r="158" spans="1:72">
      <c r="A158" s="3192"/>
      <c r="B158" s="3193"/>
      <c r="C158" s="3193"/>
      <c r="D158" s="3188"/>
      <c r="E158" s="3194">
        <f t="shared" si="116"/>
        <v>0</v>
      </c>
      <c r="F158" s="3195"/>
      <c r="G158" s="3196">
        <f t="shared" si="91"/>
        <v>0</v>
      </c>
      <c r="H158" s="3197">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4">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64">
        <f t="shared" si="117"/>
        <v>0</v>
      </c>
      <c r="AW158" s="464">
        <f t="shared" si="118"/>
        <v>0</v>
      </c>
      <c r="AX158" s="464">
        <f t="shared" si="119"/>
        <v>0</v>
      </c>
      <c r="AY158" s="3261">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6">
        <f t="shared" si="115"/>
        <v>0</v>
      </c>
    </row>
    <row r="159" spans="1:72">
      <c r="A159" s="3192"/>
      <c r="B159" s="3193"/>
      <c r="C159" s="3193"/>
      <c r="D159" s="3188"/>
      <c r="E159" s="3194">
        <f t="shared" si="116"/>
        <v>0</v>
      </c>
      <c r="F159" s="3195"/>
      <c r="G159" s="3196">
        <f t="shared" si="91"/>
        <v>0</v>
      </c>
      <c r="H159" s="3197">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4">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64">
        <f t="shared" si="117"/>
        <v>0</v>
      </c>
      <c r="AW159" s="464">
        <f t="shared" si="118"/>
        <v>0</v>
      </c>
      <c r="AX159" s="464">
        <f t="shared" si="119"/>
        <v>0</v>
      </c>
      <c r="AY159" s="3261">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6">
        <f t="shared" si="115"/>
        <v>0</v>
      </c>
    </row>
    <row r="160" spans="1:72">
      <c r="A160" s="3192"/>
      <c r="B160" s="3193"/>
      <c r="C160" s="3193"/>
      <c r="D160" s="3188"/>
      <c r="E160" s="3194">
        <f t="shared" si="116"/>
        <v>0</v>
      </c>
      <c r="F160" s="3195"/>
      <c r="G160" s="3196">
        <f t="shared" si="91"/>
        <v>0</v>
      </c>
      <c r="H160" s="3197">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4">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64">
        <f t="shared" si="117"/>
        <v>0</v>
      </c>
      <c r="AW160" s="464">
        <f t="shared" si="118"/>
        <v>0</v>
      </c>
      <c r="AX160" s="464">
        <f t="shared" si="119"/>
        <v>0</v>
      </c>
      <c r="AY160" s="3261">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6">
        <f t="shared" si="115"/>
        <v>0</v>
      </c>
    </row>
    <row r="161" spans="1:72">
      <c r="A161" s="3192"/>
      <c r="B161" s="3193"/>
      <c r="C161" s="3193"/>
      <c r="D161" s="3188"/>
      <c r="E161" s="3194">
        <f t="shared" si="116"/>
        <v>0</v>
      </c>
      <c r="F161" s="3195"/>
      <c r="G161" s="3196">
        <f t="shared" si="91"/>
        <v>0</v>
      </c>
      <c r="H161" s="3197">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4">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64">
        <f t="shared" si="117"/>
        <v>0</v>
      </c>
      <c r="AW161" s="464">
        <f t="shared" si="118"/>
        <v>0</v>
      </c>
      <c r="AX161" s="464">
        <f t="shared" si="119"/>
        <v>0</v>
      </c>
      <c r="AY161" s="3261">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6">
        <f t="shared" si="115"/>
        <v>0</v>
      </c>
    </row>
    <row r="162" spans="1:72">
      <c r="A162" s="3192"/>
      <c r="B162" s="3193"/>
      <c r="C162" s="3193"/>
      <c r="D162" s="3188"/>
      <c r="E162" s="3194">
        <f t="shared" si="116"/>
        <v>0</v>
      </c>
      <c r="F162" s="3195"/>
      <c r="G162" s="3196">
        <f t="shared" si="91"/>
        <v>0</v>
      </c>
      <c r="H162" s="3197">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4">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64">
        <f t="shared" si="117"/>
        <v>0</v>
      </c>
      <c r="AW162" s="464">
        <f t="shared" si="118"/>
        <v>0</v>
      </c>
      <c r="AX162" s="464">
        <f t="shared" si="119"/>
        <v>0</v>
      </c>
      <c r="AY162" s="3261">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6">
        <f t="shared" si="115"/>
        <v>0</v>
      </c>
    </row>
    <row r="163" spans="1:72">
      <c r="A163" s="3192"/>
      <c r="B163" s="3193"/>
      <c r="C163" s="3193"/>
      <c r="D163" s="3188"/>
      <c r="E163" s="3194">
        <f t="shared" si="116"/>
        <v>0</v>
      </c>
      <c r="F163" s="3195"/>
      <c r="G163" s="3196">
        <f t="shared" si="91"/>
        <v>0</v>
      </c>
      <c r="H163" s="3197">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4">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64">
        <f t="shared" si="117"/>
        <v>0</v>
      </c>
      <c r="AW163" s="464">
        <f t="shared" si="118"/>
        <v>0</v>
      </c>
      <c r="AX163" s="464">
        <f t="shared" si="119"/>
        <v>0</v>
      </c>
      <c r="AY163" s="3261">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6">
        <f t="shared" si="115"/>
        <v>0</v>
      </c>
    </row>
    <row r="164" spans="1:72">
      <c r="A164" s="3192"/>
      <c r="B164" s="3193"/>
      <c r="C164" s="3193"/>
      <c r="D164" s="3188"/>
      <c r="E164" s="3194">
        <f t="shared" si="116"/>
        <v>0</v>
      </c>
      <c r="F164" s="3195"/>
      <c r="G164" s="3196">
        <f t="shared" si="91"/>
        <v>0</v>
      </c>
      <c r="H164" s="3197">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4">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64">
        <f t="shared" si="117"/>
        <v>0</v>
      </c>
      <c r="AW164" s="464">
        <f t="shared" si="118"/>
        <v>0</v>
      </c>
      <c r="AX164" s="464">
        <f t="shared" si="119"/>
        <v>0</v>
      </c>
      <c r="AY164" s="3261">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6">
        <f t="shared" si="115"/>
        <v>0</v>
      </c>
    </row>
    <row r="165" spans="1:72">
      <c r="A165" s="3192"/>
      <c r="B165" s="3193"/>
      <c r="C165" s="3193"/>
      <c r="D165" s="3188"/>
      <c r="E165" s="3194">
        <f t="shared" si="116"/>
        <v>0</v>
      </c>
      <c r="F165" s="3195"/>
      <c r="G165" s="3196">
        <f t="shared" si="91"/>
        <v>0</v>
      </c>
      <c r="H165" s="3197">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4">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64">
        <f t="shared" si="117"/>
        <v>0</v>
      </c>
      <c r="AW165" s="464">
        <f t="shared" si="118"/>
        <v>0</v>
      </c>
      <c r="AX165" s="464">
        <f t="shared" si="119"/>
        <v>0</v>
      </c>
      <c r="AY165" s="3261">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6">
        <f t="shared" si="115"/>
        <v>0</v>
      </c>
    </row>
    <row r="166" spans="1:72">
      <c r="A166" s="3192"/>
      <c r="B166" s="3193"/>
      <c r="C166" s="3193"/>
      <c r="D166" s="3188"/>
      <c r="E166" s="3194">
        <f t="shared" si="116"/>
        <v>0</v>
      </c>
      <c r="F166" s="3195"/>
      <c r="G166" s="3196">
        <f t="shared" si="91"/>
        <v>0</v>
      </c>
      <c r="H166" s="3197">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4">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64">
        <f t="shared" si="117"/>
        <v>0</v>
      </c>
      <c r="AW166" s="464">
        <f t="shared" si="118"/>
        <v>0</v>
      </c>
      <c r="AX166" s="464">
        <f t="shared" si="119"/>
        <v>0</v>
      </c>
      <c r="AY166" s="3261">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6">
        <f t="shared" si="115"/>
        <v>0</v>
      </c>
    </row>
    <row r="167" spans="1:72">
      <c r="A167" s="3192"/>
      <c r="B167" s="3193"/>
      <c r="C167" s="3193"/>
      <c r="D167" s="3188"/>
      <c r="E167" s="3194">
        <f t="shared" si="116"/>
        <v>0</v>
      </c>
      <c r="F167" s="3195"/>
      <c r="G167" s="3196">
        <f t="shared" si="91"/>
        <v>0</v>
      </c>
      <c r="H167" s="3197">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4">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64">
        <f t="shared" si="117"/>
        <v>0</v>
      </c>
      <c r="AW167" s="464">
        <f t="shared" si="118"/>
        <v>0</v>
      </c>
      <c r="AX167" s="464">
        <f t="shared" si="119"/>
        <v>0</v>
      </c>
      <c r="AY167" s="3261">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6">
        <f t="shared" si="115"/>
        <v>0</v>
      </c>
    </row>
    <row r="168" spans="1:72">
      <c r="A168" s="3192"/>
      <c r="B168" s="3193"/>
      <c r="C168" s="3193"/>
      <c r="D168" s="3188"/>
      <c r="E168" s="3194">
        <f t="shared" si="116"/>
        <v>0</v>
      </c>
      <c r="F168" s="3195"/>
      <c r="G168" s="3196">
        <f t="shared" si="91"/>
        <v>0</v>
      </c>
      <c r="H168" s="3197">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4">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64">
        <f t="shared" si="117"/>
        <v>0</v>
      </c>
      <c r="AW168" s="464">
        <f t="shared" si="118"/>
        <v>0</v>
      </c>
      <c r="AX168" s="464">
        <f t="shared" si="119"/>
        <v>0</v>
      </c>
      <c r="AY168" s="3261">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6">
        <f t="shared" si="115"/>
        <v>0</v>
      </c>
    </row>
    <row r="169" spans="1:72">
      <c r="A169" s="3192"/>
      <c r="B169" s="3193"/>
      <c r="C169" s="3193"/>
      <c r="D169" s="3188"/>
      <c r="E169" s="3194">
        <f t="shared" si="116"/>
        <v>0</v>
      </c>
      <c r="F169" s="3195"/>
      <c r="G169" s="3196">
        <f t="shared" si="91"/>
        <v>0</v>
      </c>
      <c r="H169" s="3197">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4">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64">
        <f t="shared" si="117"/>
        <v>0</v>
      </c>
      <c r="AW169" s="464">
        <f t="shared" si="118"/>
        <v>0</v>
      </c>
      <c r="AX169" s="464">
        <f t="shared" si="119"/>
        <v>0</v>
      </c>
      <c r="AY169" s="3261">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6">
        <f t="shared" si="115"/>
        <v>0</v>
      </c>
    </row>
    <row r="170" spans="1:72">
      <c r="A170" s="3192"/>
      <c r="B170" s="3193"/>
      <c r="C170" s="3193"/>
      <c r="D170" s="3188"/>
      <c r="E170" s="3194">
        <f t="shared" si="116"/>
        <v>0</v>
      </c>
      <c r="F170" s="3195"/>
      <c r="G170" s="3196">
        <f t="shared" si="91"/>
        <v>0</v>
      </c>
      <c r="H170" s="3197">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4">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64">
        <f t="shared" si="117"/>
        <v>0</v>
      </c>
      <c r="AW170" s="464">
        <f t="shared" si="118"/>
        <v>0</v>
      </c>
      <c r="AX170" s="464">
        <f t="shared" si="119"/>
        <v>0</v>
      </c>
      <c r="AY170" s="3261">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6">
        <f t="shared" si="115"/>
        <v>0</v>
      </c>
    </row>
    <row r="171" spans="1:72">
      <c r="A171" s="3192"/>
      <c r="B171" s="3193"/>
      <c r="C171" s="3193"/>
      <c r="D171" s="3188"/>
      <c r="E171" s="3194">
        <f t="shared" si="116"/>
        <v>0</v>
      </c>
      <c r="F171" s="3195"/>
      <c r="G171" s="3196">
        <f t="shared" si="91"/>
        <v>0</v>
      </c>
      <c r="H171" s="3197">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4">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64">
        <f t="shared" si="117"/>
        <v>0</v>
      </c>
      <c r="AW171" s="464">
        <f t="shared" si="118"/>
        <v>0</v>
      </c>
      <c r="AX171" s="464">
        <f t="shared" si="119"/>
        <v>0</v>
      </c>
      <c r="AY171" s="3261">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6">
        <f t="shared" si="115"/>
        <v>0</v>
      </c>
    </row>
    <row r="172" spans="1:72">
      <c r="A172" s="3192"/>
      <c r="B172" s="3193"/>
      <c r="C172" s="3193"/>
      <c r="D172" s="3188"/>
      <c r="E172" s="3194">
        <f t="shared" si="116"/>
        <v>0</v>
      </c>
      <c r="F172" s="3195"/>
      <c r="G172" s="3196">
        <f t="shared" si="91"/>
        <v>0</v>
      </c>
      <c r="H172" s="3197">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4">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64">
        <f t="shared" si="117"/>
        <v>0</v>
      </c>
      <c r="AW172" s="464">
        <f t="shared" si="118"/>
        <v>0</v>
      </c>
      <c r="AX172" s="464">
        <f t="shared" si="119"/>
        <v>0</v>
      </c>
      <c r="AY172" s="3261">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6">
        <f t="shared" si="115"/>
        <v>0</v>
      </c>
    </row>
    <row r="173" spans="1:72">
      <c r="A173" s="3192"/>
      <c r="B173" s="3193"/>
      <c r="C173" s="3193"/>
      <c r="D173" s="3188"/>
      <c r="E173" s="3194">
        <f t="shared" si="116"/>
        <v>0</v>
      </c>
      <c r="F173" s="3195"/>
      <c r="G173" s="3196">
        <f t="shared" si="91"/>
        <v>0</v>
      </c>
      <c r="H173" s="3197">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4">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64">
        <f t="shared" si="117"/>
        <v>0</v>
      </c>
      <c r="AW173" s="464">
        <f t="shared" si="118"/>
        <v>0</v>
      </c>
      <c r="AX173" s="464">
        <f t="shared" si="119"/>
        <v>0</v>
      </c>
      <c r="AY173" s="3261">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6">
        <f t="shared" si="115"/>
        <v>0</v>
      </c>
    </row>
    <row r="174" spans="1:72">
      <c r="A174" s="3192"/>
      <c r="B174" s="3193"/>
      <c r="C174" s="3193"/>
      <c r="D174" s="3188"/>
      <c r="E174" s="3194">
        <f t="shared" si="116"/>
        <v>0</v>
      </c>
      <c r="F174" s="3195"/>
      <c r="G174" s="3196">
        <f t="shared" ref="G174:G204" si="120">H174+AC174+AT174</f>
        <v>0</v>
      </c>
      <c r="H174" s="3197">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4">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64">
        <f t="shared" si="117"/>
        <v>0</v>
      </c>
      <c r="AW174" s="464">
        <f t="shared" si="118"/>
        <v>0</v>
      </c>
      <c r="AX174" s="464">
        <f t="shared" si="119"/>
        <v>0</v>
      </c>
      <c r="AY174" s="3261">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6">
        <f t="shared" ref="BT174:BT204" si="144">IF($D174="是",AR174-AS174,0)</f>
        <v>0</v>
      </c>
    </row>
    <row r="175" spans="1:72">
      <c r="A175" s="3192"/>
      <c r="B175" s="3193"/>
      <c r="C175" s="3193"/>
      <c r="D175" s="3188"/>
      <c r="E175" s="3194">
        <f t="shared" si="116"/>
        <v>0</v>
      </c>
      <c r="F175" s="3195"/>
      <c r="G175" s="3196">
        <f t="shared" si="120"/>
        <v>0</v>
      </c>
      <c r="H175" s="3197">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4">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64">
        <f t="shared" si="117"/>
        <v>0</v>
      </c>
      <c r="AW175" s="464">
        <f t="shared" si="118"/>
        <v>0</v>
      </c>
      <c r="AX175" s="464">
        <f t="shared" si="119"/>
        <v>0</v>
      </c>
      <c r="AY175" s="3261">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6">
        <f t="shared" si="144"/>
        <v>0</v>
      </c>
    </row>
    <row r="176" spans="1:72">
      <c r="A176" s="3192"/>
      <c r="B176" s="3193"/>
      <c r="C176" s="3193"/>
      <c r="D176" s="3188"/>
      <c r="E176" s="3194">
        <f t="shared" si="116"/>
        <v>0</v>
      </c>
      <c r="F176" s="3195"/>
      <c r="G176" s="3196">
        <f t="shared" si="120"/>
        <v>0</v>
      </c>
      <c r="H176" s="3197">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4">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64">
        <f t="shared" si="117"/>
        <v>0</v>
      </c>
      <c r="AW176" s="464">
        <f t="shared" si="118"/>
        <v>0</v>
      </c>
      <c r="AX176" s="464">
        <f t="shared" si="119"/>
        <v>0</v>
      </c>
      <c r="AY176" s="3261">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6">
        <f t="shared" si="144"/>
        <v>0</v>
      </c>
    </row>
    <row r="177" spans="1:72">
      <c r="A177" s="3192"/>
      <c r="B177" s="3193"/>
      <c r="C177" s="3193"/>
      <c r="D177" s="3188"/>
      <c r="E177" s="3194">
        <f t="shared" ref="E177:E204" si="145">IF($C$3="是",ROUND($A$3*G177/$B$3,2),ROUND($A$3*(G177-AT177)/$B$3,2))</f>
        <v>0</v>
      </c>
      <c r="F177" s="3195"/>
      <c r="G177" s="3196">
        <f t="shared" si="120"/>
        <v>0</v>
      </c>
      <c r="H177" s="3197">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4">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64">
        <f t="shared" ref="AV177:AV204" si="146">A177</f>
        <v>0</v>
      </c>
      <c r="AW177" s="464">
        <f t="shared" ref="AW177:AW204" si="147">B177</f>
        <v>0</v>
      </c>
      <c r="AX177" s="464">
        <f t="shared" ref="AX177:AX204" si="148">C177</f>
        <v>0</v>
      </c>
      <c r="AY177" s="3261">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6">
        <f t="shared" si="144"/>
        <v>0</v>
      </c>
    </row>
    <row r="178" spans="1:72">
      <c r="A178" s="3192"/>
      <c r="B178" s="3193"/>
      <c r="C178" s="3193"/>
      <c r="D178" s="3188"/>
      <c r="E178" s="3194">
        <f t="shared" si="145"/>
        <v>0</v>
      </c>
      <c r="F178" s="3195"/>
      <c r="G178" s="3196">
        <f t="shared" si="120"/>
        <v>0</v>
      </c>
      <c r="H178" s="3197">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4">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64">
        <f t="shared" si="146"/>
        <v>0</v>
      </c>
      <c r="AW178" s="464">
        <f t="shared" si="147"/>
        <v>0</v>
      </c>
      <c r="AX178" s="464">
        <f t="shared" si="148"/>
        <v>0</v>
      </c>
      <c r="AY178" s="3261">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6">
        <f t="shared" si="144"/>
        <v>0</v>
      </c>
    </row>
    <row r="179" spans="1:72">
      <c r="A179" s="3192"/>
      <c r="B179" s="3193"/>
      <c r="C179" s="3193"/>
      <c r="D179" s="3188"/>
      <c r="E179" s="3194">
        <f t="shared" si="145"/>
        <v>0</v>
      </c>
      <c r="F179" s="3195"/>
      <c r="G179" s="3196">
        <f t="shared" si="120"/>
        <v>0</v>
      </c>
      <c r="H179" s="3197">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4">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64">
        <f t="shared" si="146"/>
        <v>0</v>
      </c>
      <c r="AW179" s="464">
        <f t="shared" si="147"/>
        <v>0</v>
      </c>
      <c r="AX179" s="464">
        <f t="shared" si="148"/>
        <v>0</v>
      </c>
      <c r="AY179" s="3261">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6">
        <f t="shared" si="144"/>
        <v>0</v>
      </c>
    </row>
    <row r="180" spans="1:72">
      <c r="A180" s="3192"/>
      <c r="B180" s="3193"/>
      <c r="C180" s="3193"/>
      <c r="D180" s="3188"/>
      <c r="E180" s="3194">
        <f t="shared" si="145"/>
        <v>0</v>
      </c>
      <c r="F180" s="3195"/>
      <c r="G180" s="3196">
        <f t="shared" si="120"/>
        <v>0</v>
      </c>
      <c r="H180" s="3197">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4">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64">
        <f t="shared" si="146"/>
        <v>0</v>
      </c>
      <c r="AW180" s="464">
        <f t="shared" si="147"/>
        <v>0</v>
      </c>
      <c r="AX180" s="464">
        <f t="shared" si="148"/>
        <v>0</v>
      </c>
      <c r="AY180" s="3261">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6">
        <f t="shared" si="144"/>
        <v>0</v>
      </c>
    </row>
    <row r="181" spans="1:72">
      <c r="A181" s="3192"/>
      <c r="B181" s="3193"/>
      <c r="C181" s="3193"/>
      <c r="D181" s="3188"/>
      <c r="E181" s="3194">
        <f t="shared" si="145"/>
        <v>0</v>
      </c>
      <c r="F181" s="3195"/>
      <c r="G181" s="3196">
        <f t="shared" si="120"/>
        <v>0</v>
      </c>
      <c r="H181" s="3197">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4">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64">
        <f t="shared" si="146"/>
        <v>0</v>
      </c>
      <c r="AW181" s="464">
        <f t="shared" si="147"/>
        <v>0</v>
      </c>
      <c r="AX181" s="464">
        <f t="shared" si="148"/>
        <v>0</v>
      </c>
      <c r="AY181" s="3261">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6">
        <f t="shared" si="144"/>
        <v>0</v>
      </c>
    </row>
    <row r="182" spans="1:72">
      <c r="A182" s="3192"/>
      <c r="B182" s="3193"/>
      <c r="C182" s="3193"/>
      <c r="D182" s="3188"/>
      <c r="E182" s="3194">
        <f t="shared" si="145"/>
        <v>0</v>
      </c>
      <c r="F182" s="3195"/>
      <c r="G182" s="3196">
        <f t="shared" si="120"/>
        <v>0</v>
      </c>
      <c r="H182" s="3197">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4">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64">
        <f t="shared" si="146"/>
        <v>0</v>
      </c>
      <c r="AW182" s="464">
        <f t="shared" si="147"/>
        <v>0</v>
      </c>
      <c r="AX182" s="464">
        <f t="shared" si="148"/>
        <v>0</v>
      </c>
      <c r="AY182" s="3261">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6">
        <f t="shared" si="144"/>
        <v>0</v>
      </c>
    </row>
    <row r="183" spans="1:72">
      <c r="A183" s="3192"/>
      <c r="B183" s="3193"/>
      <c r="C183" s="3193"/>
      <c r="D183" s="3188"/>
      <c r="E183" s="3194">
        <f t="shared" si="145"/>
        <v>0</v>
      </c>
      <c r="F183" s="3195"/>
      <c r="G183" s="3196">
        <f t="shared" si="120"/>
        <v>0</v>
      </c>
      <c r="H183" s="3197">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4">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64">
        <f t="shared" si="146"/>
        <v>0</v>
      </c>
      <c r="AW183" s="464">
        <f t="shared" si="147"/>
        <v>0</v>
      </c>
      <c r="AX183" s="464">
        <f t="shared" si="148"/>
        <v>0</v>
      </c>
      <c r="AY183" s="3261">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6">
        <f t="shared" si="144"/>
        <v>0</v>
      </c>
    </row>
    <row r="184" spans="1:72">
      <c r="A184" s="3192"/>
      <c r="B184" s="3193"/>
      <c r="C184" s="3193"/>
      <c r="D184" s="3188"/>
      <c r="E184" s="3194">
        <f t="shared" si="145"/>
        <v>0</v>
      </c>
      <c r="F184" s="3195"/>
      <c r="G184" s="3196">
        <f t="shared" si="120"/>
        <v>0</v>
      </c>
      <c r="H184" s="3197">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4">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64">
        <f t="shared" si="146"/>
        <v>0</v>
      </c>
      <c r="AW184" s="464">
        <f t="shared" si="147"/>
        <v>0</v>
      </c>
      <c r="AX184" s="464">
        <f t="shared" si="148"/>
        <v>0</v>
      </c>
      <c r="AY184" s="3261">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6">
        <f t="shared" si="144"/>
        <v>0</v>
      </c>
    </row>
    <row r="185" spans="1:72">
      <c r="A185" s="3192"/>
      <c r="B185" s="3193"/>
      <c r="C185" s="3193"/>
      <c r="D185" s="3188"/>
      <c r="E185" s="3194">
        <f t="shared" si="145"/>
        <v>0</v>
      </c>
      <c r="F185" s="3195"/>
      <c r="G185" s="3196">
        <f t="shared" si="120"/>
        <v>0</v>
      </c>
      <c r="H185" s="3197">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4">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64">
        <f t="shared" si="146"/>
        <v>0</v>
      </c>
      <c r="AW185" s="464">
        <f t="shared" si="147"/>
        <v>0</v>
      </c>
      <c r="AX185" s="464">
        <f t="shared" si="148"/>
        <v>0</v>
      </c>
      <c r="AY185" s="3261">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6">
        <f t="shared" si="144"/>
        <v>0</v>
      </c>
    </row>
    <row r="186" spans="1:72">
      <c r="A186" s="3192"/>
      <c r="B186" s="3193"/>
      <c r="C186" s="3193"/>
      <c r="D186" s="3188"/>
      <c r="E186" s="3194">
        <f t="shared" si="145"/>
        <v>0</v>
      </c>
      <c r="F186" s="3195"/>
      <c r="G186" s="3196">
        <f t="shared" si="120"/>
        <v>0</v>
      </c>
      <c r="H186" s="3197">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4">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64">
        <f t="shared" si="146"/>
        <v>0</v>
      </c>
      <c r="AW186" s="464">
        <f t="shared" si="147"/>
        <v>0</v>
      </c>
      <c r="AX186" s="464">
        <f t="shared" si="148"/>
        <v>0</v>
      </c>
      <c r="AY186" s="3261">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6">
        <f t="shared" si="144"/>
        <v>0</v>
      </c>
    </row>
    <row r="187" spans="1:72">
      <c r="A187" s="3192"/>
      <c r="B187" s="3193"/>
      <c r="C187" s="3193"/>
      <c r="D187" s="3188"/>
      <c r="E187" s="3194">
        <f t="shared" si="145"/>
        <v>0</v>
      </c>
      <c r="F187" s="3195"/>
      <c r="G187" s="3196">
        <f t="shared" si="120"/>
        <v>0</v>
      </c>
      <c r="H187" s="3197">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4">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64">
        <f t="shared" si="146"/>
        <v>0</v>
      </c>
      <c r="AW187" s="464">
        <f t="shared" si="147"/>
        <v>0</v>
      </c>
      <c r="AX187" s="464">
        <f t="shared" si="148"/>
        <v>0</v>
      </c>
      <c r="AY187" s="3261">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6">
        <f t="shared" si="144"/>
        <v>0</v>
      </c>
    </row>
    <row r="188" spans="1:72">
      <c r="A188" s="3192"/>
      <c r="B188" s="3193"/>
      <c r="C188" s="3193"/>
      <c r="D188" s="3188"/>
      <c r="E188" s="3194">
        <f t="shared" si="145"/>
        <v>0</v>
      </c>
      <c r="F188" s="3195"/>
      <c r="G188" s="3196">
        <f t="shared" si="120"/>
        <v>0</v>
      </c>
      <c r="H188" s="3197">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4">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64">
        <f t="shared" si="146"/>
        <v>0</v>
      </c>
      <c r="AW188" s="464">
        <f t="shared" si="147"/>
        <v>0</v>
      </c>
      <c r="AX188" s="464">
        <f t="shared" si="148"/>
        <v>0</v>
      </c>
      <c r="AY188" s="3261">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6">
        <f t="shared" si="144"/>
        <v>0</v>
      </c>
    </row>
    <row r="189" spans="1:72">
      <c r="A189" s="3192"/>
      <c r="B189" s="3193"/>
      <c r="C189" s="3193"/>
      <c r="D189" s="3188"/>
      <c r="E189" s="3194">
        <f t="shared" si="145"/>
        <v>0</v>
      </c>
      <c r="F189" s="3195"/>
      <c r="G189" s="3196">
        <f t="shared" si="120"/>
        <v>0</v>
      </c>
      <c r="H189" s="3197">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4">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64">
        <f t="shared" si="146"/>
        <v>0</v>
      </c>
      <c r="AW189" s="464">
        <f t="shared" si="147"/>
        <v>0</v>
      </c>
      <c r="AX189" s="464">
        <f t="shared" si="148"/>
        <v>0</v>
      </c>
      <c r="AY189" s="3261">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6">
        <f t="shared" si="144"/>
        <v>0</v>
      </c>
    </row>
    <row r="190" spans="1:72">
      <c r="A190" s="3192"/>
      <c r="B190" s="3193"/>
      <c r="C190" s="3193"/>
      <c r="D190" s="3188"/>
      <c r="E190" s="3194">
        <f t="shared" si="145"/>
        <v>0</v>
      </c>
      <c r="F190" s="3195"/>
      <c r="G190" s="3196">
        <f t="shared" si="120"/>
        <v>0</v>
      </c>
      <c r="H190" s="3197">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4">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64">
        <f t="shared" si="146"/>
        <v>0</v>
      </c>
      <c r="AW190" s="464">
        <f t="shared" si="147"/>
        <v>0</v>
      </c>
      <c r="AX190" s="464">
        <f t="shared" si="148"/>
        <v>0</v>
      </c>
      <c r="AY190" s="3261">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6">
        <f t="shared" si="144"/>
        <v>0</v>
      </c>
    </row>
    <row r="191" spans="1:72">
      <c r="A191" s="3192"/>
      <c r="B191" s="3193"/>
      <c r="C191" s="3193"/>
      <c r="D191" s="3188"/>
      <c r="E191" s="3194">
        <f t="shared" si="145"/>
        <v>0</v>
      </c>
      <c r="F191" s="3195"/>
      <c r="G191" s="3196">
        <f t="shared" si="120"/>
        <v>0</v>
      </c>
      <c r="H191" s="3197">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4">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64">
        <f t="shared" si="146"/>
        <v>0</v>
      </c>
      <c r="AW191" s="464">
        <f t="shared" si="147"/>
        <v>0</v>
      </c>
      <c r="AX191" s="464">
        <f t="shared" si="148"/>
        <v>0</v>
      </c>
      <c r="AY191" s="3261">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6">
        <f t="shared" si="144"/>
        <v>0</v>
      </c>
    </row>
    <row r="192" spans="1:72">
      <c r="A192" s="3192"/>
      <c r="B192" s="3193"/>
      <c r="C192" s="3193"/>
      <c r="D192" s="3188"/>
      <c r="E192" s="3194">
        <f t="shared" si="145"/>
        <v>0</v>
      </c>
      <c r="F192" s="3195"/>
      <c r="G192" s="3196">
        <f t="shared" si="120"/>
        <v>0</v>
      </c>
      <c r="H192" s="3197">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4">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64">
        <f t="shared" si="146"/>
        <v>0</v>
      </c>
      <c r="AW192" s="464">
        <f t="shared" si="147"/>
        <v>0</v>
      </c>
      <c r="AX192" s="464">
        <f t="shared" si="148"/>
        <v>0</v>
      </c>
      <c r="AY192" s="3261">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6">
        <f t="shared" si="144"/>
        <v>0</v>
      </c>
    </row>
    <row r="193" spans="1:72">
      <c r="A193" s="3192"/>
      <c r="B193" s="3193"/>
      <c r="C193" s="3193"/>
      <c r="D193" s="3188"/>
      <c r="E193" s="3194">
        <f t="shared" si="145"/>
        <v>0</v>
      </c>
      <c r="F193" s="3195"/>
      <c r="G193" s="3196">
        <f t="shared" si="120"/>
        <v>0</v>
      </c>
      <c r="H193" s="3197">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4">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64">
        <f t="shared" si="146"/>
        <v>0</v>
      </c>
      <c r="AW193" s="464">
        <f t="shared" si="147"/>
        <v>0</v>
      </c>
      <c r="AX193" s="464">
        <f t="shared" si="148"/>
        <v>0</v>
      </c>
      <c r="AY193" s="3261">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6">
        <f t="shared" si="144"/>
        <v>0</v>
      </c>
    </row>
    <row r="194" spans="1:72">
      <c r="A194" s="3192"/>
      <c r="B194" s="3193"/>
      <c r="C194" s="3193"/>
      <c r="D194" s="3188"/>
      <c r="E194" s="3194">
        <f t="shared" si="145"/>
        <v>0</v>
      </c>
      <c r="F194" s="3195"/>
      <c r="G194" s="3196">
        <f t="shared" si="120"/>
        <v>0</v>
      </c>
      <c r="H194" s="3197">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4">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64">
        <f t="shared" si="146"/>
        <v>0</v>
      </c>
      <c r="AW194" s="464">
        <f t="shared" si="147"/>
        <v>0</v>
      </c>
      <c r="AX194" s="464">
        <f t="shared" si="148"/>
        <v>0</v>
      </c>
      <c r="AY194" s="3261">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6">
        <f t="shared" si="144"/>
        <v>0</v>
      </c>
    </row>
    <row r="195" spans="1:72">
      <c r="A195" s="3192"/>
      <c r="B195" s="3193"/>
      <c r="C195" s="3193"/>
      <c r="D195" s="3188"/>
      <c r="E195" s="3194">
        <f t="shared" si="145"/>
        <v>0</v>
      </c>
      <c r="F195" s="3195"/>
      <c r="G195" s="3196">
        <f t="shared" si="120"/>
        <v>0</v>
      </c>
      <c r="H195" s="3197">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4">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64">
        <f t="shared" si="146"/>
        <v>0</v>
      </c>
      <c r="AW195" s="464">
        <f t="shared" si="147"/>
        <v>0</v>
      </c>
      <c r="AX195" s="464">
        <f t="shared" si="148"/>
        <v>0</v>
      </c>
      <c r="AY195" s="3261">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6">
        <f t="shared" si="144"/>
        <v>0</v>
      </c>
    </row>
    <row r="196" spans="1:72">
      <c r="A196" s="3192"/>
      <c r="B196" s="3193"/>
      <c r="C196" s="3193"/>
      <c r="D196" s="3188"/>
      <c r="E196" s="3194">
        <f t="shared" si="145"/>
        <v>0</v>
      </c>
      <c r="F196" s="3195"/>
      <c r="G196" s="3196">
        <f t="shared" si="120"/>
        <v>0</v>
      </c>
      <c r="H196" s="3197">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4">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64">
        <f t="shared" si="146"/>
        <v>0</v>
      </c>
      <c r="AW196" s="464">
        <f t="shared" si="147"/>
        <v>0</v>
      </c>
      <c r="AX196" s="464">
        <f t="shared" si="148"/>
        <v>0</v>
      </c>
      <c r="AY196" s="3261">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6">
        <f t="shared" si="144"/>
        <v>0</v>
      </c>
    </row>
    <row r="197" spans="1:72">
      <c r="A197" s="3192"/>
      <c r="B197" s="3193"/>
      <c r="C197" s="3193"/>
      <c r="D197" s="3188"/>
      <c r="E197" s="3194">
        <f t="shared" si="145"/>
        <v>0</v>
      </c>
      <c r="F197" s="3195"/>
      <c r="G197" s="3196">
        <f t="shared" si="120"/>
        <v>0</v>
      </c>
      <c r="H197" s="3197">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4">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64">
        <f t="shared" si="146"/>
        <v>0</v>
      </c>
      <c r="AW197" s="464">
        <f t="shared" si="147"/>
        <v>0</v>
      </c>
      <c r="AX197" s="464">
        <f t="shared" si="148"/>
        <v>0</v>
      </c>
      <c r="AY197" s="3261">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6">
        <f t="shared" si="144"/>
        <v>0</v>
      </c>
    </row>
    <row r="198" spans="1:72">
      <c r="A198" s="3192"/>
      <c r="B198" s="3193"/>
      <c r="C198" s="3193"/>
      <c r="D198" s="3188"/>
      <c r="E198" s="3194">
        <f t="shared" si="145"/>
        <v>0</v>
      </c>
      <c r="F198" s="3195"/>
      <c r="G198" s="3196">
        <f t="shared" si="120"/>
        <v>0</v>
      </c>
      <c r="H198" s="3197">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4">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64">
        <f t="shared" si="146"/>
        <v>0</v>
      </c>
      <c r="AW198" s="464">
        <f t="shared" si="147"/>
        <v>0</v>
      </c>
      <c r="AX198" s="464">
        <f t="shared" si="148"/>
        <v>0</v>
      </c>
      <c r="AY198" s="3261">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6">
        <f t="shared" si="144"/>
        <v>0</v>
      </c>
    </row>
    <row r="199" spans="1:72">
      <c r="A199" s="3192"/>
      <c r="B199" s="3193"/>
      <c r="C199" s="3193"/>
      <c r="D199" s="3188"/>
      <c r="E199" s="3194">
        <f t="shared" si="145"/>
        <v>0</v>
      </c>
      <c r="F199" s="3195"/>
      <c r="G199" s="3196">
        <f t="shared" si="120"/>
        <v>0</v>
      </c>
      <c r="H199" s="3197">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4">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64">
        <f t="shared" si="146"/>
        <v>0</v>
      </c>
      <c r="AW199" s="464">
        <f t="shared" si="147"/>
        <v>0</v>
      </c>
      <c r="AX199" s="464">
        <f t="shared" si="148"/>
        <v>0</v>
      </c>
      <c r="AY199" s="3261">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6">
        <f t="shared" si="144"/>
        <v>0</v>
      </c>
    </row>
    <row r="200" spans="1:72">
      <c r="A200" s="3192"/>
      <c r="B200" s="3193"/>
      <c r="C200" s="3193"/>
      <c r="D200" s="3188"/>
      <c r="E200" s="3194">
        <f t="shared" si="145"/>
        <v>0</v>
      </c>
      <c r="F200" s="3195"/>
      <c r="G200" s="3196">
        <f t="shared" si="120"/>
        <v>0</v>
      </c>
      <c r="H200" s="3197">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4">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64">
        <f t="shared" si="146"/>
        <v>0</v>
      </c>
      <c r="AW200" s="464">
        <f t="shared" si="147"/>
        <v>0</v>
      </c>
      <c r="AX200" s="464">
        <f t="shared" si="148"/>
        <v>0</v>
      </c>
      <c r="AY200" s="3261">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6">
        <f t="shared" si="144"/>
        <v>0</v>
      </c>
    </row>
    <row r="201" spans="1:72">
      <c r="A201" s="3192"/>
      <c r="B201" s="3193"/>
      <c r="C201" s="3193"/>
      <c r="D201" s="3188"/>
      <c r="E201" s="3194">
        <f t="shared" si="145"/>
        <v>0</v>
      </c>
      <c r="F201" s="3195"/>
      <c r="G201" s="3196">
        <f t="shared" si="120"/>
        <v>0</v>
      </c>
      <c r="H201" s="3197">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4">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64">
        <f t="shared" si="146"/>
        <v>0</v>
      </c>
      <c r="AW201" s="464">
        <f t="shared" si="147"/>
        <v>0</v>
      </c>
      <c r="AX201" s="464">
        <f t="shared" si="148"/>
        <v>0</v>
      </c>
      <c r="AY201" s="3261">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6">
        <f t="shared" si="144"/>
        <v>0</v>
      </c>
    </row>
    <row r="202" spans="1:72">
      <c r="A202" s="3192"/>
      <c r="B202" s="3192"/>
      <c r="C202" s="3192"/>
      <c r="D202" s="3188"/>
      <c r="E202" s="3194">
        <f t="shared" si="145"/>
        <v>0</v>
      </c>
      <c r="F202" s="3267"/>
      <c r="G202" s="3196">
        <f t="shared" si="120"/>
        <v>0</v>
      </c>
      <c r="H202" s="3197">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4">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64">
        <f t="shared" si="146"/>
        <v>0</v>
      </c>
      <c r="AW202" s="464">
        <f t="shared" si="147"/>
        <v>0</v>
      </c>
      <c r="AX202" s="464">
        <f t="shared" si="148"/>
        <v>0</v>
      </c>
      <c r="AY202" s="3261">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6">
        <f t="shared" si="144"/>
        <v>0</v>
      </c>
    </row>
    <row r="203" spans="1:72">
      <c r="A203" s="3192"/>
      <c r="B203" s="3192"/>
      <c r="C203" s="3192"/>
      <c r="D203" s="3188"/>
      <c r="E203" s="3194">
        <f t="shared" si="145"/>
        <v>0</v>
      </c>
      <c r="F203" s="3267"/>
      <c r="G203" s="3196">
        <f t="shared" si="120"/>
        <v>0</v>
      </c>
      <c r="H203" s="3197">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4">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64">
        <f t="shared" si="146"/>
        <v>0</v>
      </c>
      <c r="AW203" s="464">
        <f t="shared" si="147"/>
        <v>0</v>
      </c>
      <c r="AX203" s="464">
        <f t="shared" si="148"/>
        <v>0</v>
      </c>
      <c r="AY203" s="3261">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6">
        <f t="shared" si="144"/>
        <v>0</v>
      </c>
    </row>
    <row r="204" spans="1:72">
      <c r="A204" s="3192"/>
      <c r="B204" s="3192"/>
      <c r="C204" s="3192"/>
      <c r="D204" s="3188"/>
      <c r="E204" s="3194">
        <f t="shared" si="145"/>
        <v>0</v>
      </c>
      <c r="F204" s="3267"/>
      <c r="G204" s="3196">
        <f t="shared" si="120"/>
        <v>0</v>
      </c>
      <c r="H204" s="3197">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4">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64">
        <f t="shared" si="146"/>
        <v>0</v>
      </c>
      <c r="AW204" s="464">
        <f t="shared" si="147"/>
        <v>0</v>
      </c>
      <c r="AX204" s="464">
        <f t="shared" si="148"/>
        <v>0</v>
      </c>
      <c r="AY204" s="3261">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6">
        <f t="shared" si="144"/>
        <v>0</v>
      </c>
    </row>
    <row r="205" spans="1:72">
      <c r="A205" s="3192"/>
      <c r="B205" s="3200"/>
      <c r="C205" s="3199"/>
      <c r="D205" s="3188"/>
      <c r="E205" s="3194">
        <f t="shared" ref="E205:E296" si="149">IF($C$3="是",ROUND($A$3*G205/$B$3,2),ROUND($A$3*(G205-AT205)/$B$3,2))</f>
        <v>0</v>
      </c>
      <c r="F205" s="3195"/>
      <c r="G205" s="3196">
        <f t="shared" ref="G205:G293" si="150">H205+AC205+AT205</f>
        <v>0</v>
      </c>
      <c r="H205" s="3197">
        <f t="shared" ref="H205:H293" si="151">SUMIF(I$12:AB$12,"总值",I205:AB205)</f>
        <v>0</v>
      </c>
      <c r="I205" s="3202"/>
      <c r="J205" s="3213"/>
      <c r="K205" s="3202"/>
      <c r="L205" s="3213"/>
      <c r="M205" s="3213"/>
      <c r="N205" s="3213"/>
      <c r="O205" s="3213"/>
      <c r="P205" s="3213"/>
      <c r="Q205" s="3213"/>
      <c r="R205" s="3213"/>
      <c r="S205" s="3213"/>
      <c r="T205" s="3213"/>
      <c r="U205" s="3213"/>
      <c r="V205" s="3213"/>
      <c r="W205" s="3213"/>
      <c r="X205" s="3213"/>
      <c r="Y205" s="3213"/>
      <c r="Z205" s="3213"/>
      <c r="AA205" s="3213"/>
      <c r="AB205" s="3213"/>
      <c r="AC205" s="3194">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64">
        <f t="shared" ref="AV205:AV296" si="153">A205</f>
        <v>0</v>
      </c>
      <c r="AW205" s="464">
        <f t="shared" ref="AW205:AW296" si="154">B205</f>
        <v>0</v>
      </c>
      <c r="AX205" s="464">
        <f t="shared" ref="AX205:AX296" si="155">C205</f>
        <v>0</v>
      </c>
      <c r="AY205" s="3261">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6">
        <f t="shared" ref="BT205:BT293" si="177">IF($D205="是",AR205-AS205,0)</f>
        <v>0</v>
      </c>
    </row>
    <row r="206" spans="1:72">
      <c r="A206" s="3192"/>
      <c r="B206" s="3200"/>
      <c r="C206" s="3199"/>
      <c r="D206" s="3188"/>
      <c r="E206" s="3194">
        <f t="shared" si="149"/>
        <v>0</v>
      </c>
      <c r="F206" s="3195"/>
      <c r="G206" s="3196">
        <f t="shared" si="150"/>
        <v>0</v>
      </c>
      <c r="H206" s="3197">
        <f t="shared" si="151"/>
        <v>0</v>
      </c>
      <c r="I206" s="3202"/>
      <c r="J206" s="3213"/>
      <c r="K206" s="3202"/>
      <c r="L206" s="3213"/>
      <c r="M206" s="3214"/>
      <c r="N206" s="3213"/>
      <c r="O206" s="3213"/>
      <c r="P206" s="3213"/>
      <c r="Q206" s="3213"/>
      <c r="R206" s="3213"/>
      <c r="S206" s="3213"/>
      <c r="T206" s="3213"/>
      <c r="U206" s="3213"/>
      <c r="V206" s="3213"/>
      <c r="W206" s="3213"/>
      <c r="X206" s="3213"/>
      <c r="Y206" s="3213"/>
      <c r="Z206" s="3213"/>
      <c r="AA206" s="3213"/>
      <c r="AB206" s="3213"/>
      <c r="AC206" s="3194">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64">
        <f t="shared" si="153"/>
        <v>0</v>
      </c>
      <c r="AW206" s="464">
        <f t="shared" si="154"/>
        <v>0</v>
      </c>
      <c r="AX206" s="464">
        <f t="shared" si="155"/>
        <v>0</v>
      </c>
      <c r="AY206" s="3261">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6">
        <f t="shared" si="177"/>
        <v>0</v>
      </c>
    </row>
    <row r="207" spans="1:72">
      <c r="A207" s="3192"/>
      <c r="B207" s="3200"/>
      <c r="C207" s="3199"/>
      <c r="D207" s="3188"/>
      <c r="E207" s="3194">
        <f t="shared" si="149"/>
        <v>0</v>
      </c>
      <c r="F207" s="3195"/>
      <c r="G207" s="3196">
        <f t="shared" si="150"/>
        <v>0</v>
      </c>
      <c r="H207" s="3197">
        <f t="shared" si="151"/>
        <v>0</v>
      </c>
      <c r="I207" s="3202"/>
      <c r="J207" s="3213"/>
      <c r="K207" s="3202"/>
      <c r="L207" s="3213"/>
      <c r="M207" s="3214"/>
      <c r="N207" s="3213"/>
      <c r="O207" s="3213"/>
      <c r="P207" s="3213"/>
      <c r="Q207" s="3213"/>
      <c r="R207" s="3213"/>
      <c r="S207" s="3213"/>
      <c r="T207" s="3213"/>
      <c r="U207" s="3213"/>
      <c r="V207" s="3213"/>
      <c r="W207" s="3213"/>
      <c r="X207" s="3213"/>
      <c r="Y207" s="3213"/>
      <c r="Z207" s="3213"/>
      <c r="AA207" s="3213"/>
      <c r="AB207" s="3213"/>
      <c r="AC207" s="3194">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64">
        <f t="shared" si="153"/>
        <v>0</v>
      </c>
      <c r="AW207" s="464">
        <f t="shared" si="154"/>
        <v>0</v>
      </c>
      <c r="AX207" s="464">
        <f t="shared" si="155"/>
        <v>0</v>
      </c>
      <c r="AY207" s="3261">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6">
        <f t="shared" si="177"/>
        <v>0</v>
      </c>
    </row>
    <row r="208" spans="1:72">
      <c r="A208" s="3192"/>
      <c r="B208" s="3200"/>
      <c r="C208" s="3199"/>
      <c r="D208" s="3188"/>
      <c r="E208" s="3194">
        <f t="shared" si="149"/>
        <v>0</v>
      </c>
      <c r="F208" s="3195"/>
      <c r="G208" s="3196">
        <f t="shared" si="150"/>
        <v>0</v>
      </c>
      <c r="H208" s="3197">
        <f t="shared" si="151"/>
        <v>0</v>
      </c>
      <c r="I208" s="3202"/>
      <c r="J208" s="3213"/>
      <c r="K208" s="3202"/>
      <c r="L208" s="3213"/>
      <c r="M208" s="3213"/>
      <c r="N208" s="3213"/>
      <c r="O208" s="3214"/>
      <c r="P208" s="3213"/>
      <c r="Q208" s="3213"/>
      <c r="R208" s="3213"/>
      <c r="S208" s="3213"/>
      <c r="T208" s="3213"/>
      <c r="U208" s="3213"/>
      <c r="V208" s="3213"/>
      <c r="W208" s="3213"/>
      <c r="X208" s="3213"/>
      <c r="Y208" s="3213"/>
      <c r="Z208" s="3213"/>
      <c r="AA208" s="3213"/>
      <c r="AB208" s="3213"/>
      <c r="AC208" s="3194">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64">
        <f t="shared" si="153"/>
        <v>0</v>
      </c>
      <c r="AW208" s="464">
        <f t="shared" si="154"/>
        <v>0</v>
      </c>
      <c r="AX208" s="464">
        <f t="shared" si="155"/>
        <v>0</v>
      </c>
      <c r="AY208" s="3261">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6">
        <f t="shared" si="177"/>
        <v>0</v>
      </c>
    </row>
    <row r="209" spans="1:72">
      <c r="A209" s="3192"/>
      <c r="B209" s="3200"/>
      <c r="C209" s="3199"/>
      <c r="D209" s="3188"/>
      <c r="E209" s="3194">
        <f t="shared" si="149"/>
        <v>0</v>
      </c>
      <c r="F209" s="3195"/>
      <c r="G209" s="3196">
        <f t="shared" si="150"/>
        <v>0</v>
      </c>
      <c r="H209" s="3197">
        <f t="shared" si="151"/>
        <v>0</v>
      </c>
      <c r="I209" s="3202"/>
      <c r="J209" s="3213"/>
      <c r="K209" s="3202"/>
      <c r="L209" s="3213"/>
      <c r="M209" s="3213"/>
      <c r="N209" s="3213"/>
      <c r="O209" s="3213"/>
      <c r="P209" s="3213"/>
      <c r="Q209" s="3213"/>
      <c r="R209" s="3213"/>
      <c r="S209" s="3213"/>
      <c r="T209" s="3213"/>
      <c r="U209" s="3213"/>
      <c r="V209" s="3213"/>
      <c r="W209" s="3213"/>
      <c r="X209" s="3213"/>
      <c r="Y209" s="3213"/>
      <c r="Z209" s="3213"/>
      <c r="AA209" s="3213"/>
      <c r="AB209" s="3213"/>
      <c r="AC209" s="3194">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64">
        <f t="shared" si="153"/>
        <v>0</v>
      </c>
      <c r="AW209" s="464">
        <f t="shared" si="154"/>
        <v>0</v>
      </c>
      <c r="AX209" s="464">
        <f t="shared" si="155"/>
        <v>0</v>
      </c>
      <c r="AY209" s="3261">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6">
        <f t="shared" si="177"/>
        <v>0</v>
      </c>
    </row>
    <row r="210" spans="1:72">
      <c r="A210" s="3192"/>
      <c r="B210" s="3200"/>
      <c r="C210" s="3199"/>
      <c r="D210" s="3188"/>
      <c r="E210" s="3194">
        <f t="shared" si="149"/>
        <v>0</v>
      </c>
      <c r="F210" s="3195"/>
      <c r="G210" s="3196">
        <f t="shared" si="150"/>
        <v>0</v>
      </c>
      <c r="H210" s="3197">
        <f t="shared" si="151"/>
        <v>0</v>
      </c>
      <c r="I210" s="3202"/>
      <c r="J210" s="3213"/>
      <c r="K210" s="3202"/>
      <c r="L210" s="3213"/>
      <c r="M210" s="3213"/>
      <c r="N210" s="3213"/>
      <c r="O210" s="3213"/>
      <c r="P210" s="3213"/>
      <c r="Q210" s="3213"/>
      <c r="R210" s="3213"/>
      <c r="S210" s="3213"/>
      <c r="T210" s="3213"/>
      <c r="U210" s="3213"/>
      <c r="V210" s="3213"/>
      <c r="W210" s="3213"/>
      <c r="X210" s="3213"/>
      <c r="Y210" s="3213"/>
      <c r="Z210" s="3213"/>
      <c r="AA210" s="3213"/>
      <c r="AB210" s="3213"/>
      <c r="AC210" s="3194">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64">
        <f t="shared" si="153"/>
        <v>0</v>
      </c>
      <c r="AW210" s="464">
        <f t="shared" si="154"/>
        <v>0</v>
      </c>
      <c r="AX210" s="464">
        <f t="shared" si="155"/>
        <v>0</v>
      </c>
      <c r="AY210" s="3261">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6">
        <f t="shared" si="177"/>
        <v>0</v>
      </c>
    </row>
    <row r="211" spans="1:72">
      <c r="A211" s="3192"/>
      <c r="B211" s="3200"/>
      <c r="C211" s="3199"/>
      <c r="D211" s="3188"/>
      <c r="E211" s="3194">
        <f t="shared" si="149"/>
        <v>0</v>
      </c>
      <c r="F211" s="3195"/>
      <c r="G211" s="3196">
        <f t="shared" si="150"/>
        <v>0</v>
      </c>
      <c r="H211" s="3197">
        <f t="shared" si="151"/>
        <v>0</v>
      </c>
      <c r="I211" s="3202"/>
      <c r="J211" s="3213"/>
      <c r="K211" s="3202"/>
      <c r="L211" s="3213"/>
      <c r="M211" s="3213"/>
      <c r="N211" s="3213"/>
      <c r="O211" s="3213"/>
      <c r="P211" s="3213"/>
      <c r="Q211" s="3213"/>
      <c r="R211" s="3213"/>
      <c r="S211" s="3213"/>
      <c r="T211" s="3213"/>
      <c r="U211" s="3213"/>
      <c r="V211" s="3213"/>
      <c r="W211" s="3213"/>
      <c r="X211" s="3213"/>
      <c r="Y211" s="3213"/>
      <c r="Z211" s="3213"/>
      <c r="AA211" s="3213"/>
      <c r="AB211" s="3213"/>
      <c r="AC211" s="3194">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64">
        <f t="shared" si="153"/>
        <v>0</v>
      </c>
      <c r="AW211" s="464">
        <f t="shared" si="154"/>
        <v>0</v>
      </c>
      <c r="AX211" s="464">
        <f t="shared" si="155"/>
        <v>0</v>
      </c>
      <c r="AY211" s="3261">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6">
        <f t="shared" si="177"/>
        <v>0</v>
      </c>
    </row>
    <row r="212" spans="1:72">
      <c r="A212" s="3192"/>
      <c r="B212" s="3200"/>
      <c r="C212" s="3199"/>
      <c r="D212" s="3188"/>
      <c r="E212" s="3194">
        <f t="shared" si="149"/>
        <v>0</v>
      </c>
      <c r="F212" s="3195"/>
      <c r="G212" s="3196">
        <f t="shared" si="150"/>
        <v>0</v>
      </c>
      <c r="H212" s="3197">
        <f t="shared" si="151"/>
        <v>0</v>
      </c>
      <c r="I212" s="3202"/>
      <c r="J212" s="3213"/>
      <c r="K212" s="3202"/>
      <c r="L212" s="3213"/>
      <c r="M212" s="3213"/>
      <c r="N212" s="3213"/>
      <c r="O212" s="3213"/>
      <c r="P212" s="3213"/>
      <c r="Q212" s="3213"/>
      <c r="R212" s="3213"/>
      <c r="S212" s="3213"/>
      <c r="T212" s="3213"/>
      <c r="U212" s="3213"/>
      <c r="V212" s="3213"/>
      <c r="W212" s="3213"/>
      <c r="X212" s="3213"/>
      <c r="Y212" s="3213"/>
      <c r="Z212" s="3213"/>
      <c r="AA212" s="3213"/>
      <c r="AB212" s="3213"/>
      <c r="AC212" s="3194">
        <f t="shared" si="152"/>
        <v>0</v>
      </c>
      <c r="AD212" s="3224"/>
      <c r="AE212" s="3224"/>
      <c r="AF212" s="3202"/>
      <c r="AG212" s="3224"/>
      <c r="AH212" s="3224"/>
      <c r="AI212" s="3224"/>
      <c r="AJ212" s="3224"/>
      <c r="AK212" s="3224"/>
      <c r="AL212" s="3224"/>
      <c r="AM212" s="3224"/>
      <c r="AN212" s="3224"/>
      <c r="AO212" s="3224"/>
      <c r="AP212" s="3224"/>
      <c r="AQ212" s="3224"/>
      <c r="AR212" s="3224"/>
      <c r="AS212" s="3224"/>
      <c r="AT212" s="3244"/>
      <c r="AU212" s="3245"/>
      <c r="AV212" s="464">
        <f t="shared" si="153"/>
        <v>0</v>
      </c>
      <c r="AW212" s="464">
        <f t="shared" si="154"/>
        <v>0</v>
      </c>
      <c r="AX212" s="464">
        <f t="shared" si="155"/>
        <v>0</v>
      </c>
      <c r="AY212" s="3261">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6">
        <f t="shared" si="177"/>
        <v>0</v>
      </c>
    </row>
    <row r="213" spans="1:72">
      <c r="A213" s="3192"/>
      <c r="B213" s="3201"/>
      <c r="C213" s="3202"/>
      <c r="D213" s="3188"/>
      <c r="E213" s="3194">
        <f t="shared" si="149"/>
        <v>0</v>
      </c>
      <c r="F213" s="3195"/>
      <c r="G213" s="3196">
        <f t="shared" si="150"/>
        <v>0</v>
      </c>
      <c r="H213" s="3197">
        <f t="shared" si="151"/>
        <v>0</v>
      </c>
      <c r="I213" s="3202"/>
      <c r="J213" s="3213"/>
      <c r="K213" s="3202"/>
      <c r="L213" s="3213"/>
      <c r="M213" s="3213"/>
      <c r="N213" s="3213"/>
      <c r="O213" s="3213"/>
      <c r="P213" s="3213"/>
      <c r="Q213" s="3213"/>
      <c r="R213" s="3213"/>
      <c r="S213" s="3213"/>
      <c r="T213" s="3213"/>
      <c r="U213" s="3213"/>
      <c r="V213" s="3213"/>
      <c r="W213" s="3213"/>
      <c r="X213" s="3213"/>
      <c r="Y213" s="3213"/>
      <c r="Z213" s="3213"/>
      <c r="AA213" s="3213"/>
      <c r="AB213" s="3213"/>
      <c r="AC213" s="3194">
        <f t="shared" si="152"/>
        <v>0</v>
      </c>
      <c r="AD213" s="3224"/>
      <c r="AE213" s="3224"/>
      <c r="AF213" s="3202"/>
      <c r="AG213" s="3224"/>
      <c r="AH213" s="3224"/>
      <c r="AI213" s="3224"/>
      <c r="AJ213" s="3224"/>
      <c r="AK213" s="3224"/>
      <c r="AL213" s="3224"/>
      <c r="AM213" s="3224"/>
      <c r="AN213" s="3224"/>
      <c r="AO213" s="3224"/>
      <c r="AP213" s="3224"/>
      <c r="AQ213" s="3224"/>
      <c r="AR213" s="3224"/>
      <c r="AS213" s="3224"/>
      <c r="AT213" s="3244"/>
      <c r="AU213" s="3245"/>
      <c r="AV213" s="464">
        <f t="shared" si="153"/>
        <v>0</v>
      </c>
      <c r="AW213" s="464">
        <f t="shared" si="154"/>
        <v>0</v>
      </c>
      <c r="AX213" s="464">
        <f t="shared" si="155"/>
        <v>0</v>
      </c>
      <c r="AY213" s="3261">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6">
        <f t="shared" si="177"/>
        <v>0</v>
      </c>
    </row>
    <row r="214" spans="1:72">
      <c r="A214" s="3192"/>
      <c r="B214" s="3200"/>
      <c r="C214" s="3199"/>
      <c r="D214" s="3188"/>
      <c r="E214" s="3194">
        <f t="shared" si="149"/>
        <v>0</v>
      </c>
      <c r="F214" s="3195"/>
      <c r="G214" s="3196">
        <f t="shared" si="150"/>
        <v>0</v>
      </c>
      <c r="H214" s="3197">
        <f t="shared" si="151"/>
        <v>0</v>
      </c>
      <c r="I214" s="3202"/>
      <c r="J214" s="3213"/>
      <c r="K214" s="3202"/>
      <c r="L214" s="3213"/>
      <c r="M214" s="3213"/>
      <c r="N214" s="3213"/>
      <c r="O214" s="3213"/>
      <c r="P214" s="3213"/>
      <c r="Q214" s="3213"/>
      <c r="R214" s="3213"/>
      <c r="S214" s="3213"/>
      <c r="T214" s="3213"/>
      <c r="U214" s="3213"/>
      <c r="V214" s="3213"/>
      <c r="W214" s="3213"/>
      <c r="X214" s="3213"/>
      <c r="Y214" s="3213"/>
      <c r="Z214" s="3213"/>
      <c r="AA214" s="3213"/>
      <c r="AB214" s="3213"/>
      <c r="AC214" s="3194">
        <f t="shared" si="152"/>
        <v>0</v>
      </c>
      <c r="AD214" s="3224"/>
      <c r="AE214" s="3224"/>
      <c r="AF214" s="3202"/>
      <c r="AG214" s="3224"/>
      <c r="AH214" s="3224"/>
      <c r="AI214" s="3224"/>
      <c r="AJ214" s="3224"/>
      <c r="AK214" s="3224"/>
      <c r="AL214" s="3224"/>
      <c r="AM214" s="3224"/>
      <c r="AN214" s="3224"/>
      <c r="AO214" s="3224"/>
      <c r="AP214" s="3224"/>
      <c r="AQ214" s="3224"/>
      <c r="AR214" s="3224"/>
      <c r="AS214" s="3224"/>
      <c r="AT214" s="3244"/>
      <c r="AU214" s="3245"/>
      <c r="AV214" s="464">
        <f t="shared" si="153"/>
        <v>0</v>
      </c>
      <c r="AW214" s="464">
        <f t="shared" si="154"/>
        <v>0</v>
      </c>
      <c r="AX214" s="464">
        <f t="shared" si="155"/>
        <v>0</v>
      </c>
      <c r="AY214" s="3261">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6">
        <f t="shared" si="177"/>
        <v>0</v>
      </c>
    </row>
    <row r="215" spans="1:72">
      <c r="A215" s="3192"/>
      <c r="B215" s="3200"/>
      <c r="C215" s="3199"/>
      <c r="D215" s="3188"/>
      <c r="E215" s="3194">
        <f t="shared" si="149"/>
        <v>0</v>
      </c>
      <c r="F215" s="3195"/>
      <c r="G215" s="3196">
        <f t="shared" si="150"/>
        <v>0</v>
      </c>
      <c r="H215" s="3197">
        <f t="shared" si="151"/>
        <v>0</v>
      </c>
      <c r="I215" s="3202"/>
      <c r="J215" s="3213"/>
      <c r="K215" s="3202"/>
      <c r="L215" s="3213"/>
      <c r="M215" s="3213"/>
      <c r="N215" s="3213"/>
      <c r="O215" s="3213"/>
      <c r="P215" s="3213"/>
      <c r="Q215" s="3213"/>
      <c r="R215" s="3213"/>
      <c r="S215" s="3213"/>
      <c r="T215" s="3213"/>
      <c r="U215" s="3213"/>
      <c r="V215" s="3213"/>
      <c r="W215" s="3213"/>
      <c r="X215" s="3213"/>
      <c r="Y215" s="3213"/>
      <c r="Z215" s="3213"/>
      <c r="AA215" s="3213"/>
      <c r="AB215" s="3213"/>
      <c r="AC215" s="3194">
        <f t="shared" si="152"/>
        <v>0</v>
      </c>
      <c r="AD215" s="3224"/>
      <c r="AE215" s="3224"/>
      <c r="AF215" s="3202"/>
      <c r="AG215" s="3224"/>
      <c r="AH215" s="3224"/>
      <c r="AI215" s="3224"/>
      <c r="AJ215" s="3224"/>
      <c r="AK215" s="3224"/>
      <c r="AL215" s="3224"/>
      <c r="AM215" s="3224"/>
      <c r="AN215" s="3224"/>
      <c r="AO215" s="3224"/>
      <c r="AP215" s="3224"/>
      <c r="AQ215" s="3224"/>
      <c r="AR215" s="3224"/>
      <c r="AS215" s="3224"/>
      <c r="AT215" s="3244"/>
      <c r="AU215" s="3245"/>
      <c r="AV215" s="464">
        <f t="shared" si="153"/>
        <v>0</v>
      </c>
      <c r="AW215" s="464">
        <f t="shared" si="154"/>
        <v>0</v>
      </c>
      <c r="AX215" s="464">
        <f t="shared" si="155"/>
        <v>0</v>
      </c>
      <c r="AY215" s="3261">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6">
        <f t="shared" si="177"/>
        <v>0</v>
      </c>
    </row>
    <row r="216" spans="1:72">
      <c r="A216" s="3192"/>
      <c r="B216" s="3200"/>
      <c r="C216" s="3199"/>
      <c r="D216" s="3188"/>
      <c r="E216" s="3194">
        <f t="shared" si="149"/>
        <v>0</v>
      </c>
      <c r="F216" s="3195"/>
      <c r="G216" s="3196">
        <f t="shared" si="150"/>
        <v>0</v>
      </c>
      <c r="H216" s="3197">
        <f t="shared" si="151"/>
        <v>0</v>
      </c>
      <c r="I216" s="3202"/>
      <c r="J216" s="3213"/>
      <c r="K216" s="3202"/>
      <c r="L216" s="3213"/>
      <c r="M216" s="3213"/>
      <c r="N216" s="3213"/>
      <c r="O216" s="3213"/>
      <c r="P216" s="3213"/>
      <c r="Q216" s="3213"/>
      <c r="R216" s="3213"/>
      <c r="S216" s="3213"/>
      <c r="T216" s="3213"/>
      <c r="U216" s="3213"/>
      <c r="V216" s="3213"/>
      <c r="W216" s="3213"/>
      <c r="X216" s="3213"/>
      <c r="Y216" s="3213"/>
      <c r="Z216" s="3213"/>
      <c r="AA216" s="3213"/>
      <c r="AB216" s="3213"/>
      <c r="AC216" s="3194">
        <f t="shared" si="152"/>
        <v>0</v>
      </c>
      <c r="AD216" s="3224"/>
      <c r="AE216" s="3224"/>
      <c r="AF216" s="3202"/>
      <c r="AG216" s="3224"/>
      <c r="AH216" s="3224"/>
      <c r="AI216" s="3224"/>
      <c r="AJ216" s="3224"/>
      <c r="AK216" s="3224"/>
      <c r="AL216" s="3224"/>
      <c r="AM216" s="3224"/>
      <c r="AN216" s="3224"/>
      <c r="AO216" s="3224"/>
      <c r="AP216" s="3224"/>
      <c r="AQ216" s="3224"/>
      <c r="AR216" s="3224"/>
      <c r="AS216" s="3224"/>
      <c r="AT216" s="3244"/>
      <c r="AU216" s="3245"/>
      <c r="AV216" s="464">
        <f t="shared" si="153"/>
        <v>0</v>
      </c>
      <c r="AW216" s="464">
        <f t="shared" si="154"/>
        <v>0</v>
      </c>
      <c r="AX216" s="464">
        <f t="shared" si="155"/>
        <v>0</v>
      </c>
      <c r="AY216" s="3261">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6">
        <f t="shared" si="177"/>
        <v>0</v>
      </c>
    </row>
    <row r="217" spans="1:72">
      <c r="A217" s="3192"/>
      <c r="B217" s="3200"/>
      <c r="C217" s="3199"/>
      <c r="D217" s="3188"/>
      <c r="E217" s="3194">
        <f t="shared" si="149"/>
        <v>0</v>
      </c>
      <c r="F217" s="3195"/>
      <c r="G217" s="3196">
        <f t="shared" si="150"/>
        <v>0</v>
      </c>
      <c r="H217" s="3197">
        <f t="shared" si="151"/>
        <v>0</v>
      </c>
      <c r="I217" s="3202"/>
      <c r="J217" s="3213"/>
      <c r="K217" s="3202"/>
      <c r="L217" s="3213"/>
      <c r="M217" s="3213"/>
      <c r="N217" s="3213"/>
      <c r="O217" s="3213"/>
      <c r="P217" s="3213"/>
      <c r="Q217" s="3213"/>
      <c r="R217" s="3213"/>
      <c r="S217" s="3213"/>
      <c r="T217" s="3213"/>
      <c r="U217" s="3213"/>
      <c r="V217" s="3213"/>
      <c r="W217" s="3213"/>
      <c r="X217" s="3213"/>
      <c r="Y217" s="3213"/>
      <c r="Z217" s="3213"/>
      <c r="AA217" s="3213"/>
      <c r="AB217" s="3213"/>
      <c r="AC217" s="3194">
        <f t="shared" si="152"/>
        <v>0</v>
      </c>
      <c r="AD217" s="3224"/>
      <c r="AE217" s="3224"/>
      <c r="AF217" s="3202"/>
      <c r="AG217" s="3224"/>
      <c r="AH217" s="3224"/>
      <c r="AI217" s="3224"/>
      <c r="AJ217" s="3224"/>
      <c r="AK217" s="3224"/>
      <c r="AL217" s="3224"/>
      <c r="AM217" s="3224"/>
      <c r="AN217" s="3224"/>
      <c r="AO217" s="3224"/>
      <c r="AP217" s="3224"/>
      <c r="AQ217" s="3224"/>
      <c r="AR217" s="3224"/>
      <c r="AS217" s="3224"/>
      <c r="AT217" s="3244"/>
      <c r="AU217" s="3245"/>
      <c r="AV217" s="464">
        <f t="shared" si="153"/>
        <v>0</v>
      </c>
      <c r="AW217" s="464">
        <f t="shared" si="154"/>
        <v>0</v>
      </c>
      <c r="AX217" s="464">
        <f t="shared" si="155"/>
        <v>0</v>
      </c>
      <c r="AY217" s="3261">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6">
        <f t="shared" si="177"/>
        <v>0</v>
      </c>
    </row>
    <row r="218" spans="1:72">
      <c r="A218" s="3192"/>
      <c r="B218" s="3200"/>
      <c r="C218" s="3199"/>
      <c r="D218" s="3188"/>
      <c r="E218" s="3194">
        <f t="shared" si="149"/>
        <v>0</v>
      </c>
      <c r="F218" s="3195"/>
      <c r="G218" s="3196">
        <f t="shared" si="150"/>
        <v>0</v>
      </c>
      <c r="H218" s="3197">
        <f t="shared" si="151"/>
        <v>0</v>
      </c>
      <c r="I218" s="3202"/>
      <c r="J218" s="3213"/>
      <c r="K218" s="3202"/>
      <c r="L218" s="3213"/>
      <c r="M218" s="3213"/>
      <c r="N218" s="3213"/>
      <c r="O218" s="3213"/>
      <c r="P218" s="3213"/>
      <c r="Q218" s="3213"/>
      <c r="R218" s="3213"/>
      <c r="S218" s="3213"/>
      <c r="T218" s="3213"/>
      <c r="U218" s="3213"/>
      <c r="V218" s="3213"/>
      <c r="W218" s="3213"/>
      <c r="X218" s="3213"/>
      <c r="Y218" s="3213"/>
      <c r="Z218" s="3213"/>
      <c r="AA218" s="3213"/>
      <c r="AB218" s="3213"/>
      <c r="AC218" s="3194">
        <f t="shared" si="152"/>
        <v>0</v>
      </c>
      <c r="AD218" s="3224"/>
      <c r="AE218" s="3224"/>
      <c r="AF218" s="3202"/>
      <c r="AG218" s="3224"/>
      <c r="AH218" s="3224"/>
      <c r="AI218" s="3224"/>
      <c r="AJ218" s="3224"/>
      <c r="AK218" s="3224"/>
      <c r="AL218" s="3224"/>
      <c r="AM218" s="3224"/>
      <c r="AN218" s="3224"/>
      <c r="AO218" s="3224"/>
      <c r="AP218" s="3224"/>
      <c r="AQ218" s="3224"/>
      <c r="AR218" s="3224"/>
      <c r="AS218" s="3224"/>
      <c r="AT218" s="3244"/>
      <c r="AU218" s="3245"/>
      <c r="AV218" s="464">
        <f t="shared" si="153"/>
        <v>0</v>
      </c>
      <c r="AW218" s="464">
        <f t="shared" si="154"/>
        <v>0</v>
      </c>
      <c r="AX218" s="464">
        <f t="shared" si="155"/>
        <v>0</v>
      </c>
      <c r="AY218" s="3261">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6">
        <f t="shared" si="177"/>
        <v>0</v>
      </c>
    </row>
    <row r="219" spans="1:72">
      <c r="A219" s="3192"/>
      <c r="B219" s="3200"/>
      <c r="C219" s="3199"/>
      <c r="D219" s="3188"/>
      <c r="E219" s="3194">
        <f t="shared" si="149"/>
        <v>0</v>
      </c>
      <c r="F219" s="3195"/>
      <c r="G219" s="3196">
        <f t="shared" si="150"/>
        <v>0</v>
      </c>
      <c r="H219" s="3197">
        <f t="shared" si="151"/>
        <v>0</v>
      </c>
      <c r="I219" s="3202"/>
      <c r="J219" s="3213"/>
      <c r="K219" s="3202"/>
      <c r="L219" s="3213"/>
      <c r="M219" s="3213"/>
      <c r="N219" s="3213"/>
      <c r="O219" s="3213"/>
      <c r="P219" s="3213"/>
      <c r="Q219" s="3213"/>
      <c r="R219" s="3213"/>
      <c r="S219" s="3213"/>
      <c r="T219" s="3213"/>
      <c r="U219" s="3213"/>
      <c r="V219" s="3213"/>
      <c r="W219" s="3213"/>
      <c r="X219" s="3213"/>
      <c r="Y219" s="3213"/>
      <c r="Z219" s="3213"/>
      <c r="AA219" s="3213"/>
      <c r="AB219" s="3213"/>
      <c r="AC219" s="3194">
        <f t="shared" si="152"/>
        <v>0</v>
      </c>
      <c r="AD219" s="3224"/>
      <c r="AE219" s="3224"/>
      <c r="AF219" s="3202"/>
      <c r="AG219" s="3224"/>
      <c r="AH219" s="3224"/>
      <c r="AI219" s="3224"/>
      <c r="AJ219" s="3224"/>
      <c r="AK219" s="3224"/>
      <c r="AL219" s="3224"/>
      <c r="AM219" s="3224"/>
      <c r="AN219" s="3224"/>
      <c r="AO219" s="3224"/>
      <c r="AP219" s="3224"/>
      <c r="AQ219" s="3224"/>
      <c r="AR219" s="3224"/>
      <c r="AS219" s="3224"/>
      <c r="AT219" s="3244"/>
      <c r="AU219" s="3245"/>
      <c r="AV219" s="464">
        <f t="shared" si="153"/>
        <v>0</v>
      </c>
      <c r="AW219" s="464">
        <f t="shared" si="154"/>
        <v>0</v>
      </c>
      <c r="AX219" s="464">
        <f t="shared" si="155"/>
        <v>0</v>
      </c>
      <c r="AY219" s="3261">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6">
        <f t="shared" si="177"/>
        <v>0</v>
      </c>
    </row>
    <row r="220" spans="1:72">
      <c r="A220" s="3192"/>
      <c r="B220" s="3200"/>
      <c r="C220" s="3199"/>
      <c r="D220" s="3188"/>
      <c r="E220" s="3194">
        <f t="shared" si="149"/>
        <v>0</v>
      </c>
      <c r="F220" s="3195"/>
      <c r="G220" s="3196">
        <f t="shared" si="150"/>
        <v>0</v>
      </c>
      <c r="H220" s="3197">
        <f t="shared" si="151"/>
        <v>0</v>
      </c>
      <c r="I220" s="3202"/>
      <c r="J220" s="3213"/>
      <c r="K220" s="3202"/>
      <c r="L220" s="3213"/>
      <c r="M220" s="3213"/>
      <c r="N220" s="3213"/>
      <c r="O220" s="3213"/>
      <c r="P220" s="3213"/>
      <c r="Q220" s="3213"/>
      <c r="R220" s="3213"/>
      <c r="S220" s="3213"/>
      <c r="T220" s="3213"/>
      <c r="U220" s="3213"/>
      <c r="V220" s="3213"/>
      <c r="W220" s="3213"/>
      <c r="X220" s="3213"/>
      <c r="Y220" s="3213"/>
      <c r="Z220" s="3213"/>
      <c r="AA220" s="3213"/>
      <c r="AB220" s="3213"/>
      <c r="AC220" s="3194">
        <f t="shared" si="152"/>
        <v>0</v>
      </c>
      <c r="AD220" s="3224"/>
      <c r="AE220" s="3224"/>
      <c r="AF220" s="3202"/>
      <c r="AG220" s="3224"/>
      <c r="AH220" s="3224"/>
      <c r="AI220" s="3224"/>
      <c r="AJ220" s="3224"/>
      <c r="AK220" s="3224"/>
      <c r="AL220" s="3224"/>
      <c r="AM220" s="3224"/>
      <c r="AN220" s="3224"/>
      <c r="AO220" s="3224"/>
      <c r="AP220" s="3224"/>
      <c r="AQ220" s="3224"/>
      <c r="AR220" s="3224"/>
      <c r="AS220" s="3224"/>
      <c r="AT220" s="3244"/>
      <c r="AU220" s="3245"/>
      <c r="AV220" s="464">
        <f t="shared" si="153"/>
        <v>0</v>
      </c>
      <c r="AW220" s="464">
        <f t="shared" si="154"/>
        <v>0</v>
      </c>
      <c r="AX220" s="464">
        <f t="shared" si="155"/>
        <v>0</v>
      </c>
      <c r="AY220" s="3261">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6">
        <f t="shared" si="177"/>
        <v>0</v>
      </c>
    </row>
    <row r="221" spans="1:72">
      <c r="A221" s="3192"/>
      <c r="B221" s="3200"/>
      <c r="C221" s="3199"/>
      <c r="D221" s="3188"/>
      <c r="E221" s="3194">
        <f t="shared" si="149"/>
        <v>0</v>
      </c>
      <c r="F221" s="3195"/>
      <c r="G221" s="3196">
        <f t="shared" si="150"/>
        <v>0</v>
      </c>
      <c r="H221" s="3197">
        <f t="shared" si="151"/>
        <v>0</v>
      </c>
      <c r="I221" s="3202"/>
      <c r="J221" s="3213"/>
      <c r="K221" s="3202"/>
      <c r="L221" s="3213"/>
      <c r="M221" s="3213"/>
      <c r="N221" s="3213"/>
      <c r="O221" s="3213"/>
      <c r="P221" s="3213"/>
      <c r="Q221" s="3213"/>
      <c r="R221" s="3213"/>
      <c r="S221" s="3213"/>
      <c r="T221" s="3213"/>
      <c r="U221" s="3213"/>
      <c r="V221" s="3213"/>
      <c r="W221" s="3213"/>
      <c r="X221" s="3213"/>
      <c r="Y221" s="3213"/>
      <c r="Z221" s="3213"/>
      <c r="AA221" s="3213"/>
      <c r="AB221" s="3213"/>
      <c r="AC221" s="3194">
        <f t="shared" si="152"/>
        <v>0</v>
      </c>
      <c r="AD221" s="3224"/>
      <c r="AE221" s="3224"/>
      <c r="AF221" s="3202"/>
      <c r="AG221" s="3224"/>
      <c r="AH221" s="3224"/>
      <c r="AI221" s="3224"/>
      <c r="AJ221" s="3224"/>
      <c r="AK221" s="3224"/>
      <c r="AL221" s="3224"/>
      <c r="AM221" s="3224"/>
      <c r="AN221" s="3224"/>
      <c r="AO221" s="3224"/>
      <c r="AP221" s="3224"/>
      <c r="AQ221" s="3224"/>
      <c r="AR221" s="3224"/>
      <c r="AS221" s="3224"/>
      <c r="AT221" s="3244"/>
      <c r="AU221" s="3245"/>
      <c r="AV221" s="464">
        <f t="shared" si="153"/>
        <v>0</v>
      </c>
      <c r="AW221" s="464">
        <f t="shared" si="154"/>
        <v>0</v>
      </c>
      <c r="AX221" s="464">
        <f t="shared" si="155"/>
        <v>0</v>
      </c>
      <c r="AY221" s="3261">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6">
        <f t="shared" si="177"/>
        <v>0</v>
      </c>
    </row>
    <row r="222" spans="1:72">
      <c r="A222" s="3192"/>
      <c r="B222" s="3200"/>
      <c r="C222" s="3199"/>
      <c r="D222" s="3188"/>
      <c r="E222" s="3194">
        <f t="shared" si="149"/>
        <v>0</v>
      </c>
      <c r="F222" s="3195"/>
      <c r="G222" s="3196">
        <f t="shared" si="150"/>
        <v>0</v>
      </c>
      <c r="H222" s="3197">
        <f t="shared" si="151"/>
        <v>0</v>
      </c>
      <c r="I222" s="3202"/>
      <c r="J222" s="3213"/>
      <c r="K222" s="3202"/>
      <c r="L222" s="3213"/>
      <c r="M222" s="3213"/>
      <c r="N222" s="3213"/>
      <c r="O222" s="3213"/>
      <c r="P222" s="3213"/>
      <c r="Q222" s="3213"/>
      <c r="R222" s="3213"/>
      <c r="S222" s="3213"/>
      <c r="T222" s="3213"/>
      <c r="U222" s="3213"/>
      <c r="V222" s="3213"/>
      <c r="W222" s="3213"/>
      <c r="X222" s="3213"/>
      <c r="Y222" s="3213"/>
      <c r="Z222" s="3213"/>
      <c r="AA222" s="3213"/>
      <c r="AB222" s="3213"/>
      <c r="AC222" s="3194">
        <f t="shared" si="152"/>
        <v>0</v>
      </c>
      <c r="AD222" s="3224"/>
      <c r="AE222" s="3224"/>
      <c r="AF222" s="3202"/>
      <c r="AG222" s="3224"/>
      <c r="AH222" s="3224"/>
      <c r="AI222" s="3224"/>
      <c r="AJ222" s="3224"/>
      <c r="AK222" s="3224"/>
      <c r="AL222" s="3224"/>
      <c r="AM222" s="3224"/>
      <c r="AN222" s="3224"/>
      <c r="AO222" s="3224"/>
      <c r="AP222" s="3224"/>
      <c r="AQ222" s="3224"/>
      <c r="AR222" s="3224"/>
      <c r="AS222" s="3224"/>
      <c r="AT222" s="3244"/>
      <c r="AU222" s="3245"/>
      <c r="AV222" s="464">
        <f t="shared" si="153"/>
        <v>0</v>
      </c>
      <c r="AW222" s="464">
        <f t="shared" si="154"/>
        <v>0</v>
      </c>
      <c r="AX222" s="464">
        <f t="shared" si="155"/>
        <v>0</v>
      </c>
      <c r="AY222" s="3261">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6">
        <f t="shared" si="177"/>
        <v>0</v>
      </c>
    </row>
    <row r="223" spans="1:72">
      <c r="A223" s="3192"/>
      <c r="B223" s="3200"/>
      <c r="C223" s="3199"/>
      <c r="D223" s="3188"/>
      <c r="E223" s="3194">
        <f t="shared" si="149"/>
        <v>0</v>
      </c>
      <c r="F223" s="3195"/>
      <c r="G223" s="3196">
        <f t="shared" si="150"/>
        <v>0</v>
      </c>
      <c r="H223" s="3197">
        <f t="shared" si="151"/>
        <v>0</v>
      </c>
      <c r="I223" s="3202"/>
      <c r="J223" s="3213"/>
      <c r="K223" s="3202"/>
      <c r="L223" s="3213"/>
      <c r="M223" s="3213"/>
      <c r="N223" s="3213"/>
      <c r="O223" s="3213"/>
      <c r="P223" s="3213"/>
      <c r="Q223" s="3213"/>
      <c r="R223" s="3213"/>
      <c r="S223" s="3213"/>
      <c r="T223" s="3213"/>
      <c r="U223" s="3213"/>
      <c r="V223" s="3213"/>
      <c r="W223" s="3213"/>
      <c r="X223" s="3213"/>
      <c r="Y223" s="3213"/>
      <c r="Z223" s="3213"/>
      <c r="AA223" s="3213"/>
      <c r="AB223" s="3213"/>
      <c r="AC223" s="3194">
        <f t="shared" si="152"/>
        <v>0</v>
      </c>
      <c r="AD223" s="3224"/>
      <c r="AE223" s="3224"/>
      <c r="AF223" s="3202"/>
      <c r="AG223" s="3224"/>
      <c r="AH223" s="3224"/>
      <c r="AI223" s="3224"/>
      <c r="AJ223" s="3224"/>
      <c r="AK223" s="3224"/>
      <c r="AL223" s="3224"/>
      <c r="AM223" s="3224"/>
      <c r="AN223" s="3224"/>
      <c r="AO223" s="3224"/>
      <c r="AP223" s="3224"/>
      <c r="AQ223" s="3224"/>
      <c r="AR223" s="3224"/>
      <c r="AS223" s="3224"/>
      <c r="AT223" s="3244"/>
      <c r="AU223" s="3245"/>
      <c r="AV223" s="464">
        <f t="shared" si="153"/>
        <v>0</v>
      </c>
      <c r="AW223" s="464">
        <f t="shared" si="154"/>
        <v>0</v>
      </c>
      <c r="AX223" s="464">
        <f t="shared" si="155"/>
        <v>0</v>
      </c>
      <c r="AY223" s="3261">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6">
        <f t="shared" si="177"/>
        <v>0</v>
      </c>
    </row>
    <row r="224" spans="1:72">
      <c r="A224" s="3192"/>
      <c r="B224" s="3200"/>
      <c r="C224" s="3199"/>
      <c r="D224" s="3188"/>
      <c r="E224" s="3194">
        <f t="shared" si="149"/>
        <v>0</v>
      </c>
      <c r="F224" s="3195"/>
      <c r="G224" s="3196">
        <f t="shared" si="150"/>
        <v>0</v>
      </c>
      <c r="H224" s="3197">
        <f t="shared" si="151"/>
        <v>0</v>
      </c>
      <c r="I224" s="3202"/>
      <c r="J224" s="3213"/>
      <c r="K224" s="3202"/>
      <c r="L224" s="3213"/>
      <c r="M224" s="3213"/>
      <c r="N224" s="3213"/>
      <c r="O224" s="3213"/>
      <c r="P224" s="3213"/>
      <c r="Q224" s="3213"/>
      <c r="R224" s="3213"/>
      <c r="S224" s="3213"/>
      <c r="T224" s="3213"/>
      <c r="U224" s="3213"/>
      <c r="V224" s="3213"/>
      <c r="W224" s="3213"/>
      <c r="X224" s="3213"/>
      <c r="Y224" s="3213"/>
      <c r="Z224" s="3213"/>
      <c r="AA224" s="3213"/>
      <c r="AB224" s="3213"/>
      <c r="AC224" s="3194">
        <f t="shared" si="152"/>
        <v>0</v>
      </c>
      <c r="AD224" s="3224"/>
      <c r="AE224" s="3224"/>
      <c r="AF224" s="3202"/>
      <c r="AG224" s="3224"/>
      <c r="AH224" s="3224"/>
      <c r="AI224" s="3224"/>
      <c r="AJ224" s="3224"/>
      <c r="AK224" s="3224"/>
      <c r="AL224" s="3224"/>
      <c r="AM224" s="3224"/>
      <c r="AN224" s="3224"/>
      <c r="AO224" s="3224"/>
      <c r="AP224" s="3224"/>
      <c r="AQ224" s="3224"/>
      <c r="AR224" s="3224"/>
      <c r="AS224" s="3224"/>
      <c r="AT224" s="3244"/>
      <c r="AU224" s="3245"/>
      <c r="AV224" s="464">
        <f t="shared" si="153"/>
        <v>0</v>
      </c>
      <c r="AW224" s="464">
        <f t="shared" si="154"/>
        <v>0</v>
      </c>
      <c r="AX224" s="464">
        <f t="shared" si="155"/>
        <v>0</v>
      </c>
      <c r="AY224" s="3261">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6">
        <f t="shared" si="177"/>
        <v>0</v>
      </c>
    </row>
    <row r="225" spans="1:72">
      <c r="A225" s="3192"/>
      <c r="B225" s="3200"/>
      <c r="C225" s="3199"/>
      <c r="D225" s="3188"/>
      <c r="E225" s="3194">
        <f t="shared" si="149"/>
        <v>0</v>
      </c>
      <c r="F225" s="3195"/>
      <c r="G225" s="3196">
        <f t="shared" si="150"/>
        <v>0</v>
      </c>
      <c r="H225" s="3197">
        <f t="shared" si="151"/>
        <v>0</v>
      </c>
      <c r="I225" s="3202"/>
      <c r="J225" s="3213"/>
      <c r="K225" s="3202"/>
      <c r="L225" s="3213"/>
      <c r="M225" s="3213"/>
      <c r="N225" s="3213"/>
      <c r="O225" s="3213"/>
      <c r="P225" s="3213"/>
      <c r="Q225" s="3213"/>
      <c r="R225" s="3213"/>
      <c r="S225" s="3213"/>
      <c r="T225" s="3213"/>
      <c r="U225" s="3213"/>
      <c r="V225" s="3213"/>
      <c r="W225" s="3213"/>
      <c r="X225" s="3213"/>
      <c r="Y225" s="3213"/>
      <c r="Z225" s="3213"/>
      <c r="AA225" s="3213"/>
      <c r="AB225" s="3213"/>
      <c r="AC225" s="3194">
        <f t="shared" si="152"/>
        <v>0</v>
      </c>
      <c r="AD225" s="3224"/>
      <c r="AE225" s="3224"/>
      <c r="AF225" s="3202"/>
      <c r="AG225" s="3224"/>
      <c r="AH225" s="3224"/>
      <c r="AI225" s="3224"/>
      <c r="AJ225" s="3224"/>
      <c r="AK225" s="3224"/>
      <c r="AL225" s="3224"/>
      <c r="AM225" s="3224"/>
      <c r="AN225" s="3224"/>
      <c r="AO225" s="3224"/>
      <c r="AP225" s="3224"/>
      <c r="AQ225" s="3224"/>
      <c r="AR225" s="3224"/>
      <c r="AS225" s="3224"/>
      <c r="AT225" s="3244"/>
      <c r="AU225" s="3245"/>
      <c r="AV225" s="464">
        <f t="shared" si="153"/>
        <v>0</v>
      </c>
      <c r="AW225" s="464">
        <f t="shared" si="154"/>
        <v>0</v>
      </c>
      <c r="AX225" s="464">
        <f t="shared" si="155"/>
        <v>0</v>
      </c>
      <c r="AY225" s="3261">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6">
        <f t="shared" si="177"/>
        <v>0</v>
      </c>
    </row>
    <row r="226" spans="1:72">
      <c r="A226" s="3192"/>
      <c r="B226" s="3200"/>
      <c r="C226" s="3199"/>
      <c r="D226" s="3188"/>
      <c r="E226" s="3194">
        <f t="shared" si="149"/>
        <v>0</v>
      </c>
      <c r="F226" s="3195"/>
      <c r="G226" s="3196">
        <f t="shared" si="150"/>
        <v>0</v>
      </c>
      <c r="H226" s="3197">
        <f t="shared" si="151"/>
        <v>0</v>
      </c>
      <c r="I226" s="3202"/>
      <c r="J226" s="3213"/>
      <c r="K226" s="3202"/>
      <c r="L226" s="3213"/>
      <c r="M226" s="3213"/>
      <c r="N226" s="3213"/>
      <c r="O226" s="3213"/>
      <c r="P226" s="3213"/>
      <c r="Q226" s="3213"/>
      <c r="R226" s="3213"/>
      <c r="S226" s="3213"/>
      <c r="T226" s="3213"/>
      <c r="U226" s="3213"/>
      <c r="V226" s="3213"/>
      <c r="W226" s="3213"/>
      <c r="X226" s="3213"/>
      <c r="Y226" s="3213"/>
      <c r="Z226" s="3213"/>
      <c r="AA226" s="3213"/>
      <c r="AB226" s="3213"/>
      <c r="AC226" s="3194">
        <f t="shared" si="152"/>
        <v>0</v>
      </c>
      <c r="AD226" s="3224"/>
      <c r="AE226" s="3224"/>
      <c r="AF226" s="3202"/>
      <c r="AG226" s="3224"/>
      <c r="AH226" s="3224"/>
      <c r="AI226" s="3224"/>
      <c r="AJ226" s="3224"/>
      <c r="AK226" s="3224"/>
      <c r="AL226" s="3224"/>
      <c r="AM226" s="3224"/>
      <c r="AN226" s="3224"/>
      <c r="AO226" s="3224"/>
      <c r="AP226" s="3224"/>
      <c r="AQ226" s="3224"/>
      <c r="AR226" s="3224"/>
      <c r="AS226" s="3224"/>
      <c r="AT226" s="3244"/>
      <c r="AU226" s="3245"/>
      <c r="AV226" s="464">
        <f t="shared" si="153"/>
        <v>0</v>
      </c>
      <c r="AW226" s="464">
        <f t="shared" si="154"/>
        <v>0</v>
      </c>
      <c r="AX226" s="464">
        <f t="shared" si="155"/>
        <v>0</v>
      </c>
      <c r="AY226" s="3261">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6">
        <f t="shared" si="177"/>
        <v>0</v>
      </c>
    </row>
    <row r="227" spans="1:72">
      <c r="A227" s="3192"/>
      <c r="B227" s="3200"/>
      <c r="C227" s="3199"/>
      <c r="D227" s="3188"/>
      <c r="E227" s="3194">
        <f t="shared" si="149"/>
        <v>0</v>
      </c>
      <c r="F227" s="3195"/>
      <c r="G227" s="3196">
        <f t="shared" si="150"/>
        <v>0</v>
      </c>
      <c r="H227" s="3197">
        <f t="shared" si="151"/>
        <v>0</v>
      </c>
      <c r="I227" s="3202"/>
      <c r="J227" s="3213"/>
      <c r="K227" s="3202"/>
      <c r="L227" s="3213"/>
      <c r="M227" s="3213"/>
      <c r="N227" s="3213"/>
      <c r="O227" s="3213"/>
      <c r="P227" s="3213"/>
      <c r="Q227" s="3213"/>
      <c r="R227" s="3213"/>
      <c r="S227" s="3213"/>
      <c r="T227" s="3213"/>
      <c r="U227" s="3213"/>
      <c r="V227" s="3213"/>
      <c r="W227" s="3213"/>
      <c r="X227" s="3213"/>
      <c r="Y227" s="3213"/>
      <c r="Z227" s="3213"/>
      <c r="AA227" s="3213"/>
      <c r="AB227" s="3213"/>
      <c r="AC227" s="3194">
        <f t="shared" si="152"/>
        <v>0</v>
      </c>
      <c r="AD227" s="3224"/>
      <c r="AE227" s="3224"/>
      <c r="AF227" s="3202"/>
      <c r="AG227" s="3224"/>
      <c r="AH227" s="3224"/>
      <c r="AI227" s="3224"/>
      <c r="AJ227" s="3224"/>
      <c r="AK227" s="3224"/>
      <c r="AL227" s="3224"/>
      <c r="AM227" s="3224"/>
      <c r="AN227" s="3224"/>
      <c r="AO227" s="3224"/>
      <c r="AP227" s="3224"/>
      <c r="AQ227" s="3224"/>
      <c r="AR227" s="3224"/>
      <c r="AS227" s="3224"/>
      <c r="AT227" s="3244"/>
      <c r="AU227" s="3245"/>
      <c r="AV227" s="464">
        <f t="shared" si="153"/>
        <v>0</v>
      </c>
      <c r="AW227" s="464">
        <f t="shared" si="154"/>
        <v>0</v>
      </c>
      <c r="AX227" s="464">
        <f t="shared" si="155"/>
        <v>0</v>
      </c>
      <c r="AY227" s="3261">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6">
        <f t="shared" si="177"/>
        <v>0</v>
      </c>
    </row>
    <row r="228" spans="1:72">
      <c r="A228" s="3192"/>
      <c r="B228" s="3200"/>
      <c r="C228" s="3199"/>
      <c r="D228" s="3188"/>
      <c r="E228" s="3194">
        <f t="shared" si="149"/>
        <v>0</v>
      </c>
      <c r="F228" s="3195"/>
      <c r="G228" s="3196">
        <f t="shared" si="150"/>
        <v>0</v>
      </c>
      <c r="H228" s="3197">
        <f t="shared" si="151"/>
        <v>0</v>
      </c>
      <c r="I228" s="3202"/>
      <c r="J228" s="3213"/>
      <c r="K228" s="3202"/>
      <c r="L228" s="3213"/>
      <c r="M228" s="3213"/>
      <c r="N228" s="3213"/>
      <c r="O228" s="3213"/>
      <c r="P228" s="3213"/>
      <c r="Q228" s="3213"/>
      <c r="R228" s="3213"/>
      <c r="S228" s="3213"/>
      <c r="T228" s="3213"/>
      <c r="U228" s="3213"/>
      <c r="V228" s="3213"/>
      <c r="W228" s="3213"/>
      <c r="X228" s="3213"/>
      <c r="Y228" s="3213"/>
      <c r="Z228" s="3213"/>
      <c r="AA228" s="3213"/>
      <c r="AB228" s="3213"/>
      <c r="AC228" s="3194">
        <f t="shared" si="152"/>
        <v>0</v>
      </c>
      <c r="AD228" s="3224"/>
      <c r="AE228" s="3224"/>
      <c r="AF228" s="3202"/>
      <c r="AG228" s="3224"/>
      <c r="AH228" s="3224"/>
      <c r="AI228" s="3224"/>
      <c r="AJ228" s="3224"/>
      <c r="AK228" s="3224"/>
      <c r="AL228" s="3224"/>
      <c r="AM228" s="3224"/>
      <c r="AN228" s="3224"/>
      <c r="AO228" s="3224"/>
      <c r="AP228" s="3224"/>
      <c r="AQ228" s="3224"/>
      <c r="AR228" s="3224"/>
      <c r="AS228" s="3224"/>
      <c r="AT228" s="3244"/>
      <c r="AU228" s="3245"/>
      <c r="AV228" s="464">
        <f t="shared" si="153"/>
        <v>0</v>
      </c>
      <c r="AW228" s="464">
        <f t="shared" si="154"/>
        <v>0</v>
      </c>
      <c r="AX228" s="464">
        <f t="shared" si="155"/>
        <v>0</v>
      </c>
      <c r="AY228" s="3261">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6">
        <f t="shared" si="177"/>
        <v>0</v>
      </c>
    </row>
    <row r="229" spans="1:72">
      <c r="A229" s="3192"/>
      <c r="B229" s="3200"/>
      <c r="C229" s="3199"/>
      <c r="D229" s="3188"/>
      <c r="E229" s="3194">
        <f t="shared" si="149"/>
        <v>0</v>
      </c>
      <c r="F229" s="3195"/>
      <c r="G229" s="3196">
        <f t="shared" si="150"/>
        <v>0</v>
      </c>
      <c r="H229" s="3197">
        <f t="shared" si="151"/>
        <v>0</v>
      </c>
      <c r="I229" s="3202"/>
      <c r="J229" s="3213"/>
      <c r="K229" s="3202"/>
      <c r="L229" s="3213"/>
      <c r="M229" s="3213"/>
      <c r="N229" s="3213"/>
      <c r="O229" s="3213"/>
      <c r="P229" s="3213"/>
      <c r="Q229" s="3213"/>
      <c r="R229" s="3213"/>
      <c r="S229" s="3213"/>
      <c r="T229" s="3213"/>
      <c r="U229" s="3213"/>
      <c r="V229" s="3213"/>
      <c r="W229" s="3213"/>
      <c r="X229" s="3213"/>
      <c r="Y229" s="3213"/>
      <c r="Z229" s="3213"/>
      <c r="AA229" s="3213"/>
      <c r="AB229" s="3213"/>
      <c r="AC229" s="3194">
        <f t="shared" si="152"/>
        <v>0</v>
      </c>
      <c r="AD229" s="3224"/>
      <c r="AE229" s="3224"/>
      <c r="AF229" s="3202"/>
      <c r="AG229" s="3224"/>
      <c r="AH229" s="3224"/>
      <c r="AI229" s="3224"/>
      <c r="AJ229" s="3224"/>
      <c r="AK229" s="3224"/>
      <c r="AL229" s="3224"/>
      <c r="AM229" s="3224"/>
      <c r="AN229" s="3224"/>
      <c r="AO229" s="3224"/>
      <c r="AP229" s="3224"/>
      <c r="AQ229" s="3224"/>
      <c r="AR229" s="3224"/>
      <c r="AS229" s="3224"/>
      <c r="AT229" s="3244"/>
      <c r="AU229" s="3245"/>
      <c r="AV229" s="464">
        <f t="shared" si="153"/>
        <v>0</v>
      </c>
      <c r="AW229" s="464">
        <f t="shared" si="154"/>
        <v>0</v>
      </c>
      <c r="AX229" s="464">
        <f t="shared" si="155"/>
        <v>0</v>
      </c>
      <c r="AY229" s="3261">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6">
        <f t="shared" si="177"/>
        <v>0</v>
      </c>
    </row>
    <row r="230" spans="1:72">
      <c r="A230" s="3192"/>
      <c r="B230" s="3200"/>
      <c r="C230" s="3199"/>
      <c r="D230" s="3188"/>
      <c r="E230" s="3194">
        <f t="shared" si="149"/>
        <v>0</v>
      </c>
      <c r="F230" s="3195"/>
      <c r="G230" s="3196">
        <f t="shared" si="150"/>
        <v>0</v>
      </c>
      <c r="H230" s="3197">
        <f t="shared" si="151"/>
        <v>0</v>
      </c>
      <c r="I230" s="3202"/>
      <c r="J230" s="3213"/>
      <c r="K230" s="3202"/>
      <c r="L230" s="3213"/>
      <c r="M230" s="3213"/>
      <c r="N230" s="3213"/>
      <c r="O230" s="3213"/>
      <c r="P230" s="3213"/>
      <c r="Q230" s="3213"/>
      <c r="R230" s="3213"/>
      <c r="S230" s="3213"/>
      <c r="T230" s="3213"/>
      <c r="U230" s="3213"/>
      <c r="V230" s="3213"/>
      <c r="W230" s="3213"/>
      <c r="X230" s="3213"/>
      <c r="Y230" s="3213"/>
      <c r="Z230" s="3213"/>
      <c r="AA230" s="3213"/>
      <c r="AB230" s="3213"/>
      <c r="AC230" s="3194">
        <f t="shared" si="152"/>
        <v>0</v>
      </c>
      <c r="AD230" s="3224"/>
      <c r="AE230" s="3224"/>
      <c r="AF230" s="3202"/>
      <c r="AG230" s="3224"/>
      <c r="AH230" s="3224"/>
      <c r="AI230" s="3224"/>
      <c r="AJ230" s="3224"/>
      <c r="AK230" s="3224"/>
      <c r="AL230" s="3224"/>
      <c r="AM230" s="3224"/>
      <c r="AN230" s="3224"/>
      <c r="AO230" s="3224"/>
      <c r="AP230" s="3224"/>
      <c r="AQ230" s="3224"/>
      <c r="AR230" s="3224"/>
      <c r="AS230" s="3224"/>
      <c r="AT230" s="3244"/>
      <c r="AU230" s="3245"/>
      <c r="AV230" s="464">
        <f t="shared" si="153"/>
        <v>0</v>
      </c>
      <c r="AW230" s="464">
        <f t="shared" si="154"/>
        <v>0</v>
      </c>
      <c r="AX230" s="464">
        <f t="shared" si="155"/>
        <v>0</v>
      </c>
      <c r="AY230" s="3261">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6">
        <f t="shared" si="177"/>
        <v>0</v>
      </c>
    </row>
    <row r="231" spans="1:72">
      <c r="A231" s="3192"/>
      <c r="B231" s="3200"/>
      <c r="C231" s="3199"/>
      <c r="D231" s="3188"/>
      <c r="E231" s="3194">
        <f t="shared" si="149"/>
        <v>0</v>
      </c>
      <c r="F231" s="3195"/>
      <c r="G231" s="3196">
        <f t="shared" si="150"/>
        <v>0</v>
      </c>
      <c r="H231" s="3197">
        <f t="shared" si="151"/>
        <v>0</v>
      </c>
      <c r="I231" s="3202"/>
      <c r="J231" s="3213"/>
      <c r="K231" s="3202"/>
      <c r="L231" s="3213"/>
      <c r="M231" s="3213"/>
      <c r="N231" s="3213"/>
      <c r="O231" s="3213"/>
      <c r="P231" s="3213"/>
      <c r="Q231" s="3213"/>
      <c r="R231" s="3213"/>
      <c r="S231" s="3213"/>
      <c r="T231" s="3213"/>
      <c r="U231" s="3213"/>
      <c r="V231" s="3213"/>
      <c r="W231" s="3213"/>
      <c r="X231" s="3213"/>
      <c r="Y231" s="3213"/>
      <c r="Z231" s="3213"/>
      <c r="AA231" s="3213"/>
      <c r="AB231" s="3213"/>
      <c r="AC231" s="3194">
        <f t="shared" si="152"/>
        <v>0</v>
      </c>
      <c r="AD231" s="3224"/>
      <c r="AE231" s="3224"/>
      <c r="AF231" s="3199"/>
      <c r="AG231" s="3224"/>
      <c r="AH231" s="3224"/>
      <c r="AI231" s="3224"/>
      <c r="AJ231" s="3224"/>
      <c r="AK231" s="3224"/>
      <c r="AL231" s="3224"/>
      <c r="AM231" s="3224"/>
      <c r="AN231" s="3224"/>
      <c r="AO231" s="3224"/>
      <c r="AP231" s="3224"/>
      <c r="AQ231" s="3224"/>
      <c r="AR231" s="3224"/>
      <c r="AS231" s="3224"/>
      <c r="AT231" s="3244"/>
      <c r="AU231" s="3245"/>
      <c r="AV231" s="464">
        <f t="shared" si="153"/>
        <v>0</v>
      </c>
      <c r="AW231" s="464">
        <f t="shared" si="154"/>
        <v>0</v>
      </c>
      <c r="AX231" s="464">
        <f t="shared" si="155"/>
        <v>0</v>
      </c>
      <c r="AY231" s="3261">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6">
        <f t="shared" si="177"/>
        <v>0</v>
      </c>
    </row>
    <row r="232" spans="1:72">
      <c r="A232" s="3192"/>
      <c r="B232" s="3200"/>
      <c r="C232" s="3199"/>
      <c r="D232" s="3188"/>
      <c r="E232" s="3194">
        <f t="shared" si="149"/>
        <v>0</v>
      </c>
      <c r="F232" s="3195"/>
      <c r="G232" s="3196">
        <f t="shared" si="150"/>
        <v>0</v>
      </c>
      <c r="H232" s="3197">
        <f t="shared" si="151"/>
        <v>0</v>
      </c>
      <c r="I232" s="3199"/>
      <c r="J232" s="3213"/>
      <c r="K232" s="3199"/>
      <c r="L232" s="3213"/>
      <c r="M232" s="3213"/>
      <c r="N232" s="3213"/>
      <c r="O232" s="3213"/>
      <c r="P232" s="3213"/>
      <c r="Q232" s="3213"/>
      <c r="R232" s="3213"/>
      <c r="S232" s="3213"/>
      <c r="T232" s="3213"/>
      <c r="U232" s="3213"/>
      <c r="V232" s="3213"/>
      <c r="W232" s="3213"/>
      <c r="X232" s="3213"/>
      <c r="Y232" s="3213"/>
      <c r="Z232" s="3213"/>
      <c r="AA232" s="3213"/>
      <c r="AB232" s="3213"/>
      <c r="AC232" s="3194">
        <f t="shared" si="152"/>
        <v>0</v>
      </c>
      <c r="AD232" s="3224"/>
      <c r="AE232" s="3224"/>
      <c r="AF232" s="3199"/>
      <c r="AG232" s="3224"/>
      <c r="AH232" s="3224"/>
      <c r="AI232" s="3224"/>
      <c r="AJ232" s="3224"/>
      <c r="AK232" s="3224"/>
      <c r="AL232" s="3224"/>
      <c r="AM232" s="3224"/>
      <c r="AN232" s="3224"/>
      <c r="AO232" s="3224"/>
      <c r="AP232" s="3224"/>
      <c r="AQ232" s="3224"/>
      <c r="AR232" s="3224"/>
      <c r="AS232" s="3224"/>
      <c r="AT232" s="3244"/>
      <c r="AU232" s="3245"/>
      <c r="AV232" s="464">
        <f t="shared" si="153"/>
        <v>0</v>
      </c>
      <c r="AW232" s="464">
        <f t="shared" si="154"/>
        <v>0</v>
      </c>
      <c r="AX232" s="464">
        <f t="shared" si="155"/>
        <v>0</v>
      </c>
      <c r="AY232" s="3261">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6">
        <f t="shared" si="177"/>
        <v>0</v>
      </c>
    </row>
    <row r="233" spans="1:72">
      <c r="A233" s="3192"/>
      <c r="B233" s="3200"/>
      <c r="C233" s="3199"/>
      <c r="D233" s="3188"/>
      <c r="E233" s="3194">
        <f t="shared" si="149"/>
        <v>0</v>
      </c>
      <c r="F233" s="3195"/>
      <c r="G233" s="3196">
        <f t="shared" si="150"/>
        <v>0</v>
      </c>
      <c r="H233" s="3197">
        <f t="shared" si="151"/>
        <v>0</v>
      </c>
      <c r="I233" s="3199"/>
      <c r="J233" s="3213"/>
      <c r="K233" s="3199"/>
      <c r="L233" s="3213"/>
      <c r="M233" s="3213"/>
      <c r="N233" s="3213"/>
      <c r="O233" s="3213"/>
      <c r="P233" s="3213"/>
      <c r="Q233" s="3213"/>
      <c r="R233" s="3213"/>
      <c r="S233" s="3213"/>
      <c r="T233" s="3213"/>
      <c r="U233" s="3213"/>
      <c r="V233" s="3213"/>
      <c r="W233" s="3213"/>
      <c r="X233" s="3213"/>
      <c r="Y233" s="3213"/>
      <c r="Z233" s="3213"/>
      <c r="AA233" s="3213"/>
      <c r="AB233" s="3213"/>
      <c r="AC233" s="3194">
        <f t="shared" si="152"/>
        <v>0</v>
      </c>
      <c r="AD233" s="3224"/>
      <c r="AE233" s="3224"/>
      <c r="AF233" s="3199"/>
      <c r="AG233" s="3224"/>
      <c r="AH233" s="3224"/>
      <c r="AI233" s="3224"/>
      <c r="AJ233" s="3224"/>
      <c r="AK233" s="3224"/>
      <c r="AL233" s="3224"/>
      <c r="AM233" s="3224"/>
      <c r="AN233" s="3224"/>
      <c r="AO233" s="3224"/>
      <c r="AP233" s="3224"/>
      <c r="AQ233" s="3224"/>
      <c r="AR233" s="3224"/>
      <c r="AS233" s="3224"/>
      <c r="AT233" s="3244"/>
      <c r="AU233" s="3245"/>
      <c r="AV233" s="464">
        <f t="shared" si="153"/>
        <v>0</v>
      </c>
      <c r="AW233" s="464">
        <f t="shared" si="154"/>
        <v>0</v>
      </c>
      <c r="AX233" s="464">
        <f t="shared" si="155"/>
        <v>0</v>
      </c>
      <c r="AY233" s="3261">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6">
        <f t="shared" si="177"/>
        <v>0</v>
      </c>
    </row>
    <row r="234" spans="1:72">
      <c r="A234" s="3192"/>
      <c r="B234" s="3200"/>
      <c r="C234" s="3199"/>
      <c r="D234" s="3188"/>
      <c r="E234" s="3194">
        <f t="shared" si="149"/>
        <v>0</v>
      </c>
      <c r="F234" s="3195"/>
      <c r="G234" s="3196">
        <f t="shared" si="150"/>
        <v>0</v>
      </c>
      <c r="H234" s="3197">
        <f t="shared" si="151"/>
        <v>0</v>
      </c>
      <c r="I234" s="3199"/>
      <c r="J234" s="3213"/>
      <c r="K234" s="3199"/>
      <c r="L234" s="3213"/>
      <c r="M234" s="3213"/>
      <c r="N234" s="3213"/>
      <c r="O234" s="3213"/>
      <c r="P234" s="3213"/>
      <c r="Q234" s="3213"/>
      <c r="R234" s="3213"/>
      <c r="S234" s="3213"/>
      <c r="T234" s="3213"/>
      <c r="U234" s="3213"/>
      <c r="V234" s="3213"/>
      <c r="W234" s="3213"/>
      <c r="X234" s="3213"/>
      <c r="Y234" s="3213"/>
      <c r="Z234" s="3213"/>
      <c r="AA234" s="3213"/>
      <c r="AB234" s="3213"/>
      <c r="AC234" s="3194">
        <f t="shared" si="152"/>
        <v>0</v>
      </c>
      <c r="AD234" s="3224"/>
      <c r="AE234" s="3224"/>
      <c r="AF234" s="3199"/>
      <c r="AG234" s="3224"/>
      <c r="AH234" s="3224"/>
      <c r="AI234" s="3224"/>
      <c r="AJ234" s="3224"/>
      <c r="AK234" s="3224"/>
      <c r="AL234" s="3224"/>
      <c r="AM234" s="3224"/>
      <c r="AN234" s="3224"/>
      <c r="AO234" s="3224"/>
      <c r="AP234" s="3224"/>
      <c r="AQ234" s="3224"/>
      <c r="AR234" s="3224"/>
      <c r="AS234" s="3224"/>
      <c r="AT234" s="3244"/>
      <c r="AU234" s="3245"/>
      <c r="AV234" s="464">
        <f t="shared" si="153"/>
        <v>0</v>
      </c>
      <c r="AW234" s="464">
        <f t="shared" si="154"/>
        <v>0</v>
      </c>
      <c r="AX234" s="464">
        <f t="shared" si="155"/>
        <v>0</v>
      </c>
      <c r="AY234" s="3261">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6">
        <f t="shared" si="177"/>
        <v>0</v>
      </c>
    </row>
    <row r="235" spans="1:72">
      <c r="A235" s="3192"/>
      <c r="B235" s="3200"/>
      <c r="C235" s="3199"/>
      <c r="D235" s="3188"/>
      <c r="E235" s="3194">
        <f t="shared" si="149"/>
        <v>0</v>
      </c>
      <c r="F235" s="3195"/>
      <c r="G235" s="3196">
        <f t="shared" si="150"/>
        <v>0</v>
      </c>
      <c r="H235" s="3197">
        <f t="shared" si="151"/>
        <v>0</v>
      </c>
      <c r="I235" s="3199"/>
      <c r="J235" s="3213"/>
      <c r="K235" s="3199"/>
      <c r="L235" s="3213"/>
      <c r="M235" s="3213"/>
      <c r="N235" s="3213"/>
      <c r="O235" s="3213"/>
      <c r="P235" s="3213"/>
      <c r="Q235" s="3213"/>
      <c r="R235" s="3213"/>
      <c r="S235" s="3213"/>
      <c r="T235" s="3213"/>
      <c r="U235" s="3213"/>
      <c r="V235" s="3213"/>
      <c r="W235" s="3213"/>
      <c r="X235" s="3213"/>
      <c r="Y235" s="3213"/>
      <c r="Z235" s="3213"/>
      <c r="AA235" s="3213"/>
      <c r="AB235" s="3213"/>
      <c r="AC235" s="3194">
        <f t="shared" si="152"/>
        <v>0</v>
      </c>
      <c r="AD235" s="3224"/>
      <c r="AE235" s="3224"/>
      <c r="AF235" s="3199"/>
      <c r="AG235" s="3224"/>
      <c r="AH235" s="3224"/>
      <c r="AI235" s="3224"/>
      <c r="AJ235" s="3224"/>
      <c r="AK235" s="3224"/>
      <c r="AL235" s="3224"/>
      <c r="AM235" s="3224"/>
      <c r="AN235" s="3224"/>
      <c r="AO235" s="3224"/>
      <c r="AP235" s="3224"/>
      <c r="AQ235" s="3224"/>
      <c r="AR235" s="3224"/>
      <c r="AS235" s="3224"/>
      <c r="AT235" s="3244"/>
      <c r="AU235" s="3245"/>
      <c r="AV235" s="464">
        <f t="shared" si="153"/>
        <v>0</v>
      </c>
      <c r="AW235" s="464">
        <f t="shared" si="154"/>
        <v>0</v>
      </c>
      <c r="AX235" s="464">
        <f t="shared" si="155"/>
        <v>0</v>
      </c>
      <c r="AY235" s="3261">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6">
        <f t="shared" si="177"/>
        <v>0</v>
      </c>
    </row>
    <row r="236" spans="1:72">
      <c r="A236" s="3192"/>
      <c r="B236" s="3200"/>
      <c r="C236" s="3199"/>
      <c r="D236" s="3188"/>
      <c r="E236" s="3194">
        <f t="shared" si="149"/>
        <v>0</v>
      </c>
      <c r="F236" s="3195"/>
      <c r="G236" s="3196">
        <f t="shared" si="150"/>
        <v>0</v>
      </c>
      <c r="H236" s="3197">
        <f t="shared" si="151"/>
        <v>0</v>
      </c>
      <c r="I236" s="3199"/>
      <c r="J236" s="3213"/>
      <c r="K236" s="3199"/>
      <c r="L236" s="3213"/>
      <c r="M236" s="3213"/>
      <c r="N236" s="3213"/>
      <c r="O236" s="3213"/>
      <c r="P236" s="3213"/>
      <c r="Q236" s="3213"/>
      <c r="R236" s="3213"/>
      <c r="S236" s="3213"/>
      <c r="T236" s="3213"/>
      <c r="U236" s="3213"/>
      <c r="V236" s="3213"/>
      <c r="W236" s="3213"/>
      <c r="X236" s="3213"/>
      <c r="Y236" s="3213"/>
      <c r="Z236" s="3213"/>
      <c r="AA236" s="3213"/>
      <c r="AB236" s="3213"/>
      <c r="AC236" s="3194">
        <f t="shared" si="152"/>
        <v>0</v>
      </c>
      <c r="AD236" s="3224"/>
      <c r="AE236" s="3224"/>
      <c r="AF236" s="3199"/>
      <c r="AG236" s="3224"/>
      <c r="AH236" s="3224"/>
      <c r="AI236" s="3224"/>
      <c r="AJ236" s="3224"/>
      <c r="AK236" s="3224"/>
      <c r="AL236" s="3224"/>
      <c r="AM236" s="3224"/>
      <c r="AN236" s="3224"/>
      <c r="AO236" s="3224"/>
      <c r="AP236" s="3224"/>
      <c r="AQ236" s="3224"/>
      <c r="AR236" s="3224"/>
      <c r="AS236" s="3224"/>
      <c r="AT236" s="3244"/>
      <c r="AU236" s="3245"/>
      <c r="AV236" s="464">
        <f t="shared" si="153"/>
        <v>0</v>
      </c>
      <c r="AW236" s="464">
        <f t="shared" si="154"/>
        <v>0</v>
      </c>
      <c r="AX236" s="464">
        <f t="shared" si="155"/>
        <v>0</v>
      </c>
      <c r="AY236" s="3261">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6">
        <f t="shared" si="177"/>
        <v>0</v>
      </c>
    </row>
    <row r="237" spans="1:72">
      <c r="A237" s="3192"/>
      <c r="B237" s="3200"/>
      <c r="C237" s="3199"/>
      <c r="D237" s="3188"/>
      <c r="E237" s="3194">
        <f t="shared" si="149"/>
        <v>0</v>
      </c>
      <c r="F237" s="3195"/>
      <c r="G237" s="3196">
        <f t="shared" si="150"/>
        <v>0</v>
      </c>
      <c r="H237" s="3197">
        <f t="shared" si="151"/>
        <v>0</v>
      </c>
      <c r="I237" s="3199"/>
      <c r="J237" s="3213"/>
      <c r="K237" s="3199"/>
      <c r="L237" s="3213"/>
      <c r="M237" s="3213"/>
      <c r="N237" s="3213"/>
      <c r="O237" s="3213"/>
      <c r="P237" s="3213"/>
      <c r="Q237" s="3213"/>
      <c r="R237" s="3213"/>
      <c r="S237" s="3213"/>
      <c r="T237" s="3213"/>
      <c r="U237" s="3213"/>
      <c r="V237" s="3213"/>
      <c r="W237" s="3213"/>
      <c r="X237" s="3213"/>
      <c r="Y237" s="3213"/>
      <c r="Z237" s="3213"/>
      <c r="AA237" s="3213"/>
      <c r="AB237" s="3213"/>
      <c r="AC237" s="3194">
        <f t="shared" si="152"/>
        <v>0</v>
      </c>
      <c r="AD237" s="3224"/>
      <c r="AE237" s="3224"/>
      <c r="AF237" s="3199"/>
      <c r="AG237" s="3224"/>
      <c r="AH237" s="3224"/>
      <c r="AI237" s="3224"/>
      <c r="AJ237" s="3224"/>
      <c r="AK237" s="3224"/>
      <c r="AL237" s="3224"/>
      <c r="AM237" s="3224"/>
      <c r="AN237" s="3224"/>
      <c r="AO237" s="3224"/>
      <c r="AP237" s="3224"/>
      <c r="AQ237" s="3224"/>
      <c r="AR237" s="3224"/>
      <c r="AS237" s="3224"/>
      <c r="AT237" s="3244"/>
      <c r="AU237" s="3245"/>
      <c r="AV237" s="464">
        <f t="shared" si="153"/>
        <v>0</v>
      </c>
      <c r="AW237" s="464">
        <f t="shared" si="154"/>
        <v>0</v>
      </c>
      <c r="AX237" s="464">
        <f t="shared" si="155"/>
        <v>0</v>
      </c>
      <c r="AY237" s="3261">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6">
        <f t="shared" si="177"/>
        <v>0</v>
      </c>
    </row>
    <row r="238" spans="1:72">
      <c r="A238" s="3192"/>
      <c r="B238" s="3200"/>
      <c r="C238" s="3199"/>
      <c r="D238" s="3188"/>
      <c r="E238" s="3194">
        <f t="shared" si="149"/>
        <v>0</v>
      </c>
      <c r="F238" s="3195"/>
      <c r="G238" s="3196">
        <f t="shared" si="150"/>
        <v>0</v>
      </c>
      <c r="H238" s="3197">
        <f t="shared" si="151"/>
        <v>0</v>
      </c>
      <c r="I238" s="3199"/>
      <c r="J238" s="3213"/>
      <c r="K238" s="3199"/>
      <c r="L238" s="3213"/>
      <c r="M238" s="3213"/>
      <c r="N238" s="3213"/>
      <c r="O238" s="3213"/>
      <c r="P238" s="3213"/>
      <c r="Q238" s="3213"/>
      <c r="R238" s="3213"/>
      <c r="S238" s="3213"/>
      <c r="T238" s="3213"/>
      <c r="U238" s="3213"/>
      <c r="V238" s="3213"/>
      <c r="W238" s="3213"/>
      <c r="X238" s="3213"/>
      <c r="Y238" s="3213"/>
      <c r="Z238" s="3213"/>
      <c r="AA238" s="3213"/>
      <c r="AB238" s="3213"/>
      <c r="AC238" s="3194">
        <f t="shared" si="152"/>
        <v>0</v>
      </c>
      <c r="AD238" s="3224"/>
      <c r="AE238" s="3224"/>
      <c r="AF238" s="3199"/>
      <c r="AG238" s="3224"/>
      <c r="AH238" s="3224"/>
      <c r="AI238" s="3224"/>
      <c r="AJ238" s="3224"/>
      <c r="AK238" s="3224"/>
      <c r="AL238" s="3224"/>
      <c r="AM238" s="3224"/>
      <c r="AN238" s="3224"/>
      <c r="AO238" s="3224"/>
      <c r="AP238" s="3224"/>
      <c r="AQ238" s="3224"/>
      <c r="AR238" s="3224"/>
      <c r="AS238" s="3224"/>
      <c r="AT238" s="3244"/>
      <c r="AU238" s="3245"/>
      <c r="AV238" s="464">
        <f t="shared" si="153"/>
        <v>0</v>
      </c>
      <c r="AW238" s="464">
        <f t="shared" si="154"/>
        <v>0</v>
      </c>
      <c r="AX238" s="464">
        <f t="shared" si="155"/>
        <v>0</v>
      </c>
      <c r="AY238" s="3261">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6">
        <f t="shared" si="177"/>
        <v>0</v>
      </c>
    </row>
    <row r="239" spans="1:72">
      <c r="A239" s="3192"/>
      <c r="B239" s="3201"/>
      <c r="C239" s="3202"/>
      <c r="D239" s="3188"/>
      <c r="E239" s="3194">
        <f t="shared" si="149"/>
        <v>0</v>
      </c>
      <c r="F239" s="3195"/>
      <c r="G239" s="3196">
        <f t="shared" si="150"/>
        <v>0</v>
      </c>
      <c r="H239" s="3197">
        <f t="shared" si="151"/>
        <v>0</v>
      </c>
      <c r="I239" s="3199"/>
      <c r="J239" s="3213"/>
      <c r="K239" s="3199"/>
      <c r="L239" s="3213"/>
      <c r="M239" s="3199"/>
      <c r="N239" s="3213"/>
      <c r="O239" s="3213"/>
      <c r="P239" s="3213"/>
      <c r="Q239" s="3213"/>
      <c r="R239" s="3213"/>
      <c r="S239" s="3213"/>
      <c r="T239" s="3213"/>
      <c r="U239" s="3213"/>
      <c r="V239" s="3213"/>
      <c r="W239" s="3213"/>
      <c r="X239" s="3213"/>
      <c r="Y239" s="3213"/>
      <c r="Z239" s="3213"/>
      <c r="AA239" s="3213"/>
      <c r="AB239" s="3213"/>
      <c r="AC239" s="3194">
        <f t="shared" si="152"/>
        <v>0</v>
      </c>
      <c r="AD239" s="3224"/>
      <c r="AE239" s="3224"/>
      <c r="AF239" s="3199"/>
      <c r="AG239" s="3224"/>
      <c r="AH239" s="3224"/>
      <c r="AI239" s="3224"/>
      <c r="AJ239" s="3224"/>
      <c r="AK239" s="3224"/>
      <c r="AL239" s="3224"/>
      <c r="AM239" s="3224"/>
      <c r="AN239" s="3224"/>
      <c r="AO239" s="3224"/>
      <c r="AP239" s="3224"/>
      <c r="AQ239" s="3224"/>
      <c r="AR239" s="3224"/>
      <c r="AS239" s="3224"/>
      <c r="AT239" s="3244"/>
      <c r="AU239" s="3245"/>
      <c r="AV239" s="464">
        <f t="shared" si="153"/>
        <v>0</v>
      </c>
      <c r="AW239" s="464">
        <f t="shared" si="154"/>
        <v>0</v>
      </c>
      <c r="AX239" s="464">
        <f t="shared" si="155"/>
        <v>0</v>
      </c>
      <c r="AY239" s="3261">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6">
        <f t="shared" si="177"/>
        <v>0</v>
      </c>
    </row>
    <row r="240" spans="1:72">
      <c r="A240" s="3192"/>
      <c r="B240" s="3193"/>
      <c r="C240" s="3193"/>
      <c r="D240" s="3188"/>
      <c r="E240" s="3194">
        <f t="shared" si="149"/>
        <v>0</v>
      </c>
      <c r="F240" s="3195"/>
      <c r="G240" s="3196">
        <f t="shared" si="150"/>
        <v>0</v>
      </c>
      <c r="H240" s="3197">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4">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64">
        <f t="shared" si="153"/>
        <v>0</v>
      </c>
      <c r="AW240" s="464">
        <f t="shared" si="154"/>
        <v>0</v>
      </c>
      <c r="AX240" s="464">
        <f t="shared" si="155"/>
        <v>0</v>
      </c>
      <c r="AY240" s="3261">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6">
        <f t="shared" si="177"/>
        <v>0</v>
      </c>
    </row>
    <row r="241" spans="1:72">
      <c r="A241" s="3192"/>
      <c r="B241" s="3193"/>
      <c r="C241" s="3193"/>
      <c r="D241" s="3188"/>
      <c r="E241" s="3194">
        <f t="shared" si="149"/>
        <v>0</v>
      </c>
      <c r="F241" s="3195"/>
      <c r="G241" s="3196">
        <f t="shared" si="150"/>
        <v>0</v>
      </c>
      <c r="H241" s="3197">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4">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64">
        <f t="shared" si="153"/>
        <v>0</v>
      </c>
      <c r="AW241" s="464">
        <f t="shared" si="154"/>
        <v>0</v>
      </c>
      <c r="AX241" s="464">
        <f t="shared" si="155"/>
        <v>0</v>
      </c>
      <c r="AY241" s="3261">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6">
        <f t="shared" si="177"/>
        <v>0</v>
      </c>
    </row>
    <row r="242" spans="1:72">
      <c r="A242" s="3192"/>
      <c r="B242" s="3193"/>
      <c r="C242" s="3193"/>
      <c r="D242" s="3188"/>
      <c r="E242" s="3194">
        <f t="shared" si="149"/>
        <v>0</v>
      </c>
      <c r="F242" s="3195"/>
      <c r="G242" s="3196">
        <f t="shared" si="150"/>
        <v>0</v>
      </c>
      <c r="H242" s="3197">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4">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64">
        <f t="shared" si="153"/>
        <v>0</v>
      </c>
      <c r="AW242" s="464">
        <f t="shared" si="154"/>
        <v>0</v>
      </c>
      <c r="AX242" s="464">
        <f t="shared" si="155"/>
        <v>0</v>
      </c>
      <c r="AY242" s="3261">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6">
        <f t="shared" si="177"/>
        <v>0</v>
      </c>
    </row>
    <row r="243" spans="1:72">
      <c r="A243" s="3192"/>
      <c r="B243" s="3193"/>
      <c r="C243" s="3193"/>
      <c r="D243" s="3188"/>
      <c r="E243" s="3194">
        <f t="shared" si="149"/>
        <v>0</v>
      </c>
      <c r="F243" s="3195"/>
      <c r="G243" s="3196">
        <f t="shared" si="150"/>
        <v>0</v>
      </c>
      <c r="H243" s="3197">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4">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64">
        <f t="shared" si="153"/>
        <v>0</v>
      </c>
      <c r="AW243" s="464">
        <f t="shared" si="154"/>
        <v>0</v>
      </c>
      <c r="AX243" s="464">
        <f t="shared" si="155"/>
        <v>0</v>
      </c>
      <c r="AY243" s="3261">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6">
        <f t="shared" si="177"/>
        <v>0</v>
      </c>
    </row>
    <row r="244" spans="1:72">
      <c r="A244" s="3192"/>
      <c r="B244" s="3193"/>
      <c r="C244" s="3193"/>
      <c r="D244" s="3188"/>
      <c r="E244" s="3194">
        <f t="shared" si="149"/>
        <v>0</v>
      </c>
      <c r="F244" s="3195"/>
      <c r="G244" s="3196">
        <f t="shared" si="150"/>
        <v>0</v>
      </c>
      <c r="H244" s="3197">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4">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64">
        <f t="shared" si="153"/>
        <v>0</v>
      </c>
      <c r="AW244" s="464">
        <f t="shared" si="154"/>
        <v>0</v>
      </c>
      <c r="AX244" s="464">
        <f t="shared" si="155"/>
        <v>0</v>
      </c>
      <c r="AY244" s="3261">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6">
        <f t="shared" si="177"/>
        <v>0</v>
      </c>
    </row>
    <row r="245" spans="1:72">
      <c r="A245" s="3192"/>
      <c r="B245" s="3193"/>
      <c r="C245" s="3193"/>
      <c r="D245" s="3188"/>
      <c r="E245" s="3194">
        <f t="shared" si="149"/>
        <v>0</v>
      </c>
      <c r="F245" s="3195"/>
      <c r="G245" s="3196">
        <f t="shared" si="150"/>
        <v>0</v>
      </c>
      <c r="H245" s="3197">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4">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64">
        <f t="shared" si="153"/>
        <v>0</v>
      </c>
      <c r="AW245" s="464">
        <f t="shared" si="154"/>
        <v>0</v>
      </c>
      <c r="AX245" s="464">
        <f t="shared" si="155"/>
        <v>0</v>
      </c>
      <c r="AY245" s="3261">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6">
        <f t="shared" si="177"/>
        <v>0</v>
      </c>
    </row>
    <row r="246" spans="1:72">
      <c r="A246" s="3192"/>
      <c r="B246" s="3193"/>
      <c r="C246" s="3193"/>
      <c r="D246" s="3188"/>
      <c r="E246" s="3194">
        <f t="shared" si="149"/>
        <v>0</v>
      </c>
      <c r="F246" s="3195"/>
      <c r="G246" s="3196">
        <f t="shared" si="150"/>
        <v>0</v>
      </c>
      <c r="H246" s="3197">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4">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64">
        <f t="shared" si="153"/>
        <v>0</v>
      </c>
      <c r="AW246" s="464">
        <f t="shared" si="154"/>
        <v>0</v>
      </c>
      <c r="AX246" s="464">
        <f t="shared" si="155"/>
        <v>0</v>
      </c>
      <c r="AY246" s="3261">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6">
        <f t="shared" si="177"/>
        <v>0</v>
      </c>
    </row>
    <row r="247" spans="1:72">
      <c r="A247" s="3192"/>
      <c r="B247" s="3193"/>
      <c r="C247" s="3193"/>
      <c r="D247" s="3188"/>
      <c r="E247" s="3194">
        <f t="shared" si="149"/>
        <v>0</v>
      </c>
      <c r="F247" s="3195"/>
      <c r="G247" s="3196">
        <f t="shared" si="150"/>
        <v>0</v>
      </c>
      <c r="H247" s="3197">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4">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64">
        <f t="shared" si="153"/>
        <v>0</v>
      </c>
      <c r="AW247" s="464">
        <f t="shared" si="154"/>
        <v>0</v>
      </c>
      <c r="AX247" s="464">
        <f t="shared" si="155"/>
        <v>0</v>
      </c>
      <c r="AY247" s="3261">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6">
        <f t="shared" si="177"/>
        <v>0</v>
      </c>
    </row>
    <row r="248" spans="1:72">
      <c r="A248" s="3192"/>
      <c r="B248" s="3193"/>
      <c r="C248" s="3193"/>
      <c r="D248" s="3188"/>
      <c r="E248" s="3194">
        <f t="shared" si="149"/>
        <v>0</v>
      </c>
      <c r="F248" s="3195"/>
      <c r="G248" s="3196">
        <f t="shared" si="150"/>
        <v>0</v>
      </c>
      <c r="H248" s="3197">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4">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64">
        <f t="shared" si="153"/>
        <v>0</v>
      </c>
      <c r="AW248" s="464">
        <f t="shared" si="154"/>
        <v>0</v>
      </c>
      <c r="AX248" s="464">
        <f t="shared" si="155"/>
        <v>0</v>
      </c>
      <c r="AY248" s="3261">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6">
        <f t="shared" si="177"/>
        <v>0</v>
      </c>
    </row>
    <row r="249" spans="1:72">
      <c r="A249" s="3192"/>
      <c r="B249" s="3193"/>
      <c r="C249" s="3193"/>
      <c r="D249" s="3188"/>
      <c r="E249" s="3194">
        <f t="shared" si="149"/>
        <v>0</v>
      </c>
      <c r="F249" s="3195"/>
      <c r="G249" s="3196">
        <f t="shared" si="150"/>
        <v>0</v>
      </c>
      <c r="H249" s="3197">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4">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64">
        <f t="shared" si="153"/>
        <v>0</v>
      </c>
      <c r="AW249" s="464">
        <f t="shared" si="154"/>
        <v>0</v>
      </c>
      <c r="AX249" s="464">
        <f t="shared" si="155"/>
        <v>0</v>
      </c>
      <c r="AY249" s="3261">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6">
        <f t="shared" si="177"/>
        <v>0</v>
      </c>
    </row>
    <row r="250" spans="1:72">
      <c r="A250" s="3192"/>
      <c r="B250" s="3193"/>
      <c r="C250" s="3193"/>
      <c r="D250" s="3188"/>
      <c r="E250" s="3194">
        <f t="shared" si="149"/>
        <v>0</v>
      </c>
      <c r="F250" s="3195"/>
      <c r="G250" s="3196">
        <f t="shared" si="150"/>
        <v>0</v>
      </c>
      <c r="H250" s="3197">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4">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64">
        <f t="shared" si="153"/>
        <v>0</v>
      </c>
      <c r="AW250" s="464">
        <f t="shared" si="154"/>
        <v>0</v>
      </c>
      <c r="AX250" s="464">
        <f t="shared" si="155"/>
        <v>0</v>
      </c>
      <c r="AY250" s="3261">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6">
        <f t="shared" si="177"/>
        <v>0</v>
      </c>
    </row>
    <row r="251" spans="1:72">
      <c r="A251" s="3192"/>
      <c r="B251" s="3193"/>
      <c r="C251" s="3193"/>
      <c r="D251" s="3188"/>
      <c r="E251" s="3194">
        <f t="shared" si="149"/>
        <v>0</v>
      </c>
      <c r="F251" s="3195"/>
      <c r="G251" s="3196">
        <f t="shared" si="150"/>
        <v>0</v>
      </c>
      <c r="H251" s="3197">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4">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64">
        <f t="shared" si="153"/>
        <v>0</v>
      </c>
      <c r="AW251" s="464">
        <f t="shared" si="154"/>
        <v>0</v>
      </c>
      <c r="AX251" s="464">
        <f t="shared" si="155"/>
        <v>0</v>
      </c>
      <c r="AY251" s="3261">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6">
        <f t="shared" si="177"/>
        <v>0</v>
      </c>
    </row>
    <row r="252" spans="1:72">
      <c r="A252" s="3192"/>
      <c r="B252" s="3193"/>
      <c r="C252" s="3193"/>
      <c r="D252" s="3188"/>
      <c r="E252" s="3194">
        <f t="shared" si="149"/>
        <v>0</v>
      </c>
      <c r="F252" s="3195"/>
      <c r="G252" s="3196">
        <f t="shared" si="150"/>
        <v>0</v>
      </c>
      <c r="H252" s="3197">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4">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64">
        <f t="shared" si="153"/>
        <v>0</v>
      </c>
      <c r="AW252" s="464">
        <f t="shared" si="154"/>
        <v>0</v>
      </c>
      <c r="AX252" s="464">
        <f t="shared" si="155"/>
        <v>0</v>
      </c>
      <c r="AY252" s="3261">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6">
        <f t="shared" si="177"/>
        <v>0</v>
      </c>
    </row>
    <row r="253" spans="1:72">
      <c r="A253" s="3192"/>
      <c r="B253" s="3193"/>
      <c r="C253" s="3193"/>
      <c r="D253" s="3188"/>
      <c r="E253" s="3194">
        <f t="shared" si="149"/>
        <v>0</v>
      </c>
      <c r="F253" s="3195"/>
      <c r="G253" s="3196">
        <f t="shared" si="150"/>
        <v>0</v>
      </c>
      <c r="H253" s="3197">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4">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64">
        <f t="shared" si="153"/>
        <v>0</v>
      </c>
      <c r="AW253" s="464">
        <f t="shared" si="154"/>
        <v>0</v>
      </c>
      <c r="AX253" s="464">
        <f t="shared" si="155"/>
        <v>0</v>
      </c>
      <c r="AY253" s="3261">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6">
        <f t="shared" si="177"/>
        <v>0</v>
      </c>
    </row>
    <row r="254" spans="1:72">
      <c r="A254" s="3192"/>
      <c r="B254" s="3193"/>
      <c r="C254" s="3193"/>
      <c r="D254" s="3188"/>
      <c r="E254" s="3194">
        <f t="shared" si="149"/>
        <v>0</v>
      </c>
      <c r="F254" s="3195"/>
      <c r="G254" s="3196">
        <f t="shared" si="150"/>
        <v>0</v>
      </c>
      <c r="H254" s="3197">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4">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64">
        <f t="shared" si="153"/>
        <v>0</v>
      </c>
      <c r="AW254" s="464">
        <f t="shared" si="154"/>
        <v>0</v>
      </c>
      <c r="AX254" s="464">
        <f t="shared" si="155"/>
        <v>0</v>
      </c>
      <c r="AY254" s="3261">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6">
        <f t="shared" si="177"/>
        <v>0</v>
      </c>
    </row>
    <row r="255" spans="1:72">
      <c r="A255" s="3192"/>
      <c r="B255" s="3193"/>
      <c r="C255" s="3193"/>
      <c r="D255" s="3188"/>
      <c r="E255" s="3194">
        <f t="shared" si="149"/>
        <v>0</v>
      </c>
      <c r="F255" s="3195"/>
      <c r="G255" s="3196">
        <f t="shared" si="150"/>
        <v>0</v>
      </c>
      <c r="H255" s="3197">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4">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64">
        <f t="shared" si="153"/>
        <v>0</v>
      </c>
      <c r="AW255" s="464">
        <f t="shared" si="154"/>
        <v>0</v>
      </c>
      <c r="AX255" s="464">
        <f t="shared" si="155"/>
        <v>0</v>
      </c>
      <c r="AY255" s="3261">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6">
        <f t="shared" si="177"/>
        <v>0</v>
      </c>
    </row>
    <row r="256" spans="1:72">
      <c r="A256" s="3192"/>
      <c r="B256" s="3193"/>
      <c r="C256" s="3193"/>
      <c r="D256" s="3188"/>
      <c r="E256" s="3194">
        <f t="shared" si="149"/>
        <v>0</v>
      </c>
      <c r="F256" s="3195"/>
      <c r="G256" s="3196">
        <f t="shared" si="150"/>
        <v>0</v>
      </c>
      <c r="H256" s="3197">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4">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64">
        <f t="shared" si="153"/>
        <v>0</v>
      </c>
      <c r="AW256" s="464">
        <f t="shared" si="154"/>
        <v>0</v>
      </c>
      <c r="AX256" s="464">
        <f t="shared" si="155"/>
        <v>0</v>
      </c>
      <c r="AY256" s="3261">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6">
        <f t="shared" si="177"/>
        <v>0</v>
      </c>
    </row>
    <row r="257" spans="1:72">
      <c r="A257" s="3192"/>
      <c r="B257" s="3193"/>
      <c r="C257" s="3193"/>
      <c r="D257" s="3188"/>
      <c r="E257" s="3194">
        <f t="shared" si="149"/>
        <v>0</v>
      </c>
      <c r="F257" s="3195"/>
      <c r="G257" s="3196">
        <f t="shared" si="150"/>
        <v>0</v>
      </c>
      <c r="H257" s="3197">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4">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64">
        <f t="shared" si="153"/>
        <v>0</v>
      </c>
      <c r="AW257" s="464">
        <f t="shared" si="154"/>
        <v>0</v>
      </c>
      <c r="AX257" s="464">
        <f t="shared" si="155"/>
        <v>0</v>
      </c>
      <c r="AY257" s="3261">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6">
        <f t="shared" si="177"/>
        <v>0</v>
      </c>
    </row>
    <row r="258" spans="1:72">
      <c r="A258" s="3192"/>
      <c r="B258" s="3193"/>
      <c r="C258" s="3193"/>
      <c r="D258" s="3188"/>
      <c r="E258" s="3194">
        <f t="shared" si="149"/>
        <v>0</v>
      </c>
      <c r="F258" s="3195"/>
      <c r="G258" s="3196">
        <f t="shared" si="150"/>
        <v>0</v>
      </c>
      <c r="H258" s="3197">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4">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64">
        <f t="shared" si="153"/>
        <v>0</v>
      </c>
      <c r="AW258" s="464">
        <f t="shared" si="154"/>
        <v>0</v>
      </c>
      <c r="AX258" s="464">
        <f t="shared" si="155"/>
        <v>0</v>
      </c>
      <c r="AY258" s="3261">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6">
        <f t="shared" si="177"/>
        <v>0</v>
      </c>
    </row>
    <row r="259" spans="1:72">
      <c r="A259" s="3192"/>
      <c r="B259" s="3193"/>
      <c r="C259" s="3193"/>
      <c r="D259" s="3188"/>
      <c r="E259" s="3194">
        <f t="shared" si="149"/>
        <v>0</v>
      </c>
      <c r="F259" s="3195"/>
      <c r="G259" s="3196">
        <f t="shared" si="150"/>
        <v>0</v>
      </c>
      <c r="H259" s="3197">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4">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64">
        <f t="shared" si="153"/>
        <v>0</v>
      </c>
      <c r="AW259" s="464">
        <f t="shared" si="154"/>
        <v>0</v>
      </c>
      <c r="AX259" s="464">
        <f t="shared" si="155"/>
        <v>0</v>
      </c>
      <c r="AY259" s="3261">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6">
        <f t="shared" si="177"/>
        <v>0</v>
      </c>
    </row>
    <row r="260" spans="1:72">
      <c r="A260" s="3192"/>
      <c r="B260" s="3193"/>
      <c r="C260" s="3193"/>
      <c r="D260" s="3188"/>
      <c r="E260" s="3194">
        <f t="shared" si="149"/>
        <v>0</v>
      </c>
      <c r="F260" s="3195"/>
      <c r="G260" s="3196">
        <f t="shared" si="150"/>
        <v>0</v>
      </c>
      <c r="H260" s="3197">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4">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64">
        <f t="shared" si="153"/>
        <v>0</v>
      </c>
      <c r="AW260" s="464">
        <f t="shared" si="154"/>
        <v>0</v>
      </c>
      <c r="AX260" s="464">
        <f t="shared" si="155"/>
        <v>0</v>
      </c>
      <c r="AY260" s="3261">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6">
        <f t="shared" si="177"/>
        <v>0</v>
      </c>
    </row>
    <row r="261" spans="1:72">
      <c r="A261" s="3192"/>
      <c r="B261" s="3193"/>
      <c r="C261" s="3193"/>
      <c r="D261" s="3188"/>
      <c r="E261" s="3194">
        <f t="shared" si="149"/>
        <v>0</v>
      </c>
      <c r="F261" s="3195"/>
      <c r="G261" s="3196">
        <f t="shared" si="150"/>
        <v>0</v>
      </c>
      <c r="H261" s="3197">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4">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64">
        <f t="shared" si="153"/>
        <v>0</v>
      </c>
      <c r="AW261" s="464">
        <f t="shared" si="154"/>
        <v>0</v>
      </c>
      <c r="AX261" s="464">
        <f t="shared" si="155"/>
        <v>0</v>
      </c>
      <c r="AY261" s="3261">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6">
        <f t="shared" si="177"/>
        <v>0</v>
      </c>
    </row>
    <row r="262" spans="1:72">
      <c r="A262" s="3192"/>
      <c r="B262" s="3193"/>
      <c r="C262" s="3193"/>
      <c r="D262" s="3188"/>
      <c r="E262" s="3194">
        <f t="shared" si="149"/>
        <v>0</v>
      </c>
      <c r="F262" s="3195"/>
      <c r="G262" s="3196">
        <f t="shared" si="150"/>
        <v>0</v>
      </c>
      <c r="H262" s="3197">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4">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64">
        <f t="shared" si="153"/>
        <v>0</v>
      </c>
      <c r="AW262" s="464">
        <f t="shared" si="154"/>
        <v>0</v>
      </c>
      <c r="AX262" s="464">
        <f t="shared" si="155"/>
        <v>0</v>
      </c>
      <c r="AY262" s="3261">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6">
        <f t="shared" si="177"/>
        <v>0</v>
      </c>
    </row>
    <row r="263" spans="1:72">
      <c r="A263" s="3192"/>
      <c r="B263" s="3193"/>
      <c r="C263" s="3193"/>
      <c r="D263" s="3188"/>
      <c r="E263" s="3194">
        <f t="shared" si="149"/>
        <v>0</v>
      </c>
      <c r="F263" s="3195"/>
      <c r="G263" s="3196">
        <f t="shared" si="150"/>
        <v>0</v>
      </c>
      <c r="H263" s="3197">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4">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64">
        <f t="shared" si="153"/>
        <v>0</v>
      </c>
      <c r="AW263" s="464">
        <f t="shared" si="154"/>
        <v>0</v>
      </c>
      <c r="AX263" s="464">
        <f t="shared" si="155"/>
        <v>0</v>
      </c>
      <c r="AY263" s="3261">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6">
        <f t="shared" si="177"/>
        <v>0</v>
      </c>
    </row>
    <row r="264" spans="1:72">
      <c r="A264" s="3192"/>
      <c r="B264" s="3193"/>
      <c r="C264" s="3193"/>
      <c r="D264" s="3188"/>
      <c r="E264" s="3194">
        <f t="shared" si="149"/>
        <v>0</v>
      </c>
      <c r="F264" s="3195"/>
      <c r="G264" s="3196">
        <f t="shared" si="150"/>
        <v>0</v>
      </c>
      <c r="H264" s="3197">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4">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64">
        <f t="shared" si="153"/>
        <v>0</v>
      </c>
      <c r="AW264" s="464">
        <f t="shared" si="154"/>
        <v>0</v>
      </c>
      <c r="AX264" s="464">
        <f t="shared" si="155"/>
        <v>0</v>
      </c>
      <c r="AY264" s="3261">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6">
        <f t="shared" si="177"/>
        <v>0</v>
      </c>
    </row>
    <row r="265" spans="1:72">
      <c r="A265" s="3192"/>
      <c r="B265" s="3193"/>
      <c r="C265" s="3193"/>
      <c r="D265" s="3188"/>
      <c r="E265" s="3194">
        <f t="shared" si="149"/>
        <v>0</v>
      </c>
      <c r="F265" s="3195"/>
      <c r="G265" s="3196">
        <f t="shared" si="150"/>
        <v>0</v>
      </c>
      <c r="H265" s="3197">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4">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64">
        <f t="shared" si="153"/>
        <v>0</v>
      </c>
      <c r="AW265" s="464">
        <f t="shared" si="154"/>
        <v>0</v>
      </c>
      <c r="AX265" s="464">
        <f t="shared" si="155"/>
        <v>0</v>
      </c>
      <c r="AY265" s="3261">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6">
        <f t="shared" si="177"/>
        <v>0</v>
      </c>
    </row>
    <row r="266" spans="1:72">
      <c r="A266" s="3192"/>
      <c r="B266" s="3193"/>
      <c r="C266" s="3193"/>
      <c r="D266" s="3188"/>
      <c r="E266" s="3194">
        <f t="shared" si="149"/>
        <v>0</v>
      </c>
      <c r="F266" s="3195"/>
      <c r="G266" s="3196">
        <f t="shared" si="150"/>
        <v>0</v>
      </c>
      <c r="H266" s="3197">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4">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64">
        <f t="shared" si="153"/>
        <v>0</v>
      </c>
      <c r="AW266" s="464">
        <f t="shared" si="154"/>
        <v>0</v>
      </c>
      <c r="AX266" s="464">
        <f t="shared" si="155"/>
        <v>0</v>
      </c>
      <c r="AY266" s="3261">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6">
        <f t="shared" si="177"/>
        <v>0</v>
      </c>
    </row>
    <row r="267" spans="1:72">
      <c r="A267" s="3192"/>
      <c r="B267" s="3193"/>
      <c r="C267" s="3193"/>
      <c r="D267" s="3188"/>
      <c r="E267" s="3194">
        <f t="shared" si="149"/>
        <v>0</v>
      </c>
      <c r="F267" s="3195"/>
      <c r="G267" s="3196">
        <f t="shared" si="150"/>
        <v>0</v>
      </c>
      <c r="H267" s="3197">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4">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64">
        <f t="shared" si="153"/>
        <v>0</v>
      </c>
      <c r="AW267" s="464">
        <f t="shared" si="154"/>
        <v>0</v>
      </c>
      <c r="AX267" s="464">
        <f t="shared" si="155"/>
        <v>0</v>
      </c>
      <c r="AY267" s="3261">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6">
        <f t="shared" si="177"/>
        <v>0</v>
      </c>
    </row>
    <row r="268" spans="1:72">
      <c r="A268" s="3192"/>
      <c r="B268" s="3193"/>
      <c r="C268" s="3193"/>
      <c r="D268" s="3188"/>
      <c r="E268" s="3194">
        <f t="shared" si="149"/>
        <v>0</v>
      </c>
      <c r="F268" s="3195"/>
      <c r="G268" s="3196">
        <f t="shared" si="150"/>
        <v>0</v>
      </c>
      <c r="H268" s="3197">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4">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64">
        <f t="shared" si="153"/>
        <v>0</v>
      </c>
      <c r="AW268" s="464">
        <f t="shared" si="154"/>
        <v>0</v>
      </c>
      <c r="AX268" s="464">
        <f t="shared" si="155"/>
        <v>0</v>
      </c>
      <c r="AY268" s="3261">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6">
        <f t="shared" si="177"/>
        <v>0</v>
      </c>
    </row>
    <row r="269" spans="1:72">
      <c r="A269" s="3192"/>
      <c r="B269" s="3193"/>
      <c r="C269" s="3193"/>
      <c r="D269" s="3188"/>
      <c r="E269" s="3194">
        <f t="shared" si="149"/>
        <v>0</v>
      </c>
      <c r="F269" s="3195"/>
      <c r="G269" s="3196">
        <f t="shared" si="150"/>
        <v>0</v>
      </c>
      <c r="H269" s="3197">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4">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64">
        <f t="shared" si="153"/>
        <v>0</v>
      </c>
      <c r="AW269" s="464">
        <f t="shared" si="154"/>
        <v>0</v>
      </c>
      <c r="AX269" s="464">
        <f t="shared" si="155"/>
        <v>0</v>
      </c>
      <c r="AY269" s="3261">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6">
        <f t="shared" si="177"/>
        <v>0</v>
      </c>
    </row>
    <row r="270" spans="1:72">
      <c r="A270" s="3192"/>
      <c r="B270" s="3193"/>
      <c r="C270" s="3193"/>
      <c r="D270" s="3188"/>
      <c r="E270" s="3194">
        <f t="shared" si="149"/>
        <v>0</v>
      </c>
      <c r="F270" s="3195"/>
      <c r="G270" s="3196">
        <f t="shared" si="150"/>
        <v>0</v>
      </c>
      <c r="H270" s="3197">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4">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64">
        <f t="shared" si="153"/>
        <v>0</v>
      </c>
      <c r="AW270" s="464">
        <f t="shared" si="154"/>
        <v>0</v>
      </c>
      <c r="AX270" s="464">
        <f t="shared" si="155"/>
        <v>0</v>
      </c>
      <c r="AY270" s="3261">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6">
        <f t="shared" si="177"/>
        <v>0</v>
      </c>
    </row>
    <row r="271" spans="1:72">
      <c r="A271" s="3192"/>
      <c r="B271" s="3193"/>
      <c r="C271" s="3193"/>
      <c r="D271" s="3188"/>
      <c r="E271" s="3194">
        <f t="shared" si="149"/>
        <v>0</v>
      </c>
      <c r="F271" s="3195"/>
      <c r="G271" s="3196">
        <f t="shared" si="150"/>
        <v>0</v>
      </c>
      <c r="H271" s="3197">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4">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64">
        <f t="shared" si="153"/>
        <v>0</v>
      </c>
      <c r="AW271" s="464">
        <f t="shared" si="154"/>
        <v>0</v>
      </c>
      <c r="AX271" s="464">
        <f t="shared" si="155"/>
        <v>0</v>
      </c>
      <c r="AY271" s="3261">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6">
        <f t="shared" si="177"/>
        <v>0</v>
      </c>
    </row>
    <row r="272" spans="1:72">
      <c r="A272" s="3192"/>
      <c r="B272" s="3193"/>
      <c r="C272" s="3193"/>
      <c r="D272" s="3188"/>
      <c r="E272" s="3194">
        <f t="shared" si="149"/>
        <v>0</v>
      </c>
      <c r="F272" s="3195"/>
      <c r="G272" s="3196">
        <f t="shared" si="150"/>
        <v>0</v>
      </c>
      <c r="H272" s="3197">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4">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64">
        <f t="shared" si="153"/>
        <v>0</v>
      </c>
      <c r="AW272" s="464">
        <f t="shared" si="154"/>
        <v>0</v>
      </c>
      <c r="AX272" s="464">
        <f t="shared" si="155"/>
        <v>0</v>
      </c>
      <c r="AY272" s="3261">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6">
        <f t="shared" si="177"/>
        <v>0</v>
      </c>
    </row>
    <row r="273" spans="1:72">
      <c r="A273" s="3192"/>
      <c r="B273" s="3193"/>
      <c r="C273" s="3193"/>
      <c r="D273" s="3188"/>
      <c r="E273" s="3194">
        <f t="shared" si="149"/>
        <v>0</v>
      </c>
      <c r="F273" s="3195"/>
      <c r="G273" s="3196">
        <f t="shared" si="150"/>
        <v>0</v>
      </c>
      <c r="H273" s="3197">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4">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64">
        <f t="shared" si="153"/>
        <v>0</v>
      </c>
      <c r="AW273" s="464">
        <f t="shared" si="154"/>
        <v>0</v>
      </c>
      <c r="AX273" s="464">
        <f t="shared" si="155"/>
        <v>0</v>
      </c>
      <c r="AY273" s="3261">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6">
        <f t="shared" si="177"/>
        <v>0</v>
      </c>
    </row>
    <row r="274" spans="1:72">
      <c r="A274" s="3192"/>
      <c r="B274" s="3193"/>
      <c r="C274" s="3193"/>
      <c r="D274" s="3188"/>
      <c r="E274" s="3194">
        <f t="shared" si="149"/>
        <v>0</v>
      </c>
      <c r="F274" s="3195"/>
      <c r="G274" s="3196">
        <f t="shared" si="150"/>
        <v>0</v>
      </c>
      <c r="H274" s="3197">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4">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64">
        <f t="shared" si="153"/>
        <v>0</v>
      </c>
      <c r="AW274" s="464">
        <f t="shared" si="154"/>
        <v>0</v>
      </c>
      <c r="AX274" s="464">
        <f t="shared" si="155"/>
        <v>0</v>
      </c>
      <c r="AY274" s="3261">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6">
        <f t="shared" si="177"/>
        <v>0</v>
      </c>
    </row>
    <row r="275" spans="1:72">
      <c r="A275" s="3192"/>
      <c r="B275" s="3193"/>
      <c r="C275" s="3193"/>
      <c r="D275" s="3188"/>
      <c r="E275" s="3194">
        <f t="shared" si="149"/>
        <v>0</v>
      </c>
      <c r="F275" s="3195"/>
      <c r="G275" s="3196">
        <f t="shared" si="150"/>
        <v>0</v>
      </c>
      <c r="H275" s="3197">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4">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64">
        <f t="shared" si="153"/>
        <v>0</v>
      </c>
      <c r="AW275" s="464">
        <f t="shared" si="154"/>
        <v>0</v>
      </c>
      <c r="AX275" s="464">
        <f t="shared" si="155"/>
        <v>0</v>
      </c>
      <c r="AY275" s="3261">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6">
        <f t="shared" si="177"/>
        <v>0</v>
      </c>
    </row>
    <row r="276" spans="1:72">
      <c r="A276" s="3192"/>
      <c r="B276" s="3193"/>
      <c r="C276" s="3193"/>
      <c r="D276" s="3188"/>
      <c r="E276" s="3194">
        <f t="shared" si="149"/>
        <v>0</v>
      </c>
      <c r="F276" s="3195"/>
      <c r="G276" s="3196">
        <f t="shared" si="150"/>
        <v>0</v>
      </c>
      <c r="H276" s="3197">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4">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64">
        <f t="shared" si="153"/>
        <v>0</v>
      </c>
      <c r="AW276" s="464">
        <f t="shared" si="154"/>
        <v>0</v>
      </c>
      <c r="AX276" s="464">
        <f t="shared" si="155"/>
        <v>0</v>
      </c>
      <c r="AY276" s="3261">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6">
        <f t="shared" si="177"/>
        <v>0</v>
      </c>
    </row>
    <row r="277" spans="1:72">
      <c r="A277" s="3192"/>
      <c r="B277" s="3193"/>
      <c r="C277" s="3193"/>
      <c r="D277" s="3188"/>
      <c r="E277" s="3194">
        <f t="shared" si="149"/>
        <v>0</v>
      </c>
      <c r="F277" s="3195"/>
      <c r="G277" s="3196">
        <f t="shared" si="150"/>
        <v>0</v>
      </c>
      <c r="H277" s="3197">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4">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64">
        <f t="shared" si="153"/>
        <v>0</v>
      </c>
      <c r="AW277" s="464">
        <f t="shared" si="154"/>
        <v>0</v>
      </c>
      <c r="AX277" s="464">
        <f t="shared" si="155"/>
        <v>0</v>
      </c>
      <c r="AY277" s="3261">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6">
        <f t="shared" si="177"/>
        <v>0</v>
      </c>
    </row>
    <row r="278" spans="1:72">
      <c r="A278" s="3192"/>
      <c r="B278" s="3193"/>
      <c r="C278" s="3193"/>
      <c r="D278" s="3188"/>
      <c r="E278" s="3194">
        <f t="shared" si="149"/>
        <v>0</v>
      </c>
      <c r="F278" s="3195"/>
      <c r="G278" s="3196">
        <f t="shared" si="150"/>
        <v>0</v>
      </c>
      <c r="H278" s="3197">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4">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64">
        <f t="shared" si="153"/>
        <v>0</v>
      </c>
      <c r="AW278" s="464">
        <f t="shared" si="154"/>
        <v>0</v>
      </c>
      <c r="AX278" s="464">
        <f t="shared" si="155"/>
        <v>0</v>
      </c>
      <c r="AY278" s="3261">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6">
        <f t="shared" si="177"/>
        <v>0</v>
      </c>
    </row>
    <row r="279" spans="1:72">
      <c r="A279" s="3192"/>
      <c r="B279" s="3193"/>
      <c r="C279" s="3193"/>
      <c r="D279" s="3188"/>
      <c r="E279" s="3194">
        <f t="shared" si="149"/>
        <v>0</v>
      </c>
      <c r="F279" s="3195"/>
      <c r="G279" s="3196">
        <f t="shared" si="150"/>
        <v>0</v>
      </c>
      <c r="H279" s="3197">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4">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64">
        <f t="shared" si="153"/>
        <v>0</v>
      </c>
      <c r="AW279" s="464">
        <f t="shared" si="154"/>
        <v>0</v>
      </c>
      <c r="AX279" s="464">
        <f t="shared" si="155"/>
        <v>0</v>
      </c>
      <c r="AY279" s="3261">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6">
        <f t="shared" si="177"/>
        <v>0</v>
      </c>
    </row>
    <row r="280" spans="1:72">
      <c r="A280" s="3192"/>
      <c r="B280" s="3193"/>
      <c r="C280" s="3193"/>
      <c r="D280" s="3188"/>
      <c r="E280" s="3194">
        <f t="shared" si="149"/>
        <v>0</v>
      </c>
      <c r="F280" s="3195"/>
      <c r="G280" s="3196">
        <f t="shared" si="150"/>
        <v>0</v>
      </c>
      <c r="H280" s="3197">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4">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64">
        <f t="shared" si="153"/>
        <v>0</v>
      </c>
      <c r="AW280" s="464">
        <f t="shared" si="154"/>
        <v>0</v>
      </c>
      <c r="AX280" s="464">
        <f t="shared" si="155"/>
        <v>0</v>
      </c>
      <c r="AY280" s="3261">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6">
        <f t="shared" si="177"/>
        <v>0</v>
      </c>
    </row>
    <row r="281" spans="1:72">
      <c r="A281" s="3192"/>
      <c r="B281" s="3193"/>
      <c r="C281" s="3193"/>
      <c r="D281" s="3188"/>
      <c r="E281" s="3194">
        <f t="shared" si="149"/>
        <v>0</v>
      </c>
      <c r="F281" s="3195"/>
      <c r="G281" s="3196">
        <f t="shared" si="150"/>
        <v>0</v>
      </c>
      <c r="H281" s="3197">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4">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64">
        <f t="shared" si="153"/>
        <v>0</v>
      </c>
      <c r="AW281" s="464">
        <f t="shared" si="154"/>
        <v>0</v>
      </c>
      <c r="AX281" s="464">
        <f t="shared" si="155"/>
        <v>0</v>
      </c>
      <c r="AY281" s="3261">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6">
        <f t="shared" si="177"/>
        <v>0</v>
      </c>
    </row>
    <row r="282" spans="1:72">
      <c r="A282" s="3192"/>
      <c r="B282" s="3193"/>
      <c r="C282" s="3193"/>
      <c r="D282" s="3188"/>
      <c r="E282" s="3194">
        <f t="shared" si="149"/>
        <v>0</v>
      </c>
      <c r="F282" s="3195"/>
      <c r="G282" s="3196">
        <f t="shared" si="150"/>
        <v>0</v>
      </c>
      <c r="H282" s="3197">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4">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64">
        <f t="shared" si="153"/>
        <v>0</v>
      </c>
      <c r="AW282" s="464">
        <f t="shared" si="154"/>
        <v>0</v>
      </c>
      <c r="AX282" s="464">
        <f t="shared" si="155"/>
        <v>0</v>
      </c>
      <c r="AY282" s="3261">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6">
        <f t="shared" si="177"/>
        <v>0</v>
      </c>
    </row>
    <row r="283" spans="1:72">
      <c r="A283" s="3192"/>
      <c r="B283" s="3193"/>
      <c r="C283" s="3193"/>
      <c r="D283" s="3188"/>
      <c r="E283" s="3194">
        <f t="shared" si="149"/>
        <v>0</v>
      </c>
      <c r="F283" s="3195"/>
      <c r="G283" s="3196">
        <f t="shared" si="150"/>
        <v>0</v>
      </c>
      <c r="H283" s="3197">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4">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64">
        <f t="shared" si="153"/>
        <v>0</v>
      </c>
      <c r="AW283" s="464">
        <f t="shared" si="154"/>
        <v>0</v>
      </c>
      <c r="AX283" s="464">
        <f t="shared" si="155"/>
        <v>0</v>
      </c>
      <c r="AY283" s="3261">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6">
        <f t="shared" si="177"/>
        <v>0</v>
      </c>
    </row>
    <row r="284" spans="1:72">
      <c r="A284" s="3192"/>
      <c r="B284" s="3193"/>
      <c r="C284" s="3193"/>
      <c r="D284" s="3188"/>
      <c r="E284" s="3194">
        <f t="shared" si="149"/>
        <v>0</v>
      </c>
      <c r="F284" s="3195"/>
      <c r="G284" s="3196">
        <f t="shared" si="150"/>
        <v>0</v>
      </c>
      <c r="H284" s="3197">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4">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64">
        <f t="shared" si="153"/>
        <v>0</v>
      </c>
      <c r="AW284" s="464">
        <f t="shared" si="154"/>
        <v>0</v>
      </c>
      <c r="AX284" s="464">
        <f t="shared" si="155"/>
        <v>0</v>
      </c>
      <c r="AY284" s="3261">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6">
        <f t="shared" si="177"/>
        <v>0</v>
      </c>
    </row>
    <row r="285" spans="1:72">
      <c r="A285" s="3192"/>
      <c r="B285" s="3193"/>
      <c r="C285" s="3193"/>
      <c r="D285" s="3188"/>
      <c r="E285" s="3194">
        <f t="shared" si="149"/>
        <v>0</v>
      </c>
      <c r="F285" s="3195"/>
      <c r="G285" s="3196">
        <f t="shared" si="150"/>
        <v>0</v>
      </c>
      <c r="H285" s="3197">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4">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64">
        <f t="shared" si="153"/>
        <v>0</v>
      </c>
      <c r="AW285" s="464">
        <f t="shared" si="154"/>
        <v>0</v>
      </c>
      <c r="AX285" s="464">
        <f t="shared" si="155"/>
        <v>0</v>
      </c>
      <c r="AY285" s="3261">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6">
        <f t="shared" si="177"/>
        <v>0</v>
      </c>
    </row>
    <row r="286" spans="1:72">
      <c r="A286" s="3192"/>
      <c r="B286" s="3193"/>
      <c r="C286" s="3193"/>
      <c r="D286" s="3188"/>
      <c r="E286" s="3194">
        <f t="shared" si="149"/>
        <v>0</v>
      </c>
      <c r="F286" s="3195"/>
      <c r="G286" s="3196">
        <f t="shared" si="150"/>
        <v>0</v>
      </c>
      <c r="H286" s="3197">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4">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64">
        <f t="shared" si="153"/>
        <v>0</v>
      </c>
      <c r="AW286" s="464">
        <f t="shared" si="154"/>
        <v>0</v>
      </c>
      <c r="AX286" s="464">
        <f t="shared" si="155"/>
        <v>0</v>
      </c>
      <c r="AY286" s="3261">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6">
        <f t="shared" si="177"/>
        <v>0</v>
      </c>
    </row>
    <row r="287" spans="1:72">
      <c r="A287" s="3192"/>
      <c r="B287" s="3193"/>
      <c r="C287" s="3193"/>
      <c r="D287" s="3188"/>
      <c r="E287" s="3194">
        <f t="shared" si="149"/>
        <v>0</v>
      </c>
      <c r="F287" s="3195"/>
      <c r="G287" s="3196">
        <f t="shared" si="150"/>
        <v>0</v>
      </c>
      <c r="H287" s="3197">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4">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64">
        <f t="shared" si="153"/>
        <v>0</v>
      </c>
      <c r="AW287" s="464">
        <f t="shared" si="154"/>
        <v>0</v>
      </c>
      <c r="AX287" s="464">
        <f t="shared" si="155"/>
        <v>0</v>
      </c>
      <c r="AY287" s="3261">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6">
        <f t="shared" si="177"/>
        <v>0</v>
      </c>
    </row>
    <row r="288" spans="1:72">
      <c r="A288" s="3192"/>
      <c r="B288" s="3193"/>
      <c r="C288" s="3193"/>
      <c r="D288" s="3188"/>
      <c r="E288" s="3194">
        <f t="shared" si="149"/>
        <v>0</v>
      </c>
      <c r="F288" s="3195"/>
      <c r="G288" s="3196">
        <f t="shared" si="150"/>
        <v>0</v>
      </c>
      <c r="H288" s="3197">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4">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64">
        <f t="shared" si="153"/>
        <v>0</v>
      </c>
      <c r="AW288" s="464">
        <f t="shared" si="154"/>
        <v>0</v>
      </c>
      <c r="AX288" s="464">
        <f t="shared" si="155"/>
        <v>0</v>
      </c>
      <c r="AY288" s="3261">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6">
        <f t="shared" si="177"/>
        <v>0</v>
      </c>
    </row>
    <row r="289" spans="1:72">
      <c r="A289" s="3192"/>
      <c r="B289" s="3193"/>
      <c r="C289" s="3193"/>
      <c r="D289" s="3188"/>
      <c r="E289" s="3194">
        <f t="shared" si="149"/>
        <v>0</v>
      </c>
      <c r="F289" s="3195"/>
      <c r="G289" s="3196">
        <f t="shared" si="150"/>
        <v>0</v>
      </c>
      <c r="H289" s="3197">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4">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64">
        <f t="shared" si="153"/>
        <v>0</v>
      </c>
      <c r="AW289" s="464">
        <f t="shared" si="154"/>
        <v>0</v>
      </c>
      <c r="AX289" s="464">
        <f t="shared" si="155"/>
        <v>0</v>
      </c>
      <c r="AY289" s="3261">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6">
        <f t="shared" si="177"/>
        <v>0</v>
      </c>
    </row>
    <row r="290" spans="1:72">
      <c r="A290" s="3192"/>
      <c r="B290" s="3193"/>
      <c r="C290" s="3193"/>
      <c r="D290" s="3188"/>
      <c r="E290" s="3194">
        <f t="shared" si="149"/>
        <v>0</v>
      </c>
      <c r="F290" s="3195"/>
      <c r="G290" s="3196">
        <f t="shared" si="150"/>
        <v>0</v>
      </c>
      <c r="H290" s="3197">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4">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64">
        <f t="shared" si="153"/>
        <v>0</v>
      </c>
      <c r="AW290" s="464">
        <f t="shared" si="154"/>
        <v>0</v>
      </c>
      <c r="AX290" s="464">
        <f t="shared" si="155"/>
        <v>0</v>
      </c>
      <c r="AY290" s="3261">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6">
        <f t="shared" si="177"/>
        <v>0</v>
      </c>
    </row>
    <row r="291" spans="1:72">
      <c r="A291" s="3192"/>
      <c r="B291" s="3193"/>
      <c r="C291" s="3193"/>
      <c r="D291" s="3188"/>
      <c r="E291" s="3194">
        <f t="shared" si="149"/>
        <v>0</v>
      </c>
      <c r="F291" s="3195"/>
      <c r="G291" s="3196">
        <f t="shared" si="150"/>
        <v>0</v>
      </c>
      <c r="H291" s="3197">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4">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64">
        <f t="shared" si="153"/>
        <v>0</v>
      </c>
      <c r="AW291" s="464">
        <f t="shared" si="154"/>
        <v>0</v>
      </c>
      <c r="AX291" s="464">
        <f t="shared" si="155"/>
        <v>0</v>
      </c>
      <c r="AY291" s="3261">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6">
        <f t="shared" si="177"/>
        <v>0</v>
      </c>
    </row>
    <row r="292" spans="1:72">
      <c r="A292" s="3192"/>
      <c r="B292" s="3193"/>
      <c r="C292" s="3193"/>
      <c r="D292" s="3188"/>
      <c r="E292" s="3194">
        <f t="shared" si="149"/>
        <v>0</v>
      </c>
      <c r="F292" s="3195"/>
      <c r="G292" s="3196">
        <f t="shared" si="150"/>
        <v>0</v>
      </c>
      <c r="H292" s="3197">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4">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64">
        <f t="shared" si="153"/>
        <v>0</v>
      </c>
      <c r="AW292" s="464">
        <f t="shared" si="154"/>
        <v>0</v>
      </c>
      <c r="AX292" s="464">
        <f t="shared" si="155"/>
        <v>0</v>
      </c>
      <c r="AY292" s="3261">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6">
        <f t="shared" si="177"/>
        <v>0</v>
      </c>
    </row>
    <row r="293" spans="1:72">
      <c r="A293" s="3192"/>
      <c r="B293" s="3193"/>
      <c r="C293" s="3193"/>
      <c r="D293" s="3188"/>
      <c r="E293" s="3194">
        <f t="shared" si="149"/>
        <v>0</v>
      </c>
      <c r="F293" s="3195"/>
      <c r="G293" s="3196">
        <f t="shared" si="150"/>
        <v>0</v>
      </c>
      <c r="H293" s="3197">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4">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64">
        <f t="shared" si="153"/>
        <v>0</v>
      </c>
      <c r="AW293" s="464">
        <f t="shared" si="154"/>
        <v>0</v>
      </c>
      <c r="AX293" s="464">
        <f t="shared" si="155"/>
        <v>0</v>
      </c>
      <c r="AY293" s="3261">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6">
        <f t="shared" si="177"/>
        <v>0</v>
      </c>
    </row>
    <row r="294" spans="1:72">
      <c r="A294" s="3192"/>
      <c r="B294" s="3192"/>
      <c r="C294" s="3192"/>
      <c r="D294" s="3188"/>
      <c r="E294" s="3194">
        <f t="shared" si="149"/>
        <v>0</v>
      </c>
      <c r="F294" s="3267"/>
      <c r="G294" s="3196">
        <f t="shared" ref="G294:G325" si="178">H294+AC294+AT294</f>
        <v>0</v>
      </c>
      <c r="H294" s="3197">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4">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64">
        <f t="shared" si="153"/>
        <v>0</v>
      </c>
      <c r="AW294" s="464">
        <f t="shared" si="154"/>
        <v>0</v>
      </c>
      <c r="AX294" s="464">
        <f t="shared" si="155"/>
        <v>0</v>
      </c>
      <c r="AY294" s="3261">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6">
        <f t="shared" ref="BT294:BT325" si="202">IF($D294="是",AR294-AS294,0)</f>
        <v>0</v>
      </c>
    </row>
    <row r="295" spans="1:72">
      <c r="A295" s="3192"/>
      <c r="B295" s="3192"/>
      <c r="C295" s="3192"/>
      <c r="D295" s="3188"/>
      <c r="E295" s="3194">
        <f t="shared" si="149"/>
        <v>0</v>
      </c>
      <c r="F295" s="3267"/>
      <c r="G295" s="3196">
        <f t="shared" si="178"/>
        <v>0</v>
      </c>
      <c r="H295" s="3197">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4">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64">
        <f t="shared" si="153"/>
        <v>0</v>
      </c>
      <c r="AW295" s="464">
        <f t="shared" si="154"/>
        <v>0</v>
      </c>
      <c r="AX295" s="464">
        <f t="shared" si="155"/>
        <v>0</v>
      </c>
      <c r="AY295" s="3261">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6">
        <f t="shared" si="202"/>
        <v>0</v>
      </c>
    </row>
    <row r="296" spans="1:72">
      <c r="A296" s="3192"/>
      <c r="B296" s="3192"/>
      <c r="C296" s="3192"/>
      <c r="D296" s="3188"/>
      <c r="E296" s="3194">
        <f t="shared" si="149"/>
        <v>0</v>
      </c>
      <c r="F296" s="3267"/>
      <c r="G296" s="3196">
        <f t="shared" si="178"/>
        <v>0</v>
      </c>
      <c r="H296" s="3197">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4">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64">
        <f t="shared" si="153"/>
        <v>0</v>
      </c>
      <c r="AW296" s="464">
        <f t="shared" si="154"/>
        <v>0</v>
      </c>
      <c r="AX296" s="464">
        <f t="shared" si="155"/>
        <v>0</v>
      </c>
      <c r="AY296" s="3261">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6">
        <f t="shared" si="202"/>
        <v>0</v>
      </c>
    </row>
    <row r="297" spans="1:72">
      <c r="A297" s="3192"/>
      <c r="B297" s="3200"/>
      <c r="C297" s="3199"/>
      <c r="D297" s="3188"/>
      <c r="E297" s="3194">
        <f t="shared" ref="E297:E328" si="203">IF($C$3="是",ROUND($A$3*G297/$B$3,2),ROUND($A$3*(G297-AT297)/$B$3,2))</f>
        <v>0</v>
      </c>
      <c r="F297" s="3195"/>
      <c r="G297" s="3196">
        <f t="shared" si="178"/>
        <v>0</v>
      </c>
      <c r="H297" s="3197">
        <f t="shared" si="179"/>
        <v>0</v>
      </c>
      <c r="I297" s="3202"/>
      <c r="J297" s="3213"/>
      <c r="K297" s="3202"/>
      <c r="L297" s="3213"/>
      <c r="M297" s="3213"/>
      <c r="N297" s="3213"/>
      <c r="O297" s="3213"/>
      <c r="P297" s="3213"/>
      <c r="Q297" s="3213"/>
      <c r="R297" s="3213"/>
      <c r="S297" s="3213"/>
      <c r="T297" s="3213"/>
      <c r="U297" s="3213"/>
      <c r="V297" s="3213"/>
      <c r="W297" s="3213"/>
      <c r="X297" s="3213"/>
      <c r="Y297" s="3213"/>
      <c r="Z297" s="3213"/>
      <c r="AA297" s="3213"/>
      <c r="AB297" s="3213"/>
      <c r="AC297" s="3194">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64">
        <f t="shared" ref="AV297:AV328" si="204">A297</f>
        <v>0</v>
      </c>
      <c r="AW297" s="464">
        <f t="shared" ref="AW297:AW328" si="205">B297</f>
        <v>0</v>
      </c>
      <c r="AX297" s="464">
        <f t="shared" ref="AX297:AX328" si="206">C297</f>
        <v>0</v>
      </c>
      <c r="AY297" s="3261">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6">
        <f t="shared" si="202"/>
        <v>0</v>
      </c>
    </row>
    <row r="298" spans="1:72">
      <c r="A298" s="3192"/>
      <c r="B298" s="3200"/>
      <c r="C298" s="3199"/>
      <c r="D298" s="3188"/>
      <c r="E298" s="3194">
        <f t="shared" si="203"/>
        <v>0</v>
      </c>
      <c r="F298" s="3195"/>
      <c r="G298" s="3196">
        <f t="shared" si="178"/>
        <v>0</v>
      </c>
      <c r="H298" s="3197">
        <f t="shared" si="179"/>
        <v>0</v>
      </c>
      <c r="I298" s="3202"/>
      <c r="J298" s="3213"/>
      <c r="K298" s="3202"/>
      <c r="L298" s="3213"/>
      <c r="M298" s="3214"/>
      <c r="N298" s="3213"/>
      <c r="O298" s="3213"/>
      <c r="P298" s="3213"/>
      <c r="Q298" s="3213"/>
      <c r="R298" s="3213"/>
      <c r="S298" s="3213"/>
      <c r="T298" s="3213"/>
      <c r="U298" s="3213"/>
      <c r="V298" s="3213"/>
      <c r="W298" s="3213"/>
      <c r="X298" s="3213"/>
      <c r="Y298" s="3213"/>
      <c r="Z298" s="3213"/>
      <c r="AA298" s="3213"/>
      <c r="AB298" s="3213"/>
      <c r="AC298" s="3194">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64">
        <f t="shared" si="204"/>
        <v>0</v>
      </c>
      <c r="AW298" s="464">
        <f t="shared" si="205"/>
        <v>0</v>
      </c>
      <c r="AX298" s="464">
        <f t="shared" si="206"/>
        <v>0</v>
      </c>
      <c r="AY298" s="3261">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6">
        <f t="shared" si="202"/>
        <v>0</v>
      </c>
    </row>
    <row r="299" spans="1:72">
      <c r="A299" s="3192"/>
      <c r="B299" s="3200"/>
      <c r="C299" s="3199"/>
      <c r="D299" s="3188"/>
      <c r="E299" s="3194">
        <f t="shared" si="203"/>
        <v>0</v>
      </c>
      <c r="F299" s="3195"/>
      <c r="G299" s="3196">
        <f t="shared" si="178"/>
        <v>0</v>
      </c>
      <c r="H299" s="3197">
        <f t="shared" si="179"/>
        <v>0</v>
      </c>
      <c r="I299" s="3202"/>
      <c r="J299" s="3213"/>
      <c r="K299" s="3202"/>
      <c r="L299" s="3213"/>
      <c r="M299" s="3214"/>
      <c r="N299" s="3213"/>
      <c r="O299" s="3213"/>
      <c r="P299" s="3213"/>
      <c r="Q299" s="3213"/>
      <c r="R299" s="3213"/>
      <c r="S299" s="3213"/>
      <c r="T299" s="3213"/>
      <c r="U299" s="3213"/>
      <c r="V299" s="3213"/>
      <c r="W299" s="3213"/>
      <c r="X299" s="3213"/>
      <c r="Y299" s="3213"/>
      <c r="Z299" s="3213"/>
      <c r="AA299" s="3213"/>
      <c r="AB299" s="3213"/>
      <c r="AC299" s="3194">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64">
        <f t="shared" si="204"/>
        <v>0</v>
      </c>
      <c r="AW299" s="464">
        <f t="shared" si="205"/>
        <v>0</v>
      </c>
      <c r="AX299" s="464">
        <f t="shared" si="206"/>
        <v>0</v>
      </c>
      <c r="AY299" s="3261">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6">
        <f t="shared" si="202"/>
        <v>0</v>
      </c>
    </row>
    <row r="300" spans="1:72">
      <c r="A300" s="3192"/>
      <c r="B300" s="3200"/>
      <c r="C300" s="3199"/>
      <c r="D300" s="3188"/>
      <c r="E300" s="3194">
        <f t="shared" si="203"/>
        <v>0</v>
      </c>
      <c r="F300" s="3195"/>
      <c r="G300" s="3196">
        <f t="shared" si="178"/>
        <v>0</v>
      </c>
      <c r="H300" s="3197">
        <f t="shared" si="179"/>
        <v>0</v>
      </c>
      <c r="I300" s="3202"/>
      <c r="J300" s="3213"/>
      <c r="K300" s="3202"/>
      <c r="L300" s="3213"/>
      <c r="M300" s="3213"/>
      <c r="N300" s="3213"/>
      <c r="O300" s="3214"/>
      <c r="P300" s="3213"/>
      <c r="Q300" s="3213"/>
      <c r="R300" s="3213"/>
      <c r="S300" s="3213"/>
      <c r="T300" s="3213"/>
      <c r="U300" s="3213"/>
      <c r="V300" s="3213"/>
      <c r="W300" s="3213"/>
      <c r="X300" s="3213"/>
      <c r="Y300" s="3213"/>
      <c r="Z300" s="3213"/>
      <c r="AA300" s="3213"/>
      <c r="AB300" s="3213"/>
      <c r="AC300" s="3194">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64">
        <f t="shared" si="204"/>
        <v>0</v>
      </c>
      <c r="AW300" s="464">
        <f t="shared" si="205"/>
        <v>0</v>
      </c>
      <c r="AX300" s="464">
        <f t="shared" si="206"/>
        <v>0</v>
      </c>
      <c r="AY300" s="3261">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6">
        <f t="shared" si="202"/>
        <v>0</v>
      </c>
    </row>
    <row r="301" spans="1:72">
      <c r="A301" s="3192"/>
      <c r="B301" s="3200"/>
      <c r="C301" s="3199"/>
      <c r="D301" s="3188"/>
      <c r="E301" s="3194">
        <f t="shared" si="203"/>
        <v>0</v>
      </c>
      <c r="F301" s="3195"/>
      <c r="G301" s="3196">
        <f t="shared" si="178"/>
        <v>0</v>
      </c>
      <c r="H301" s="3197">
        <f t="shared" si="179"/>
        <v>0</v>
      </c>
      <c r="I301" s="3202"/>
      <c r="J301" s="3213"/>
      <c r="K301" s="3202"/>
      <c r="L301" s="3213"/>
      <c r="M301" s="3213"/>
      <c r="N301" s="3213"/>
      <c r="O301" s="3213"/>
      <c r="P301" s="3213"/>
      <c r="Q301" s="3213"/>
      <c r="R301" s="3213"/>
      <c r="S301" s="3213"/>
      <c r="T301" s="3213"/>
      <c r="U301" s="3213"/>
      <c r="V301" s="3213"/>
      <c r="W301" s="3213"/>
      <c r="X301" s="3213"/>
      <c r="Y301" s="3213"/>
      <c r="Z301" s="3213"/>
      <c r="AA301" s="3213"/>
      <c r="AB301" s="3213"/>
      <c r="AC301" s="3194">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64">
        <f t="shared" si="204"/>
        <v>0</v>
      </c>
      <c r="AW301" s="464">
        <f t="shared" si="205"/>
        <v>0</v>
      </c>
      <c r="AX301" s="464">
        <f t="shared" si="206"/>
        <v>0</v>
      </c>
      <c r="AY301" s="3261">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6">
        <f t="shared" si="202"/>
        <v>0</v>
      </c>
    </row>
    <row r="302" spans="1:72">
      <c r="A302" s="3192"/>
      <c r="B302" s="3200"/>
      <c r="C302" s="3199"/>
      <c r="D302" s="3188"/>
      <c r="E302" s="3194">
        <f t="shared" si="203"/>
        <v>0</v>
      </c>
      <c r="F302" s="3195"/>
      <c r="G302" s="3196">
        <f t="shared" si="178"/>
        <v>0</v>
      </c>
      <c r="H302" s="3197">
        <f t="shared" si="179"/>
        <v>0</v>
      </c>
      <c r="I302" s="3202"/>
      <c r="J302" s="3213"/>
      <c r="K302" s="3202"/>
      <c r="L302" s="3213"/>
      <c r="M302" s="3213"/>
      <c r="N302" s="3213"/>
      <c r="O302" s="3213"/>
      <c r="P302" s="3213"/>
      <c r="Q302" s="3213"/>
      <c r="R302" s="3213"/>
      <c r="S302" s="3213"/>
      <c r="T302" s="3213"/>
      <c r="U302" s="3213"/>
      <c r="V302" s="3213"/>
      <c r="W302" s="3213"/>
      <c r="X302" s="3213"/>
      <c r="Y302" s="3213"/>
      <c r="Z302" s="3213"/>
      <c r="AA302" s="3213"/>
      <c r="AB302" s="3213"/>
      <c r="AC302" s="3194">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64">
        <f t="shared" si="204"/>
        <v>0</v>
      </c>
      <c r="AW302" s="464">
        <f t="shared" si="205"/>
        <v>0</v>
      </c>
      <c r="AX302" s="464">
        <f t="shared" si="206"/>
        <v>0</v>
      </c>
      <c r="AY302" s="3261">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6">
        <f t="shared" si="202"/>
        <v>0</v>
      </c>
    </row>
    <row r="303" spans="1:72">
      <c r="A303" s="3192"/>
      <c r="B303" s="3200"/>
      <c r="C303" s="3199"/>
      <c r="D303" s="3188"/>
      <c r="E303" s="3194">
        <f t="shared" si="203"/>
        <v>0</v>
      </c>
      <c r="F303" s="3195"/>
      <c r="G303" s="3196">
        <f t="shared" si="178"/>
        <v>0</v>
      </c>
      <c r="H303" s="3197">
        <f t="shared" si="179"/>
        <v>0</v>
      </c>
      <c r="I303" s="3202"/>
      <c r="J303" s="3213"/>
      <c r="K303" s="3202"/>
      <c r="L303" s="3213"/>
      <c r="M303" s="3213"/>
      <c r="N303" s="3213"/>
      <c r="O303" s="3213"/>
      <c r="P303" s="3213"/>
      <c r="Q303" s="3213"/>
      <c r="R303" s="3213"/>
      <c r="S303" s="3213"/>
      <c r="T303" s="3213"/>
      <c r="U303" s="3213"/>
      <c r="V303" s="3213"/>
      <c r="W303" s="3213"/>
      <c r="X303" s="3213"/>
      <c r="Y303" s="3213"/>
      <c r="Z303" s="3213"/>
      <c r="AA303" s="3213"/>
      <c r="AB303" s="3213"/>
      <c r="AC303" s="3194">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64">
        <f t="shared" si="204"/>
        <v>0</v>
      </c>
      <c r="AW303" s="464">
        <f t="shared" si="205"/>
        <v>0</v>
      </c>
      <c r="AX303" s="464">
        <f t="shared" si="206"/>
        <v>0</v>
      </c>
      <c r="AY303" s="3261">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6">
        <f t="shared" si="202"/>
        <v>0</v>
      </c>
    </row>
    <row r="304" spans="1:72">
      <c r="A304" s="3192"/>
      <c r="B304" s="3200"/>
      <c r="C304" s="3199"/>
      <c r="D304" s="3188"/>
      <c r="E304" s="3194">
        <f t="shared" si="203"/>
        <v>0</v>
      </c>
      <c r="F304" s="3195"/>
      <c r="G304" s="3196">
        <f t="shared" si="178"/>
        <v>0</v>
      </c>
      <c r="H304" s="3197">
        <f t="shared" si="179"/>
        <v>0</v>
      </c>
      <c r="I304" s="3202"/>
      <c r="J304" s="3213"/>
      <c r="K304" s="3202"/>
      <c r="L304" s="3213"/>
      <c r="M304" s="3213"/>
      <c r="N304" s="3213"/>
      <c r="O304" s="3213"/>
      <c r="P304" s="3213"/>
      <c r="Q304" s="3213"/>
      <c r="R304" s="3213"/>
      <c r="S304" s="3213"/>
      <c r="T304" s="3213"/>
      <c r="U304" s="3213"/>
      <c r="V304" s="3213"/>
      <c r="W304" s="3213"/>
      <c r="X304" s="3213"/>
      <c r="Y304" s="3213"/>
      <c r="Z304" s="3213"/>
      <c r="AA304" s="3213"/>
      <c r="AB304" s="3213"/>
      <c r="AC304" s="3194">
        <f t="shared" si="180"/>
        <v>0</v>
      </c>
      <c r="AD304" s="3224"/>
      <c r="AE304" s="3224"/>
      <c r="AF304" s="3202"/>
      <c r="AG304" s="3224"/>
      <c r="AH304" s="3224"/>
      <c r="AI304" s="3224"/>
      <c r="AJ304" s="3224"/>
      <c r="AK304" s="3224"/>
      <c r="AL304" s="3224"/>
      <c r="AM304" s="3224"/>
      <c r="AN304" s="3224"/>
      <c r="AO304" s="3224"/>
      <c r="AP304" s="3224"/>
      <c r="AQ304" s="3224"/>
      <c r="AR304" s="3224"/>
      <c r="AS304" s="3224"/>
      <c r="AT304" s="3244"/>
      <c r="AU304" s="3245"/>
      <c r="AV304" s="464">
        <f t="shared" si="204"/>
        <v>0</v>
      </c>
      <c r="AW304" s="464">
        <f t="shared" si="205"/>
        <v>0</v>
      </c>
      <c r="AX304" s="464">
        <f t="shared" si="206"/>
        <v>0</v>
      </c>
      <c r="AY304" s="3261">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6">
        <f t="shared" si="202"/>
        <v>0</v>
      </c>
    </row>
    <row r="305" spans="1:72">
      <c r="A305" s="3192"/>
      <c r="B305" s="3201"/>
      <c r="C305" s="3202"/>
      <c r="D305" s="3188"/>
      <c r="E305" s="3194">
        <f t="shared" si="203"/>
        <v>0</v>
      </c>
      <c r="F305" s="3195"/>
      <c r="G305" s="3196">
        <f t="shared" si="178"/>
        <v>0</v>
      </c>
      <c r="H305" s="3197">
        <f t="shared" si="179"/>
        <v>0</v>
      </c>
      <c r="I305" s="3202"/>
      <c r="J305" s="3213"/>
      <c r="K305" s="3202"/>
      <c r="L305" s="3213"/>
      <c r="M305" s="3213"/>
      <c r="N305" s="3213"/>
      <c r="O305" s="3213"/>
      <c r="P305" s="3213"/>
      <c r="Q305" s="3213"/>
      <c r="R305" s="3213"/>
      <c r="S305" s="3213"/>
      <c r="T305" s="3213"/>
      <c r="U305" s="3213"/>
      <c r="V305" s="3213"/>
      <c r="W305" s="3213"/>
      <c r="X305" s="3213"/>
      <c r="Y305" s="3213"/>
      <c r="Z305" s="3213"/>
      <c r="AA305" s="3213"/>
      <c r="AB305" s="3213"/>
      <c r="AC305" s="3194">
        <f t="shared" si="180"/>
        <v>0</v>
      </c>
      <c r="AD305" s="3224"/>
      <c r="AE305" s="3224"/>
      <c r="AF305" s="3202"/>
      <c r="AG305" s="3224"/>
      <c r="AH305" s="3224"/>
      <c r="AI305" s="3224"/>
      <c r="AJ305" s="3224"/>
      <c r="AK305" s="3224"/>
      <c r="AL305" s="3224"/>
      <c r="AM305" s="3224"/>
      <c r="AN305" s="3224"/>
      <c r="AO305" s="3224"/>
      <c r="AP305" s="3224"/>
      <c r="AQ305" s="3224"/>
      <c r="AR305" s="3224"/>
      <c r="AS305" s="3224"/>
      <c r="AT305" s="3244"/>
      <c r="AU305" s="3245"/>
      <c r="AV305" s="464">
        <f t="shared" si="204"/>
        <v>0</v>
      </c>
      <c r="AW305" s="464">
        <f t="shared" si="205"/>
        <v>0</v>
      </c>
      <c r="AX305" s="464">
        <f t="shared" si="206"/>
        <v>0</v>
      </c>
      <c r="AY305" s="3261">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6">
        <f t="shared" si="202"/>
        <v>0</v>
      </c>
    </row>
    <row r="306" spans="1:72">
      <c r="A306" s="3192"/>
      <c r="B306" s="3200"/>
      <c r="C306" s="3199"/>
      <c r="D306" s="3188"/>
      <c r="E306" s="3194">
        <f t="shared" si="203"/>
        <v>0</v>
      </c>
      <c r="F306" s="3195"/>
      <c r="G306" s="3196">
        <f t="shared" si="178"/>
        <v>0</v>
      </c>
      <c r="H306" s="3197">
        <f t="shared" si="179"/>
        <v>0</v>
      </c>
      <c r="I306" s="3202"/>
      <c r="J306" s="3213"/>
      <c r="K306" s="3202"/>
      <c r="L306" s="3213"/>
      <c r="M306" s="3213"/>
      <c r="N306" s="3213"/>
      <c r="O306" s="3213"/>
      <c r="P306" s="3213"/>
      <c r="Q306" s="3213"/>
      <c r="R306" s="3213"/>
      <c r="S306" s="3213"/>
      <c r="T306" s="3213"/>
      <c r="U306" s="3213"/>
      <c r="V306" s="3213"/>
      <c r="W306" s="3213"/>
      <c r="X306" s="3213"/>
      <c r="Y306" s="3213"/>
      <c r="Z306" s="3213"/>
      <c r="AA306" s="3213"/>
      <c r="AB306" s="3213"/>
      <c r="AC306" s="3194">
        <f t="shared" si="180"/>
        <v>0</v>
      </c>
      <c r="AD306" s="3224"/>
      <c r="AE306" s="3224"/>
      <c r="AF306" s="3202"/>
      <c r="AG306" s="3224"/>
      <c r="AH306" s="3224"/>
      <c r="AI306" s="3224"/>
      <c r="AJ306" s="3224"/>
      <c r="AK306" s="3224"/>
      <c r="AL306" s="3224"/>
      <c r="AM306" s="3224"/>
      <c r="AN306" s="3224"/>
      <c r="AO306" s="3224"/>
      <c r="AP306" s="3224"/>
      <c r="AQ306" s="3224"/>
      <c r="AR306" s="3224"/>
      <c r="AS306" s="3224"/>
      <c r="AT306" s="3244"/>
      <c r="AU306" s="3245"/>
      <c r="AV306" s="464">
        <f t="shared" si="204"/>
        <v>0</v>
      </c>
      <c r="AW306" s="464">
        <f t="shared" si="205"/>
        <v>0</v>
      </c>
      <c r="AX306" s="464">
        <f t="shared" si="206"/>
        <v>0</v>
      </c>
      <c r="AY306" s="3261">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6">
        <f t="shared" si="202"/>
        <v>0</v>
      </c>
    </row>
    <row r="307" spans="1:72">
      <c r="A307" s="3192"/>
      <c r="B307" s="3200"/>
      <c r="C307" s="3199"/>
      <c r="D307" s="3188"/>
      <c r="E307" s="3194">
        <f t="shared" si="203"/>
        <v>0</v>
      </c>
      <c r="F307" s="3195"/>
      <c r="G307" s="3196">
        <f t="shared" si="178"/>
        <v>0</v>
      </c>
      <c r="H307" s="3197">
        <f t="shared" si="179"/>
        <v>0</v>
      </c>
      <c r="I307" s="3202"/>
      <c r="J307" s="3213"/>
      <c r="K307" s="3202"/>
      <c r="L307" s="3213"/>
      <c r="M307" s="3213"/>
      <c r="N307" s="3213"/>
      <c r="O307" s="3213"/>
      <c r="P307" s="3213"/>
      <c r="Q307" s="3213"/>
      <c r="R307" s="3213"/>
      <c r="S307" s="3213"/>
      <c r="T307" s="3213"/>
      <c r="U307" s="3213"/>
      <c r="V307" s="3213"/>
      <c r="W307" s="3213"/>
      <c r="X307" s="3213"/>
      <c r="Y307" s="3213"/>
      <c r="Z307" s="3213"/>
      <c r="AA307" s="3213"/>
      <c r="AB307" s="3213"/>
      <c r="AC307" s="3194">
        <f t="shared" si="180"/>
        <v>0</v>
      </c>
      <c r="AD307" s="3224"/>
      <c r="AE307" s="3224"/>
      <c r="AF307" s="3202"/>
      <c r="AG307" s="3224"/>
      <c r="AH307" s="3224"/>
      <c r="AI307" s="3224"/>
      <c r="AJ307" s="3224"/>
      <c r="AK307" s="3224"/>
      <c r="AL307" s="3224"/>
      <c r="AM307" s="3224"/>
      <c r="AN307" s="3224"/>
      <c r="AO307" s="3224"/>
      <c r="AP307" s="3224"/>
      <c r="AQ307" s="3224"/>
      <c r="AR307" s="3224"/>
      <c r="AS307" s="3224"/>
      <c r="AT307" s="3244"/>
      <c r="AU307" s="3245"/>
      <c r="AV307" s="464">
        <f t="shared" si="204"/>
        <v>0</v>
      </c>
      <c r="AW307" s="464">
        <f t="shared" si="205"/>
        <v>0</v>
      </c>
      <c r="AX307" s="464">
        <f t="shared" si="206"/>
        <v>0</v>
      </c>
      <c r="AY307" s="3261">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6">
        <f t="shared" si="202"/>
        <v>0</v>
      </c>
    </row>
    <row r="308" spans="1:72">
      <c r="A308" s="3192"/>
      <c r="B308" s="3200"/>
      <c r="C308" s="3199"/>
      <c r="D308" s="3188"/>
      <c r="E308" s="3194">
        <f t="shared" si="203"/>
        <v>0</v>
      </c>
      <c r="F308" s="3195"/>
      <c r="G308" s="3196">
        <f t="shared" si="178"/>
        <v>0</v>
      </c>
      <c r="H308" s="3197">
        <f t="shared" si="179"/>
        <v>0</v>
      </c>
      <c r="I308" s="3202"/>
      <c r="J308" s="3213"/>
      <c r="K308" s="3202"/>
      <c r="L308" s="3213"/>
      <c r="M308" s="3213"/>
      <c r="N308" s="3213"/>
      <c r="O308" s="3213"/>
      <c r="P308" s="3213"/>
      <c r="Q308" s="3213"/>
      <c r="R308" s="3213"/>
      <c r="S308" s="3213"/>
      <c r="T308" s="3213"/>
      <c r="U308" s="3213"/>
      <c r="V308" s="3213"/>
      <c r="W308" s="3213"/>
      <c r="X308" s="3213"/>
      <c r="Y308" s="3213"/>
      <c r="Z308" s="3213"/>
      <c r="AA308" s="3213"/>
      <c r="AB308" s="3213"/>
      <c r="AC308" s="3194">
        <f t="shared" si="180"/>
        <v>0</v>
      </c>
      <c r="AD308" s="3224"/>
      <c r="AE308" s="3224"/>
      <c r="AF308" s="3202"/>
      <c r="AG308" s="3224"/>
      <c r="AH308" s="3224"/>
      <c r="AI308" s="3224"/>
      <c r="AJ308" s="3224"/>
      <c r="AK308" s="3224"/>
      <c r="AL308" s="3224"/>
      <c r="AM308" s="3224"/>
      <c r="AN308" s="3224"/>
      <c r="AO308" s="3224"/>
      <c r="AP308" s="3224"/>
      <c r="AQ308" s="3224"/>
      <c r="AR308" s="3224"/>
      <c r="AS308" s="3224"/>
      <c r="AT308" s="3244"/>
      <c r="AU308" s="3245"/>
      <c r="AV308" s="464">
        <f t="shared" si="204"/>
        <v>0</v>
      </c>
      <c r="AW308" s="464">
        <f t="shared" si="205"/>
        <v>0</v>
      </c>
      <c r="AX308" s="464">
        <f t="shared" si="206"/>
        <v>0</v>
      </c>
      <c r="AY308" s="3261">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6">
        <f t="shared" si="202"/>
        <v>0</v>
      </c>
    </row>
    <row r="309" spans="1:72">
      <c r="A309" s="3192"/>
      <c r="B309" s="3200"/>
      <c r="C309" s="3199"/>
      <c r="D309" s="3188"/>
      <c r="E309" s="3194">
        <f t="shared" si="203"/>
        <v>0</v>
      </c>
      <c r="F309" s="3195"/>
      <c r="G309" s="3196">
        <f t="shared" si="178"/>
        <v>0</v>
      </c>
      <c r="H309" s="3197">
        <f t="shared" si="179"/>
        <v>0</v>
      </c>
      <c r="I309" s="3202"/>
      <c r="J309" s="3213"/>
      <c r="K309" s="3202"/>
      <c r="L309" s="3213"/>
      <c r="M309" s="3213"/>
      <c r="N309" s="3213"/>
      <c r="O309" s="3213"/>
      <c r="P309" s="3213"/>
      <c r="Q309" s="3213"/>
      <c r="R309" s="3213"/>
      <c r="S309" s="3213"/>
      <c r="T309" s="3213"/>
      <c r="U309" s="3213"/>
      <c r="V309" s="3213"/>
      <c r="W309" s="3213"/>
      <c r="X309" s="3213"/>
      <c r="Y309" s="3213"/>
      <c r="Z309" s="3213"/>
      <c r="AA309" s="3213"/>
      <c r="AB309" s="3213"/>
      <c r="AC309" s="3194">
        <f t="shared" si="180"/>
        <v>0</v>
      </c>
      <c r="AD309" s="3224"/>
      <c r="AE309" s="3224"/>
      <c r="AF309" s="3202"/>
      <c r="AG309" s="3224"/>
      <c r="AH309" s="3224"/>
      <c r="AI309" s="3224"/>
      <c r="AJ309" s="3224"/>
      <c r="AK309" s="3224"/>
      <c r="AL309" s="3224"/>
      <c r="AM309" s="3224"/>
      <c r="AN309" s="3224"/>
      <c r="AO309" s="3224"/>
      <c r="AP309" s="3224"/>
      <c r="AQ309" s="3224"/>
      <c r="AR309" s="3224"/>
      <c r="AS309" s="3224"/>
      <c r="AT309" s="3244"/>
      <c r="AU309" s="3245"/>
      <c r="AV309" s="464">
        <f t="shared" si="204"/>
        <v>0</v>
      </c>
      <c r="AW309" s="464">
        <f t="shared" si="205"/>
        <v>0</v>
      </c>
      <c r="AX309" s="464">
        <f t="shared" si="206"/>
        <v>0</v>
      </c>
      <c r="AY309" s="3261">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6">
        <f t="shared" si="202"/>
        <v>0</v>
      </c>
    </row>
    <row r="310" spans="1:72">
      <c r="A310" s="3192"/>
      <c r="B310" s="3200"/>
      <c r="C310" s="3199"/>
      <c r="D310" s="3188"/>
      <c r="E310" s="3194">
        <f t="shared" si="203"/>
        <v>0</v>
      </c>
      <c r="F310" s="3195"/>
      <c r="G310" s="3196">
        <f t="shared" si="178"/>
        <v>0</v>
      </c>
      <c r="H310" s="3197">
        <f t="shared" si="179"/>
        <v>0</v>
      </c>
      <c r="I310" s="3202"/>
      <c r="J310" s="3213"/>
      <c r="K310" s="3202"/>
      <c r="L310" s="3213"/>
      <c r="M310" s="3213"/>
      <c r="N310" s="3213"/>
      <c r="O310" s="3213"/>
      <c r="P310" s="3213"/>
      <c r="Q310" s="3213"/>
      <c r="R310" s="3213"/>
      <c r="S310" s="3213"/>
      <c r="T310" s="3213"/>
      <c r="U310" s="3213"/>
      <c r="V310" s="3213"/>
      <c r="W310" s="3213"/>
      <c r="X310" s="3213"/>
      <c r="Y310" s="3213"/>
      <c r="Z310" s="3213"/>
      <c r="AA310" s="3213"/>
      <c r="AB310" s="3213"/>
      <c r="AC310" s="3194">
        <f t="shared" si="180"/>
        <v>0</v>
      </c>
      <c r="AD310" s="3224"/>
      <c r="AE310" s="3224"/>
      <c r="AF310" s="3202"/>
      <c r="AG310" s="3224"/>
      <c r="AH310" s="3224"/>
      <c r="AI310" s="3224"/>
      <c r="AJ310" s="3224"/>
      <c r="AK310" s="3224"/>
      <c r="AL310" s="3224"/>
      <c r="AM310" s="3224"/>
      <c r="AN310" s="3224"/>
      <c r="AO310" s="3224"/>
      <c r="AP310" s="3224"/>
      <c r="AQ310" s="3224"/>
      <c r="AR310" s="3224"/>
      <c r="AS310" s="3224"/>
      <c r="AT310" s="3244"/>
      <c r="AU310" s="3245"/>
      <c r="AV310" s="464">
        <f t="shared" si="204"/>
        <v>0</v>
      </c>
      <c r="AW310" s="464">
        <f t="shared" si="205"/>
        <v>0</v>
      </c>
      <c r="AX310" s="464">
        <f t="shared" si="206"/>
        <v>0</v>
      </c>
      <c r="AY310" s="3261">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6">
        <f t="shared" si="202"/>
        <v>0</v>
      </c>
    </row>
    <row r="311" spans="1:72">
      <c r="A311" s="3192"/>
      <c r="B311" s="3200"/>
      <c r="C311" s="3199"/>
      <c r="D311" s="3188"/>
      <c r="E311" s="3194">
        <f t="shared" si="203"/>
        <v>0</v>
      </c>
      <c r="F311" s="3195"/>
      <c r="G311" s="3196">
        <f t="shared" si="178"/>
        <v>0</v>
      </c>
      <c r="H311" s="3197">
        <f t="shared" si="179"/>
        <v>0</v>
      </c>
      <c r="I311" s="3202"/>
      <c r="J311" s="3213"/>
      <c r="K311" s="3202"/>
      <c r="L311" s="3213"/>
      <c r="M311" s="3213"/>
      <c r="N311" s="3213"/>
      <c r="O311" s="3213"/>
      <c r="P311" s="3213"/>
      <c r="Q311" s="3213"/>
      <c r="R311" s="3213"/>
      <c r="S311" s="3213"/>
      <c r="T311" s="3213"/>
      <c r="U311" s="3213"/>
      <c r="V311" s="3213"/>
      <c r="W311" s="3213"/>
      <c r="X311" s="3213"/>
      <c r="Y311" s="3213"/>
      <c r="Z311" s="3213"/>
      <c r="AA311" s="3213"/>
      <c r="AB311" s="3213"/>
      <c r="AC311" s="3194">
        <f t="shared" si="180"/>
        <v>0</v>
      </c>
      <c r="AD311" s="3224"/>
      <c r="AE311" s="3224"/>
      <c r="AF311" s="3202"/>
      <c r="AG311" s="3224"/>
      <c r="AH311" s="3224"/>
      <c r="AI311" s="3224"/>
      <c r="AJ311" s="3224"/>
      <c r="AK311" s="3224"/>
      <c r="AL311" s="3224"/>
      <c r="AM311" s="3224"/>
      <c r="AN311" s="3224"/>
      <c r="AO311" s="3224"/>
      <c r="AP311" s="3224"/>
      <c r="AQ311" s="3224"/>
      <c r="AR311" s="3224"/>
      <c r="AS311" s="3224"/>
      <c r="AT311" s="3244"/>
      <c r="AU311" s="3245"/>
      <c r="AV311" s="464">
        <f t="shared" si="204"/>
        <v>0</v>
      </c>
      <c r="AW311" s="464">
        <f t="shared" si="205"/>
        <v>0</v>
      </c>
      <c r="AX311" s="464">
        <f t="shared" si="206"/>
        <v>0</v>
      </c>
      <c r="AY311" s="3261">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6">
        <f t="shared" si="202"/>
        <v>0</v>
      </c>
    </row>
    <row r="312" spans="1:72">
      <c r="A312" s="3192"/>
      <c r="B312" s="3200"/>
      <c r="C312" s="3199"/>
      <c r="D312" s="3188"/>
      <c r="E312" s="3194">
        <f t="shared" si="203"/>
        <v>0</v>
      </c>
      <c r="F312" s="3195"/>
      <c r="G312" s="3196">
        <f t="shared" si="178"/>
        <v>0</v>
      </c>
      <c r="H312" s="3197">
        <f t="shared" si="179"/>
        <v>0</v>
      </c>
      <c r="I312" s="3202"/>
      <c r="J312" s="3213"/>
      <c r="K312" s="3202"/>
      <c r="L312" s="3213"/>
      <c r="M312" s="3213"/>
      <c r="N312" s="3213"/>
      <c r="O312" s="3213"/>
      <c r="P312" s="3213"/>
      <c r="Q312" s="3213"/>
      <c r="R312" s="3213"/>
      <c r="S312" s="3213"/>
      <c r="T312" s="3213"/>
      <c r="U312" s="3213"/>
      <c r="V312" s="3213"/>
      <c r="W312" s="3213"/>
      <c r="X312" s="3213"/>
      <c r="Y312" s="3213"/>
      <c r="Z312" s="3213"/>
      <c r="AA312" s="3213"/>
      <c r="AB312" s="3213"/>
      <c r="AC312" s="3194">
        <f t="shared" si="180"/>
        <v>0</v>
      </c>
      <c r="AD312" s="3224"/>
      <c r="AE312" s="3224"/>
      <c r="AF312" s="3202"/>
      <c r="AG312" s="3224"/>
      <c r="AH312" s="3224"/>
      <c r="AI312" s="3224"/>
      <c r="AJ312" s="3224"/>
      <c r="AK312" s="3224"/>
      <c r="AL312" s="3224"/>
      <c r="AM312" s="3224"/>
      <c r="AN312" s="3224"/>
      <c r="AO312" s="3224"/>
      <c r="AP312" s="3224"/>
      <c r="AQ312" s="3224"/>
      <c r="AR312" s="3224"/>
      <c r="AS312" s="3224"/>
      <c r="AT312" s="3244"/>
      <c r="AU312" s="3245"/>
      <c r="AV312" s="464">
        <f t="shared" si="204"/>
        <v>0</v>
      </c>
      <c r="AW312" s="464">
        <f t="shared" si="205"/>
        <v>0</v>
      </c>
      <c r="AX312" s="464">
        <f t="shared" si="206"/>
        <v>0</v>
      </c>
      <c r="AY312" s="3261">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6">
        <f t="shared" si="202"/>
        <v>0</v>
      </c>
    </row>
    <row r="313" spans="1:72">
      <c r="A313" s="3192"/>
      <c r="B313" s="3200"/>
      <c r="C313" s="3199"/>
      <c r="D313" s="3188"/>
      <c r="E313" s="3194">
        <f t="shared" si="203"/>
        <v>0</v>
      </c>
      <c r="F313" s="3195"/>
      <c r="G313" s="3196">
        <f t="shared" si="178"/>
        <v>0</v>
      </c>
      <c r="H313" s="3197">
        <f t="shared" si="179"/>
        <v>0</v>
      </c>
      <c r="I313" s="3202"/>
      <c r="J313" s="3213"/>
      <c r="K313" s="3202"/>
      <c r="L313" s="3213"/>
      <c r="M313" s="3213"/>
      <c r="N313" s="3213"/>
      <c r="O313" s="3213"/>
      <c r="P313" s="3213"/>
      <c r="Q313" s="3213"/>
      <c r="R313" s="3213"/>
      <c r="S313" s="3213"/>
      <c r="T313" s="3213"/>
      <c r="U313" s="3213"/>
      <c r="V313" s="3213"/>
      <c r="W313" s="3213"/>
      <c r="X313" s="3213"/>
      <c r="Y313" s="3213"/>
      <c r="Z313" s="3213"/>
      <c r="AA313" s="3213"/>
      <c r="AB313" s="3213"/>
      <c r="AC313" s="3194">
        <f t="shared" si="180"/>
        <v>0</v>
      </c>
      <c r="AD313" s="3224"/>
      <c r="AE313" s="3224"/>
      <c r="AF313" s="3202"/>
      <c r="AG313" s="3224"/>
      <c r="AH313" s="3224"/>
      <c r="AI313" s="3224"/>
      <c r="AJ313" s="3224"/>
      <c r="AK313" s="3224"/>
      <c r="AL313" s="3224"/>
      <c r="AM313" s="3224"/>
      <c r="AN313" s="3224"/>
      <c r="AO313" s="3224"/>
      <c r="AP313" s="3224"/>
      <c r="AQ313" s="3224"/>
      <c r="AR313" s="3224"/>
      <c r="AS313" s="3224"/>
      <c r="AT313" s="3244"/>
      <c r="AU313" s="3245"/>
      <c r="AV313" s="464">
        <f t="shared" si="204"/>
        <v>0</v>
      </c>
      <c r="AW313" s="464">
        <f t="shared" si="205"/>
        <v>0</v>
      </c>
      <c r="AX313" s="464">
        <f t="shared" si="206"/>
        <v>0</v>
      </c>
      <c r="AY313" s="3261">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6">
        <f t="shared" si="202"/>
        <v>0</v>
      </c>
    </row>
    <row r="314" spans="1:72">
      <c r="A314" s="3192"/>
      <c r="B314" s="3200"/>
      <c r="C314" s="3199"/>
      <c r="D314" s="3188"/>
      <c r="E314" s="3194">
        <f t="shared" si="203"/>
        <v>0</v>
      </c>
      <c r="F314" s="3195"/>
      <c r="G314" s="3196">
        <f t="shared" si="178"/>
        <v>0</v>
      </c>
      <c r="H314" s="3197">
        <f t="shared" si="179"/>
        <v>0</v>
      </c>
      <c r="I314" s="3202"/>
      <c r="J314" s="3213"/>
      <c r="K314" s="3202"/>
      <c r="L314" s="3213"/>
      <c r="M314" s="3213"/>
      <c r="N314" s="3213"/>
      <c r="O314" s="3213"/>
      <c r="P314" s="3213"/>
      <c r="Q314" s="3213"/>
      <c r="R314" s="3213"/>
      <c r="S314" s="3213"/>
      <c r="T314" s="3213"/>
      <c r="U314" s="3213"/>
      <c r="V314" s="3213"/>
      <c r="W314" s="3213"/>
      <c r="X314" s="3213"/>
      <c r="Y314" s="3213"/>
      <c r="Z314" s="3213"/>
      <c r="AA314" s="3213"/>
      <c r="AB314" s="3213"/>
      <c r="AC314" s="3194">
        <f t="shared" si="180"/>
        <v>0</v>
      </c>
      <c r="AD314" s="3224"/>
      <c r="AE314" s="3224"/>
      <c r="AF314" s="3202"/>
      <c r="AG314" s="3224"/>
      <c r="AH314" s="3224"/>
      <c r="AI314" s="3224"/>
      <c r="AJ314" s="3224"/>
      <c r="AK314" s="3224"/>
      <c r="AL314" s="3224"/>
      <c r="AM314" s="3224"/>
      <c r="AN314" s="3224"/>
      <c r="AO314" s="3224"/>
      <c r="AP314" s="3224"/>
      <c r="AQ314" s="3224"/>
      <c r="AR314" s="3224"/>
      <c r="AS314" s="3224"/>
      <c r="AT314" s="3244"/>
      <c r="AU314" s="3245"/>
      <c r="AV314" s="464">
        <f t="shared" si="204"/>
        <v>0</v>
      </c>
      <c r="AW314" s="464">
        <f t="shared" si="205"/>
        <v>0</v>
      </c>
      <c r="AX314" s="464">
        <f t="shared" si="206"/>
        <v>0</v>
      </c>
      <c r="AY314" s="3261">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6">
        <f t="shared" si="202"/>
        <v>0</v>
      </c>
    </row>
    <row r="315" spans="1:72">
      <c r="A315" s="3192"/>
      <c r="B315" s="3200"/>
      <c r="C315" s="3199"/>
      <c r="D315" s="3188"/>
      <c r="E315" s="3194">
        <f t="shared" si="203"/>
        <v>0</v>
      </c>
      <c r="F315" s="3195"/>
      <c r="G315" s="3196">
        <f t="shared" si="178"/>
        <v>0</v>
      </c>
      <c r="H315" s="3197">
        <f t="shared" si="179"/>
        <v>0</v>
      </c>
      <c r="I315" s="3202"/>
      <c r="J315" s="3213"/>
      <c r="K315" s="3202"/>
      <c r="L315" s="3213"/>
      <c r="M315" s="3213"/>
      <c r="N315" s="3213"/>
      <c r="O315" s="3213"/>
      <c r="P315" s="3213"/>
      <c r="Q315" s="3213"/>
      <c r="R315" s="3213"/>
      <c r="S315" s="3213"/>
      <c r="T315" s="3213"/>
      <c r="U315" s="3213"/>
      <c r="V315" s="3213"/>
      <c r="W315" s="3213"/>
      <c r="X315" s="3213"/>
      <c r="Y315" s="3213"/>
      <c r="Z315" s="3213"/>
      <c r="AA315" s="3213"/>
      <c r="AB315" s="3213"/>
      <c r="AC315" s="3194">
        <f t="shared" si="180"/>
        <v>0</v>
      </c>
      <c r="AD315" s="3224"/>
      <c r="AE315" s="3224"/>
      <c r="AF315" s="3202"/>
      <c r="AG315" s="3224"/>
      <c r="AH315" s="3224"/>
      <c r="AI315" s="3224"/>
      <c r="AJ315" s="3224"/>
      <c r="AK315" s="3224"/>
      <c r="AL315" s="3224"/>
      <c r="AM315" s="3224"/>
      <c r="AN315" s="3224"/>
      <c r="AO315" s="3224"/>
      <c r="AP315" s="3224"/>
      <c r="AQ315" s="3224"/>
      <c r="AR315" s="3224"/>
      <c r="AS315" s="3224"/>
      <c r="AT315" s="3244"/>
      <c r="AU315" s="3245"/>
      <c r="AV315" s="464">
        <f t="shared" si="204"/>
        <v>0</v>
      </c>
      <c r="AW315" s="464">
        <f t="shared" si="205"/>
        <v>0</v>
      </c>
      <c r="AX315" s="464">
        <f t="shared" si="206"/>
        <v>0</v>
      </c>
      <c r="AY315" s="3261">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6">
        <f t="shared" si="202"/>
        <v>0</v>
      </c>
    </row>
    <row r="316" spans="1:72">
      <c r="A316" s="3192"/>
      <c r="B316" s="3200"/>
      <c r="C316" s="3199"/>
      <c r="D316" s="3188"/>
      <c r="E316" s="3194">
        <f t="shared" si="203"/>
        <v>0</v>
      </c>
      <c r="F316" s="3195"/>
      <c r="G316" s="3196">
        <f t="shared" si="178"/>
        <v>0</v>
      </c>
      <c r="H316" s="3197">
        <f t="shared" si="179"/>
        <v>0</v>
      </c>
      <c r="I316" s="3202"/>
      <c r="J316" s="3213"/>
      <c r="K316" s="3202"/>
      <c r="L316" s="3213"/>
      <c r="M316" s="3213"/>
      <c r="N316" s="3213"/>
      <c r="O316" s="3213"/>
      <c r="P316" s="3213"/>
      <c r="Q316" s="3213"/>
      <c r="R316" s="3213"/>
      <c r="S316" s="3213"/>
      <c r="T316" s="3213"/>
      <c r="U316" s="3213"/>
      <c r="V316" s="3213"/>
      <c r="W316" s="3213"/>
      <c r="X316" s="3213"/>
      <c r="Y316" s="3213"/>
      <c r="Z316" s="3213"/>
      <c r="AA316" s="3213"/>
      <c r="AB316" s="3213"/>
      <c r="AC316" s="3194">
        <f t="shared" si="180"/>
        <v>0</v>
      </c>
      <c r="AD316" s="3224"/>
      <c r="AE316" s="3224"/>
      <c r="AF316" s="3202"/>
      <c r="AG316" s="3224"/>
      <c r="AH316" s="3224"/>
      <c r="AI316" s="3224"/>
      <c r="AJ316" s="3224"/>
      <c r="AK316" s="3224"/>
      <c r="AL316" s="3224"/>
      <c r="AM316" s="3224"/>
      <c r="AN316" s="3224"/>
      <c r="AO316" s="3224"/>
      <c r="AP316" s="3224"/>
      <c r="AQ316" s="3224"/>
      <c r="AR316" s="3224"/>
      <c r="AS316" s="3224"/>
      <c r="AT316" s="3244"/>
      <c r="AU316" s="3245"/>
      <c r="AV316" s="464">
        <f t="shared" si="204"/>
        <v>0</v>
      </c>
      <c r="AW316" s="464">
        <f t="shared" si="205"/>
        <v>0</v>
      </c>
      <c r="AX316" s="464">
        <f t="shared" si="206"/>
        <v>0</v>
      </c>
      <c r="AY316" s="3261">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6">
        <f t="shared" si="202"/>
        <v>0</v>
      </c>
    </row>
    <row r="317" spans="1:72">
      <c r="A317" s="3192"/>
      <c r="B317" s="3200"/>
      <c r="C317" s="3199"/>
      <c r="D317" s="3188"/>
      <c r="E317" s="3194">
        <f t="shared" si="203"/>
        <v>0</v>
      </c>
      <c r="F317" s="3195"/>
      <c r="G317" s="3196">
        <f t="shared" si="178"/>
        <v>0</v>
      </c>
      <c r="H317" s="3197">
        <f t="shared" si="179"/>
        <v>0</v>
      </c>
      <c r="I317" s="3202"/>
      <c r="J317" s="3213"/>
      <c r="K317" s="3202"/>
      <c r="L317" s="3213"/>
      <c r="M317" s="3213"/>
      <c r="N317" s="3213"/>
      <c r="O317" s="3213"/>
      <c r="P317" s="3213"/>
      <c r="Q317" s="3213"/>
      <c r="R317" s="3213"/>
      <c r="S317" s="3213"/>
      <c r="T317" s="3213"/>
      <c r="U317" s="3213"/>
      <c r="V317" s="3213"/>
      <c r="W317" s="3213"/>
      <c r="X317" s="3213"/>
      <c r="Y317" s="3213"/>
      <c r="Z317" s="3213"/>
      <c r="AA317" s="3213"/>
      <c r="AB317" s="3213"/>
      <c r="AC317" s="3194">
        <f t="shared" si="180"/>
        <v>0</v>
      </c>
      <c r="AD317" s="3224"/>
      <c r="AE317" s="3224"/>
      <c r="AF317" s="3202"/>
      <c r="AG317" s="3224"/>
      <c r="AH317" s="3224"/>
      <c r="AI317" s="3224"/>
      <c r="AJ317" s="3224"/>
      <c r="AK317" s="3224"/>
      <c r="AL317" s="3224"/>
      <c r="AM317" s="3224"/>
      <c r="AN317" s="3224"/>
      <c r="AO317" s="3224"/>
      <c r="AP317" s="3224"/>
      <c r="AQ317" s="3224"/>
      <c r="AR317" s="3224"/>
      <c r="AS317" s="3224"/>
      <c r="AT317" s="3244"/>
      <c r="AU317" s="3245"/>
      <c r="AV317" s="464">
        <f t="shared" si="204"/>
        <v>0</v>
      </c>
      <c r="AW317" s="464">
        <f t="shared" si="205"/>
        <v>0</v>
      </c>
      <c r="AX317" s="464">
        <f t="shared" si="206"/>
        <v>0</v>
      </c>
      <c r="AY317" s="3261">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6">
        <f t="shared" si="202"/>
        <v>0</v>
      </c>
    </row>
    <row r="318" spans="1:72">
      <c r="A318" s="3192"/>
      <c r="B318" s="3200"/>
      <c r="C318" s="3199"/>
      <c r="D318" s="3188"/>
      <c r="E318" s="3194">
        <f t="shared" si="203"/>
        <v>0</v>
      </c>
      <c r="F318" s="3195"/>
      <c r="G318" s="3196">
        <f t="shared" si="178"/>
        <v>0</v>
      </c>
      <c r="H318" s="3197">
        <f t="shared" si="179"/>
        <v>0</v>
      </c>
      <c r="I318" s="3202"/>
      <c r="J318" s="3213"/>
      <c r="K318" s="3202"/>
      <c r="L318" s="3213"/>
      <c r="M318" s="3213"/>
      <c r="N318" s="3213"/>
      <c r="O318" s="3213"/>
      <c r="P318" s="3213"/>
      <c r="Q318" s="3213"/>
      <c r="R318" s="3213"/>
      <c r="S318" s="3213"/>
      <c r="T318" s="3213"/>
      <c r="U318" s="3213"/>
      <c r="V318" s="3213"/>
      <c r="W318" s="3213"/>
      <c r="X318" s="3213"/>
      <c r="Y318" s="3213"/>
      <c r="Z318" s="3213"/>
      <c r="AA318" s="3213"/>
      <c r="AB318" s="3213"/>
      <c r="AC318" s="3194">
        <f t="shared" si="180"/>
        <v>0</v>
      </c>
      <c r="AD318" s="3224"/>
      <c r="AE318" s="3224"/>
      <c r="AF318" s="3202"/>
      <c r="AG318" s="3224"/>
      <c r="AH318" s="3224"/>
      <c r="AI318" s="3224"/>
      <c r="AJ318" s="3224"/>
      <c r="AK318" s="3224"/>
      <c r="AL318" s="3224"/>
      <c r="AM318" s="3224"/>
      <c r="AN318" s="3224"/>
      <c r="AO318" s="3224"/>
      <c r="AP318" s="3224"/>
      <c r="AQ318" s="3224"/>
      <c r="AR318" s="3224"/>
      <c r="AS318" s="3224"/>
      <c r="AT318" s="3244"/>
      <c r="AU318" s="3245"/>
      <c r="AV318" s="464">
        <f t="shared" si="204"/>
        <v>0</v>
      </c>
      <c r="AW318" s="464">
        <f t="shared" si="205"/>
        <v>0</v>
      </c>
      <c r="AX318" s="464">
        <f t="shared" si="206"/>
        <v>0</v>
      </c>
      <c r="AY318" s="3261">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6">
        <f t="shared" si="202"/>
        <v>0</v>
      </c>
    </row>
    <row r="319" spans="1:72">
      <c r="A319" s="3192"/>
      <c r="B319" s="3200"/>
      <c r="C319" s="3199"/>
      <c r="D319" s="3188"/>
      <c r="E319" s="3194">
        <f t="shared" si="203"/>
        <v>0</v>
      </c>
      <c r="F319" s="3195"/>
      <c r="G319" s="3196">
        <f t="shared" si="178"/>
        <v>0</v>
      </c>
      <c r="H319" s="3197">
        <f t="shared" si="179"/>
        <v>0</v>
      </c>
      <c r="I319" s="3202"/>
      <c r="J319" s="3213"/>
      <c r="K319" s="3202"/>
      <c r="L319" s="3213"/>
      <c r="M319" s="3213"/>
      <c r="N319" s="3213"/>
      <c r="O319" s="3213"/>
      <c r="P319" s="3213"/>
      <c r="Q319" s="3213"/>
      <c r="R319" s="3213"/>
      <c r="S319" s="3213"/>
      <c r="T319" s="3213"/>
      <c r="U319" s="3213"/>
      <c r="V319" s="3213"/>
      <c r="W319" s="3213"/>
      <c r="X319" s="3213"/>
      <c r="Y319" s="3213"/>
      <c r="Z319" s="3213"/>
      <c r="AA319" s="3213"/>
      <c r="AB319" s="3213"/>
      <c r="AC319" s="3194">
        <f t="shared" si="180"/>
        <v>0</v>
      </c>
      <c r="AD319" s="3224"/>
      <c r="AE319" s="3224"/>
      <c r="AF319" s="3202"/>
      <c r="AG319" s="3224"/>
      <c r="AH319" s="3224"/>
      <c r="AI319" s="3224"/>
      <c r="AJ319" s="3224"/>
      <c r="AK319" s="3224"/>
      <c r="AL319" s="3224"/>
      <c r="AM319" s="3224"/>
      <c r="AN319" s="3224"/>
      <c r="AO319" s="3224"/>
      <c r="AP319" s="3224"/>
      <c r="AQ319" s="3224"/>
      <c r="AR319" s="3224"/>
      <c r="AS319" s="3224"/>
      <c r="AT319" s="3244"/>
      <c r="AU319" s="3245"/>
      <c r="AV319" s="464">
        <f t="shared" si="204"/>
        <v>0</v>
      </c>
      <c r="AW319" s="464">
        <f t="shared" si="205"/>
        <v>0</v>
      </c>
      <c r="AX319" s="464">
        <f t="shared" si="206"/>
        <v>0</v>
      </c>
      <c r="AY319" s="3261">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6">
        <f t="shared" si="202"/>
        <v>0</v>
      </c>
    </row>
    <row r="320" spans="1:72">
      <c r="A320" s="3192"/>
      <c r="B320" s="3200"/>
      <c r="C320" s="3199"/>
      <c r="D320" s="3188"/>
      <c r="E320" s="3194">
        <f t="shared" si="203"/>
        <v>0</v>
      </c>
      <c r="F320" s="3195"/>
      <c r="G320" s="3196">
        <f t="shared" si="178"/>
        <v>0</v>
      </c>
      <c r="H320" s="3197">
        <f t="shared" si="179"/>
        <v>0</v>
      </c>
      <c r="I320" s="3202"/>
      <c r="J320" s="3213"/>
      <c r="K320" s="3202"/>
      <c r="L320" s="3213"/>
      <c r="M320" s="3213"/>
      <c r="N320" s="3213"/>
      <c r="O320" s="3213"/>
      <c r="P320" s="3213"/>
      <c r="Q320" s="3213"/>
      <c r="R320" s="3213"/>
      <c r="S320" s="3213"/>
      <c r="T320" s="3213"/>
      <c r="U320" s="3213"/>
      <c r="V320" s="3213"/>
      <c r="W320" s="3213"/>
      <c r="X320" s="3213"/>
      <c r="Y320" s="3213"/>
      <c r="Z320" s="3213"/>
      <c r="AA320" s="3213"/>
      <c r="AB320" s="3213"/>
      <c r="AC320" s="3194">
        <f t="shared" si="180"/>
        <v>0</v>
      </c>
      <c r="AD320" s="3224"/>
      <c r="AE320" s="3224"/>
      <c r="AF320" s="3202"/>
      <c r="AG320" s="3224"/>
      <c r="AH320" s="3224"/>
      <c r="AI320" s="3224"/>
      <c r="AJ320" s="3224"/>
      <c r="AK320" s="3224"/>
      <c r="AL320" s="3224"/>
      <c r="AM320" s="3224"/>
      <c r="AN320" s="3224"/>
      <c r="AO320" s="3224"/>
      <c r="AP320" s="3224"/>
      <c r="AQ320" s="3224"/>
      <c r="AR320" s="3224"/>
      <c r="AS320" s="3224"/>
      <c r="AT320" s="3244"/>
      <c r="AU320" s="3245"/>
      <c r="AV320" s="464">
        <f t="shared" si="204"/>
        <v>0</v>
      </c>
      <c r="AW320" s="464">
        <f t="shared" si="205"/>
        <v>0</v>
      </c>
      <c r="AX320" s="464">
        <f t="shared" si="206"/>
        <v>0</v>
      </c>
      <c r="AY320" s="3261">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6">
        <f t="shared" si="202"/>
        <v>0</v>
      </c>
    </row>
    <row r="321" spans="1:72">
      <c r="A321" s="3192"/>
      <c r="B321" s="3200"/>
      <c r="C321" s="3199"/>
      <c r="D321" s="3188"/>
      <c r="E321" s="3194">
        <f t="shared" si="203"/>
        <v>0</v>
      </c>
      <c r="F321" s="3195"/>
      <c r="G321" s="3196">
        <f t="shared" si="178"/>
        <v>0</v>
      </c>
      <c r="H321" s="3197">
        <f t="shared" si="179"/>
        <v>0</v>
      </c>
      <c r="I321" s="3202"/>
      <c r="J321" s="3213"/>
      <c r="K321" s="3202"/>
      <c r="L321" s="3213"/>
      <c r="M321" s="3213"/>
      <c r="N321" s="3213"/>
      <c r="O321" s="3213"/>
      <c r="P321" s="3213"/>
      <c r="Q321" s="3213"/>
      <c r="R321" s="3213"/>
      <c r="S321" s="3213"/>
      <c r="T321" s="3213"/>
      <c r="U321" s="3213"/>
      <c r="V321" s="3213"/>
      <c r="W321" s="3213"/>
      <c r="X321" s="3213"/>
      <c r="Y321" s="3213"/>
      <c r="Z321" s="3213"/>
      <c r="AA321" s="3213"/>
      <c r="AB321" s="3213"/>
      <c r="AC321" s="3194">
        <f t="shared" si="180"/>
        <v>0</v>
      </c>
      <c r="AD321" s="3224"/>
      <c r="AE321" s="3224"/>
      <c r="AF321" s="3202"/>
      <c r="AG321" s="3224"/>
      <c r="AH321" s="3224"/>
      <c r="AI321" s="3224"/>
      <c r="AJ321" s="3224"/>
      <c r="AK321" s="3224"/>
      <c r="AL321" s="3224"/>
      <c r="AM321" s="3224"/>
      <c r="AN321" s="3224"/>
      <c r="AO321" s="3224"/>
      <c r="AP321" s="3224"/>
      <c r="AQ321" s="3224"/>
      <c r="AR321" s="3224"/>
      <c r="AS321" s="3224"/>
      <c r="AT321" s="3244"/>
      <c r="AU321" s="3245"/>
      <c r="AV321" s="464">
        <f t="shared" si="204"/>
        <v>0</v>
      </c>
      <c r="AW321" s="464">
        <f t="shared" si="205"/>
        <v>0</v>
      </c>
      <c r="AX321" s="464">
        <f t="shared" si="206"/>
        <v>0</v>
      </c>
      <c r="AY321" s="3261">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6">
        <f t="shared" si="202"/>
        <v>0</v>
      </c>
    </row>
    <row r="322" spans="1:72">
      <c r="A322" s="3192"/>
      <c r="B322" s="3200"/>
      <c r="C322" s="3199"/>
      <c r="D322" s="3188"/>
      <c r="E322" s="3194">
        <f t="shared" si="203"/>
        <v>0</v>
      </c>
      <c r="F322" s="3195"/>
      <c r="G322" s="3196">
        <f t="shared" si="178"/>
        <v>0</v>
      </c>
      <c r="H322" s="3197">
        <f t="shared" si="179"/>
        <v>0</v>
      </c>
      <c r="I322" s="3202"/>
      <c r="J322" s="3213"/>
      <c r="K322" s="3202"/>
      <c r="L322" s="3213"/>
      <c r="M322" s="3213"/>
      <c r="N322" s="3213"/>
      <c r="O322" s="3213"/>
      <c r="P322" s="3213"/>
      <c r="Q322" s="3213"/>
      <c r="R322" s="3213"/>
      <c r="S322" s="3213"/>
      <c r="T322" s="3213"/>
      <c r="U322" s="3213"/>
      <c r="V322" s="3213"/>
      <c r="W322" s="3213"/>
      <c r="X322" s="3213"/>
      <c r="Y322" s="3213"/>
      <c r="Z322" s="3213"/>
      <c r="AA322" s="3213"/>
      <c r="AB322" s="3213"/>
      <c r="AC322" s="3194">
        <f t="shared" si="180"/>
        <v>0</v>
      </c>
      <c r="AD322" s="3224"/>
      <c r="AE322" s="3224"/>
      <c r="AF322" s="3202"/>
      <c r="AG322" s="3224"/>
      <c r="AH322" s="3224"/>
      <c r="AI322" s="3224"/>
      <c r="AJ322" s="3224"/>
      <c r="AK322" s="3224"/>
      <c r="AL322" s="3224"/>
      <c r="AM322" s="3224"/>
      <c r="AN322" s="3224"/>
      <c r="AO322" s="3224"/>
      <c r="AP322" s="3224"/>
      <c r="AQ322" s="3224"/>
      <c r="AR322" s="3224"/>
      <c r="AS322" s="3224"/>
      <c r="AT322" s="3244"/>
      <c r="AU322" s="3245"/>
      <c r="AV322" s="464">
        <f t="shared" si="204"/>
        <v>0</v>
      </c>
      <c r="AW322" s="464">
        <f t="shared" si="205"/>
        <v>0</v>
      </c>
      <c r="AX322" s="464">
        <f t="shared" si="206"/>
        <v>0</v>
      </c>
      <c r="AY322" s="3261">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6">
        <f t="shared" si="202"/>
        <v>0</v>
      </c>
    </row>
    <row r="323" spans="1:72">
      <c r="A323" s="3192"/>
      <c r="B323" s="3200"/>
      <c r="C323" s="3199"/>
      <c r="D323" s="3188"/>
      <c r="E323" s="3194">
        <f t="shared" si="203"/>
        <v>0</v>
      </c>
      <c r="F323" s="3195"/>
      <c r="G323" s="3196">
        <f t="shared" si="178"/>
        <v>0</v>
      </c>
      <c r="H323" s="3197">
        <f t="shared" si="179"/>
        <v>0</v>
      </c>
      <c r="I323" s="3202"/>
      <c r="J323" s="3213"/>
      <c r="K323" s="3202"/>
      <c r="L323" s="3213"/>
      <c r="M323" s="3213"/>
      <c r="N323" s="3213"/>
      <c r="O323" s="3213"/>
      <c r="P323" s="3213"/>
      <c r="Q323" s="3213"/>
      <c r="R323" s="3213"/>
      <c r="S323" s="3213"/>
      <c r="T323" s="3213"/>
      <c r="U323" s="3213"/>
      <c r="V323" s="3213"/>
      <c r="W323" s="3213"/>
      <c r="X323" s="3213"/>
      <c r="Y323" s="3213"/>
      <c r="Z323" s="3213"/>
      <c r="AA323" s="3213"/>
      <c r="AB323" s="3213"/>
      <c r="AC323" s="3194">
        <f t="shared" si="180"/>
        <v>0</v>
      </c>
      <c r="AD323" s="3224"/>
      <c r="AE323" s="3224"/>
      <c r="AF323" s="3199"/>
      <c r="AG323" s="3224"/>
      <c r="AH323" s="3224"/>
      <c r="AI323" s="3224"/>
      <c r="AJ323" s="3224"/>
      <c r="AK323" s="3224"/>
      <c r="AL323" s="3224"/>
      <c r="AM323" s="3224"/>
      <c r="AN323" s="3224"/>
      <c r="AO323" s="3224"/>
      <c r="AP323" s="3224"/>
      <c r="AQ323" s="3224"/>
      <c r="AR323" s="3224"/>
      <c r="AS323" s="3224"/>
      <c r="AT323" s="3244"/>
      <c r="AU323" s="3245"/>
      <c r="AV323" s="464">
        <f t="shared" si="204"/>
        <v>0</v>
      </c>
      <c r="AW323" s="464">
        <f t="shared" si="205"/>
        <v>0</v>
      </c>
      <c r="AX323" s="464">
        <f t="shared" si="206"/>
        <v>0</v>
      </c>
      <c r="AY323" s="3261">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6">
        <f t="shared" si="202"/>
        <v>0</v>
      </c>
    </row>
    <row r="324" spans="1:72">
      <c r="A324" s="3192"/>
      <c r="B324" s="3200"/>
      <c r="C324" s="3199"/>
      <c r="D324" s="3188"/>
      <c r="E324" s="3194">
        <f t="shared" si="203"/>
        <v>0</v>
      </c>
      <c r="F324" s="3195"/>
      <c r="G324" s="3196">
        <f t="shared" si="178"/>
        <v>0</v>
      </c>
      <c r="H324" s="3197">
        <f t="shared" si="179"/>
        <v>0</v>
      </c>
      <c r="I324" s="3199"/>
      <c r="J324" s="3213"/>
      <c r="K324" s="3199"/>
      <c r="L324" s="3213"/>
      <c r="M324" s="3213"/>
      <c r="N324" s="3213"/>
      <c r="O324" s="3213"/>
      <c r="P324" s="3213"/>
      <c r="Q324" s="3213"/>
      <c r="R324" s="3213"/>
      <c r="S324" s="3213"/>
      <c r="T324" s="3213"/>
      <c r="U324" s="3213"/>
      <c r="V324" s="3213"/>
      <c r="W324" s="3213"/>
      <c r="X324" s="3213"/>
      <c r="Y324" s="3213"/>
      <c r="Z324" s="3213"/>
      <c r="AA324" s="3213"/>
      <c r="AB324" s="3213"/>
      <c r="AC324" s="3194">
        <f t="shared" si="180"/>
        <v>0</v>
      </c>
      <c r="AD324" s="3224"/>
      <c r="AE324" s="3224"/>
      <c r="AF324" s="3199"/>
      <c r="AG324" s="3224"/>
      <c r="AH324" s="3224"/>
      <c r="AI324" s="3224"/>
      <c r="AJ324" s="3224"/>
      <c r="AK324" s="3224"/>
      <c r="AL324" s="3224"/>
      <c r="AM324" s="3224"/>
      <c r="AN324" s="3224"/>
      <c r="AO324" s="3224"/>
      <c r="AP324" s="3224"/>
      <c r="AQ324" s="3224"/>
      <c r="AR324" s="3224"/>
      <c r="AS324" s="3224"/>
      <c r="AT324" s="3244"/>
      <c r="AU324" s="3245"/>
      <c r="AV324" s="464">
        <f t="shared" si="204"/>
        <v>0</v>
      </c>
      <c r="AW324" s="464">
        <f t="shared" si="205"/>
        <v>0</v>
      </c>
      <c r="AX324" s="464">
        <f t="shared" si="206"/>
        <v>0</v>
      </c>
      <c r="AY324" s="3261">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6">
        <f t="shared" si="202"/>
        <v>0</v>
      </c>
    </row>
    <row r="325" spans="1:72">
      <c r="A325" s="3192"/>
      <c r="B325" s="3200"/>
      <c r="C325" s="3199"/>
      <c r="D325" s="3188"/>
      <c r="E325" s="3194">
        <f t="shared" si="203"/>
        <v>0</v>
      </c>
      <c r="F325" s="3195"/>
      <c r="G325" s="3196">
        <f t="shared" si="178"/>
        <v>0</v>
      </c>
      <c r="H325" s="3197">
        <f t="shared" si="179"/>
        <v>0</v>
      </c>
      <c r="I325" s="3199"/>
      <c r="J325" s="3213"/>
      <c r="K325" s="3199"/>
      <c r="L325" s="3213"/>
      <c r="M325" s="3213"/>
      <c r="N325" s="3213"/>
      <c r="O325" s="3213"/>
      <c r="P325" s="3213"/>
      <c r="Q325" s="3213"/>
      <c r="R325" s="3213"/>
      <c r="S325" s="3213"/>
      <c r="T325" s="3213"/>
      <c r="U325" s="3213"/>
      <c r="V325" s="3213"/>
      <c r="W325" s="3213"/>
      <c r="X325" s="3213"/>
      <c r="Y325" s="3213"/>
      <c r="Z325" s="3213"/>
      <c r="AA325" s="3213"/>
      <c r="AB325" s="3213"/>
      <c r="AC325" s="3194">
        <f t="shared" si="180"/>
        <v>0</v>
      </c>
      <c r="AD325" s="3224"/>
      <c r="AE325" s="3224"/>
      <c r="AF325" s="3199"/>
      <c r="AG325" s="3224"/>
      <c r="AH325" s="3224"/>
      <c r="AI325" s="3224"/>
      <c r="AJ325" s="3224"/>
      <c r="AK325" s="3224"/>
      <c r="AL325" s="3224"/>
      <c r="AM325" s="3224"/>
      <c r="AN325" s="3224"/>
      <c r="AO325" s="3224"/>
      <c r="AP325" s="3224"/>
      <c r="AQ325" s="3224"/>
      <c r="AR325" s="3224"/>
      <c r="AS325" s="3224"/>
      <c r="AT325" s="3244"/>
      <c r="AU325" s="3245"/>
      <c r="AV325" s="464">
        <f t="shared" si="204"/>
        <v>0</v>
      </c>
      <c r="AW325" s="464">
        <f t="shared" si="205"/>
        <v>0</v>
      </c>
      <c r="AX325" s="464">
        <f t="shared" si="206"/>
        <v>0</v>
      </c>
      <c r="AY325" s="3261">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6">
        <f t="shared" si="202"/>
        <v>0</v>
      </c>
    </row>
    <row r="326" spans="1:72">
      <c r="A326" s="3192"/>
      <c r="B326" s="3200"/>
      <c r="C326" s="3199"/>
      <c r="D326" s="3188"/>
      <c r="E326" s="3194">
        <f t="shared" si="203"/>
        <v>0</v>
      </c>
      <c r="F326" s="3195"/>
      <c r="G326" s="3196">
        <f t="shared" ref="G326:G357" si="207">H326+AC326+AT326</f>
        <v>0</v>
      </c>
      <c r="H326" s="3197">
        <f t="shared" ref="H326:H357" si="208">SUMIF(I$12:AB$12,"总值",I326:AB326)</f>
        <v>0</v>
      </c>
      <c r="I326" s="3199"/>
      <c r="J326" s="3213"/>
      <c r="K326" s="3199"/>
      <c r="L326" s="3213"/>
      <c r="M326" s="3213"/>
      <c r="N326" s="3213"/>
      <c r="O326" s="3213"/>
      <c r="P326" s="3213"/>
      <c r="Q326" s="3213"/>
      <c r="R326" s="3213"/>
      <c r="S326" s="3213"/>
      <c r="T326" s="3213"/>
      <c r="U326" s="3213"/>
      <c r="V326" s="3213"/>
      <c r="W326" s="3213"/>
      <c r="X326" s="3213"/>
      <c r="Y326" s="3213"/>
      <c r="Z326" s="3213"/>
      <c r="AA326" s="3213"/>
      <c r="AB326" s="3213"/>
      <c r="AC326" s="3194">
        <f t="shared" ref="AC326:AC357" si="209">SUMIF(AD$12:AS$12,"总值",AD326:AS326)</f>
        <v>0</v>
      </c>
      <c r="AD326" s="3224"/>
      <c r="AE326" s="3224"/>
      <c r="AF326" s="3199"/>
      <c r="AG326" s="3224"/>
      <c r="AH326" s="3224"/>
      <c r="AI326" s="3224"/>
      <c r="AJ326" s="3224"/>
      <c r="AK326" s="3224"/>
      <c r="AL326" s="3224"/>
      <c r="AM326" s="3224"/>
      <c r="AN326" s="3224"/>
      <c r="AO326" s="3224"/>
      <c r="AP326" s="3224"/>
      <c r="AQ326" s="3224"/>
      <c r="AR326" s="3224"/>
      <c r="AS326" s="3224"/>
      <c r="AT326" s="3244"/>
      <c r="AU326" s="3245"/>
      <c r="AV326" s="464">
        <f t="shared" si="204"/>
        <v>0</v>
      </c>
      <c r="AW326" s="464">
        <f t="shared" si="205"/>
        <v>0</v>
      </c>
      <c r="AX326" s="464">
        <f t="shared" si="206"/>
        <v>0</v>
      </c>
      <c r="AY326" s="3261">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6">
        <f t="shared" ref="BT326:BT357" si="231">IF($D326="是",AR326-AS326,0)</f>
        <v>0</v>
      </c>
    </row>
    <row r="327" spans="1:72">
      <c r="A327" s="3192"/>
      <c r="B327" s="3200"/>
      <c r="C327" s="3199"/>
      <c r="D327" s="3188"/>
      <c r="E327" s="3194">
        <f t="shared" si="203"/>
        <v>0</v>
      </c>
      <c r="F327" s="3195"/>
      <c r="G327" s="3196">
        <f t="shared" si="207"/>
        <v>0</v>
      </c>
      <c r="H327" s="3197">
        <f t="shared" si="208"/>
        <v>0</v>
      </c>
      <c r="I327" s="3199"/>
      <c r="J327" s="3213"/>
      <c r="K327" s="3199"/>
      <c r="L327" s="3213"/>
      <c r="M327" s="3213"/>
      <c r="N327" s="3213"/>
      <c r="O327" s="3213"/>
      <c r="P327" s="3213"/>
      <c r="Q327" s="3213"/>
      <c r="R327" s="3213"/>
      <c r="S327" s="3213"/>
      <c r="T327" s="3213"/>
      <c r="U327" s="3213"/>
      <c r="V327" s="3213"/>
      <c r="W327" s="3213"/>
      <c r="X327" s="3213"/>
      <c r="Y327" s="3213"/>
      <c r="Z327" s="3213"/>
      <c r="AA327" s="3213"/>
      <c r="AB327" s="3213"/>
      <c r="AC327" s="3194">
        <f t="shared" si="209"/>
        <v>0</v>
      </c>
      <c r="AD327" s="3224"/>
      <c r="AE327" s="3224"/>
      <c r="AF327" s="3199"/>
      <c r="AG327" s="3224"/>
      <c r="AH327" s="3224"/>
      <c r="AI327" s="3224"/>
      <c r="AJ327" s="3224"/>
      <c r="AK327" s="3224"/>
      <c r="AL327" s="3224"/>
      <c r="AM327" s="3224"/>
      <c r="AN327" s="3224"/>
      <c r="AO327" s="3224"/>
      <c r="AP327" s="3224"/>
      <c r="AQ327" s="3224"/>
      <c r="AR327" s="3224"/>
      <c r="AS327" s="3224"/>
      <c r="AT327" s="3244"/>
      <c r="AU327" s="3245"/>
      <c r="AV327" s="464">
        <f t="shared" si="204"/>
        <v>0</v>
      </c>
      <c r="AW327" s="464">
        <f t="shared" si="205"/>
        <v>0</v>
      </c>
      <c r="AX327" s="464">
        <f t="shared" si="206"/>
        <v>0</v>
      </c>
      <c r="AY327" s="3261">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6">
        <f t="shared" si="231"/>
        <v>0</v>
      </c>
    </row>
    <row r="328" spans="1:72">
      <c r="A328" s="3192"/>
      <c r="B328" s="3200"/>
      <c r="C328" s="3199"/>
      <c r="D328" s="3188"/>
      <c r="E328" s="3194">
        <f t="shared" si="203"/>
        <v>0</v>
      </c>
      <c r="F328" s="3195"/>
      <c r="G328" s="3196">
        <f t="shared" si="207"/>
        <v>0</v>
      </c>
      <c r="H328" s="3197">
        <f t="shared" si="208"/>
        <v>0</v>
      </c>
      <c r="I328" s="3199"/>
      <c r="J328" s="3213"/>
      <c r="K328" s="3199"/>
      <c r="L328" s="3213"/>
      <c r="M328" s="3213"/>
      <c r="N328" s="3213"/>
      <c r="O328" s="3213"/>
      <c r="P328" s="3213"/>
      <c r="Q328" s="3213"/>
      <c r="R328" s="3213"/>
      <c r="S328" s="3213"/>
      <c r="T328" s="3213"/>
      <c r="U328" s="3213"/>
      <c r="V328" s="3213"/>
      <c r="W328" s="3213"/>
      <c r="X328" s="3213"/>
      <c r="Y328" s="3213"/>
      <c r="Z328" s="3213"/>
      <c r="AA328" s="3213"/>
      <c r="AB328" s="3213"/>
      <c r="AC328" s="3194">
        <f t="shared" si="209"/>
        <v>0</v>
      </c>
      <c r="AD328" s="3224"/>
      <c r="AE328" s="3224"/>
      <c r="AF328" s="3199"/>
      <c r="AG328" s="3224"/>
      <c r="AH328" s="3224"/>
      <c r="AI328" s="3224"/>
      <c r="AJ328" s="3224"/>
      <c r="AK328" s="3224"/>
      <c r="AL328" s="3224"/>
      <c r="AM328" s="3224"/>
      <c r="AN328" s="3224"/>
      <c r="AO328" s="3224"/>
      <c r="AP328" s="3224"/>
      <c r="AQ328" s="3224"/>
      <c r="AR328" s="3224"/>
      <c r="AS328" s="3224"/>
      <c r="AT328" s="3244"/>
      <c r="AU328" s="3245"/>
      <c r="AV328" s="464">
        <f t="shared" si="204"/>
        <v>0</v>
      </c>
      <c r="AW328" s="464">
        <f t="shared" si="205"/>
        <v>0</v>
      </c>
      <c r="AX328" s="464">
        <f t="shared" si="206"/>
        <v>0</v>
      </c>
      <c r="AY328" s="3261">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6">
        <f t="shared" si="231"/>
        <v>0</v>
      </c>
    </row>
    <row r="329" spans="1:72">
      <c r="A329" s="3192"/>
      <c r="B329" s="3200"/>
      <c r="C329" s="3199"/>
      <c r="D329" s="3188"/>
      <c r="E329" s="3194">
        <f t="shared" ref="E329:E360" si="232">IF($C$3="是",ROUND($A$3*G329/$B$3,2),ROUND($A$3*(G329-AT329)/$B$3,2))</f>
        <v>0</v>
      </c>
      <c r="F329" s="3195"/>
      <c r="G329" s="3196">
        <f t="shared" si="207"/>
        <v>0</v>
      </c>
      <c r="H329" s="3197">
        <f t="shared" si="208"/>
        <v>0</v>
      </c>
      <c r="I329" s="3199"/>
      <c r="J329" s="3213"/>
      <c r="K329" s="3199"/>
      <c r="L329" s="3213"/>
      <c r="M329" s="3213"/>
      <c r="N329" s="3213"/>
      <c r="O329" s="3213"/>
      <c r="P329" s="3213"/>
      <c r="Q329" s="3213"/>
      <c r="R329" s="3213"/>
      <c r="S329" s="3213"/>
      <c r="T329" s="3213"/>
      <c r="U329" s="3213"/>
      <c r="V329" s="3213"/>
      <c r="W329" s="3213"/>
      <c r="X329" s="3213"/>
      <c r="Y329" s="3213"/>
      <c r="Z329" s="3213"/>
      <c r="AA329" s="3213"/>
      <c r="AB329" s="3213"/>
      <c r="AC329" s="3194">
        <f t="shared" si="209"/>
        <v>0</v>
      </c>
      <c r="AD329" s="3224"/>
      <c r="AE329" s="3224"/>
      <c r="AF329" s="3199"/>
      <c r="AG329" s="3224"/>
      <c r="AH329" s="3224"/>
      <c r="AI329" s="3224"/>
      <c r="AJ329" s="3224"/>
      <c r="AK329" s="3224"/>
      <c r="AL329" s="3224"/>
      <c r="AM329" s="3224"/>
      <c r="AN329" s="3224"/>
      <c r="AO329" s="3224"/>
      <c r="AP329" s="3224"/>
      <c r="AQ329" s="3224"/>
      <c r="AR329" s="3224"/>
      <c r="AS329" s="3224"/>
      <c r="AT329" s="3244"/>
      <c r="AU329" s="3245"/>
      <c r="AV329" s="464">
        <f t="shared" ref="AV329:AV360" si="233">A329</f>
        <v>0</v>
      </c>
      <c r="AW329" s="464">
        <f t="shared" ref="AW329:AW360" si="234">B329</f>
        <v>0</v>
      </c>
      <c r="AX329" s="464">
        <f t="shared" ref="AX329:AX360" si="235">C329</f>
        <v>0</v>
      </c>
      <c r="AY329" s="3261">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6">
        <f t="shared" si="231"/>
        <v>0</v>
      </c>
    </row>
    <row r="330" spans="1:72">
      <c r="A330" s="3192"/>
      <c r="B330" s="3200"/>
      <c r="C330" s="3199"/>
      <c r="D330" s="3188"/>
      <c r="E330" s="3194">
        <f t="shared" si="232"/>
        <v>0</v>
      </c>
      <c r="F330" s="3195"/>
      <c r="G330" s="3196">
        <f t="shared" si="207"/>
        <v>0</v>
      </c>
      <c r="H330" s="3197">
        <f t="shared" si="208"/>
        <v>0</v>
      </c>
      <c r="I330" s="3199"/>
      <c r="J330" s="3213"/>
      <c r="K330" s="3199"/>
      <c r="L330" s="3213"/>
      <c r="M330" s="3213"/>
      <c r="N330" s="3213"/>
      <c r="O330" s="3213"/>
      <c r="P330" s="3213"/>
      <c r="Q330" s="3213"/>
      <c r="R330" s="3213"/>
      <c r="S330" s="3213"/>
      <c r="T330" s="3213"/>
      <c r="U330" s="3213"/>
      <c r="V330" s="3213"/>
      <c r="W330" s="3213"/>
      <c r="X330" s="3213"/>
      <c r="Y330" s="3213"/>
      <c r="Z330" s="3213"/>
      <c r="AA330" s="3213"/>
      <c r="AB330" s="3213"/>
      <c r="AC330" s="3194">
        <f t="shared" si="209"/>
        <v>0</v>
      </c>
      <c r="AD330" s="3224"/>
      <c r="AE330" s="3224"/>
      <c r="AF330" s="3199"/>
      <c r="AG330" s="3224"/>
      <c r="AH330" s="3224"/>
      <c r="AI330" s="3224"/>
      <c r="AJ330" s="3224"/>
      <c r="AK330" s="3224"/>
      <c r="AL330" s="3224"/>
      <c r="AM330" s="3224"/>
      <c r="AN330" s="3224"/>
      <c r="AO330" s="3224"/>
      <c r="AP330" s="3224"/>
      <c r="AQ330" s="3224"/>
      <c r="AR330" s="3224"/>
      <c r="AS330" s="3224"/>
      <c r="AT330" s="3244"/>
      <c r="AU330" s="3245"/>
      <c r="AV330" s="464">
        <f t="shared" si="233"/>
        <v>0</v>
      </c>
      <c r="AW330" s="464">
        <f t="shared" si="234"/>
        <v>0</v>
      </c>
      <c r="AX330" s="464">
        <f t="shared" si="235"/>
        <v>0</v>
      </c>
      <c r="AY330" s="3261">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6">
        <f t="shared" si="231"/>
        <v>0</v>
      </c>
    </row>
    <row r="331" spans="1:72">
      <c r="A331" s="3192"/>
      <c r="B331" s="3201"/>
      <c r="C331" s="3202"/>
      <c r="D331" s="3188"/>
      <c r="E331" s="3194">
        <f t="shared" si="232"/>
        <v>0</v>
      </c>
      <c r="F331" s="3195"/>
      <c r="G331" s="3196">
        <f t="shared" si="207"/>
        <v>0</v>
      </c>
      <c r="H331" s="3197">
        <f t="shared" si="208"/>
        <v>0</v>
      </c>
      <c r="I331" s="3199"/>
      <c r="J331" s="3213"/>
      <c r="K331" s="3199"/>
      <c r="L331" s="3213"/>
      <c r="M331" s="3199"/>
      <c r="N331" s="3213"/>
      <c r="O331" s="3213"/>
      <c r="P331" s="3213"/>
      <c r="Q331" s="3213"/>
      <c r="R331" s="3213"/>
      <c r="S331" s="3213"/>
      <c r="T331" s="3213"/>
      <c r="U331" s="3213"/>
      <c r="V331" s="3213"/>
      <c r="W331" s="3213"/>
      <c r="X331" s="3213"/>
      <c r="Y331" s="3213"/>
      <c r="Z331" s="3213"/>
      <c r="AA331" s="3213"/>
      <c r="AB331" s="3213"/>
      <c r="AC331" s="3194">
        <f t="shared" si="209"/>
        <v>0</v>
      </c>
      <c r="AD331" s="3224"/>
      <c r="AE331" s="3224"/>
      <c r="AF331" s="3199"/>
      <c r="AG331" s="3224"/>
      <c r="AH331" s="3224"/>
      <c r="AI331" s="3224"/>
      <c r="AJ331" s="3224"/>
      <c r="AK331" s="3224"/>
      <c r="AL331" s="3224"/>
      <c r="AM331" s="3224"/>
      <c r="AN331" s="3224"/>
      <c r="AO331" s="3224"/>
      <c r="AP331" s="3224"/>
      <c r="AQ331" s="3224"/>
      <c r="AR331" s="3224"/>
      <c r="AS331" s="3224"/>
      <c r="AT331" s="3244"/>
      <c r="AU331" s="3245"/>
      <c r="AV331" s="464">
        <f t="shared" si="233"/>
        <v>0</v>
      </c>
      <c r="AW331" s="464">
        <f t="shared" si="234"/>
        <v>0</v>
      </c>
      <c r="AX331" s="464">
        <f t="shared" si="235"/>
        <v>0</v>
      </c>
      <c r="AY331" s="3261">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6">
        <f t="shared" si="231"/>
        <v>0</v>
      </c>
    </row>
    <row r="332" spans="1:72">
      <c r="A332" s="3192"/>
      <c r="B332" s="3193"/>
      <c r="C332" s="3193"/>
      <c r="D332" s="3188"/>
      <c r="E332" s="3194">
        <f t="shared" si="232"/>
        <v>0</v>
      </c>
      <c r="F332" s="3195"/>
      <c r="G332" s="3196">
        <f t="shared" si="207"/>
        <v>0</v>
      </c>
      <c r="H332" s="3197">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4">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64">
        <f t="shared" si="233"/>
        <v>0</v>
      </c>
      <c r="AW332" s="464">
        <f t="shared" si="234"/>
        <v>0</v>
      </c>
      <c r="AX332" s="464">
        <f t="shared" si="235"/>
        <v>0</v>
      </c>
      <c r="AY332" s="3261">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6">
        <f t="shared" si="231"/>
        <v>0</v>
      </c>
    </row>
    <row r="333" spans="1:72">
      <c r="A333" s="3192"/>
      <c r="B333" s="3193"/>
      <c r="C333" s="3193"/>
      <c r="D333" s="3188"/>
      <c r="E333" s="3194">
        <f t="shared" si="232"/>
        <v>0</v>
      </c>
      <c r="F333" s="3195"/>
      <c r="G333" s="3196">
        <f t="shared" si="207"/>
        <v>0</v>
      </c>
      <c r="H333" s="3197">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4">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64">
        <f t="shared" si="233"/>
        <v>0</v>
      </c>
      <c r="AW333" s="464">
        <f t="shared" si="234"/>
        <v>0</v>
      </c>
      <c r="AX333" s="464">
        <f t="shared" si="235"/>
        <v>0</v>
      </c>
      <c r="AY333" s="3261">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6">
        <f t="shared" si="231"/>
        <v>0</v>
      </c>
    </row>
    <row r="334" spans="1:72">
      <c r="A334" s="3192"/>
      <c r="B334" s="3193"/>
      <c r="C334" s="3193"/>
      <c r="D334" s="3188"/>
      <c r="E334" s="3194">
        <f t="shared" si="232"/>
        <v>0</v>
      </c>
      <c r="F334" s="3195"/>
      <c r="G334" s="3196">
        <f t="shared" si="207"/>
        <v>0</v>
      </c>
      <c r="H334" s="3197">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4">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64">
        <f t="shared" si="233"/>
        <v>0</v>
      </c>
      <c r="AW334" s="464">
        <f t="shared" si="234"/>
        <v>0</v>
      </c>
      <c r="AX334" s="464">
        <f t="shared" si="235"/>
        <v>0</v>
      </c>
      <c r="AY334" s="3261">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6">
        <f t="shared" si="231"/>
        <v>0</v>
      </c>
    </row>
    <row r="335" spans="1:72">
      <c r="A335" s="3192"/>
      <c r="B335" s="3193"/>
      <c r="C335" s="3193"/>
      <c r="D335" s="3188"/>
      <c r="E335" s="3194">
        <f t="shared" si="232"/>
        <v>0</v>
      </c>
      <c r="F335" s="3195"/>
      <c r="G335" s="3196">
        <f t="shared" si="207"/>
        <v>0</v>
      </c>
      <c r="H335" s="3197">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4">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64">
        <f t="shared" si="233"/>
        <v>0</v>
      </c>
      <c r="AW335" s="464">
        <f t="shared" si="234"/>
        <v>0</v>
      </c>
      <c r="AX335" s="464">
        <f t="shared" si="235"/>
        <v>0</v>
      </c>
      <c r="AY335" s="3261">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6">
        <f t="shared" si="231"/>
        <v>0</v>
      </c>
    </row>
    <row r="336" spans="1:72">
      <c r="A336" s="3192"/>
      <c r="B336" s="3193"/>
      <c r="C336" s="3193"/>
      <c r="D336" s="3188"/>
      <c r="E336" s="3194">
        <f t="shared" si="232"/>
        <v>0</v>
      </c>
      <c r="F336" s="3195"/>
      <c r="G336" s="3196">
        <f t="shared" si="207"/>
        <v>0</v>
      </c>
      <c r="H336" s="3197">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4">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64">
        <f t="shared" si="233"/>
        <v>0</v>
      </c>
      <c r="AW336" s="464">
        <f t="shared" si="234"/>
        <v>0</v>
      </c>
      <c r="AX336" s="464">
        <f t="shared" si="235"/>
        <v>0</v>
      </c>
      <c r="AY336" s="3261">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6">
        <f t="shared" si="231"/>
        <v>0</v>
      </c>
    </row>
    <row r="337" spans="1:72">
      <c r="A337" s="3192"/>
      <c r="B337" s="3193"/>
      <c r="C337" s="3193"/>
      <c r="D337" s="3188"/>
      <c r="E337" s="3194">
        <f t="shared" si="232"/>
        <v>0</v>
      </c>
      <c r="F337" s="3195"/>
      <c r="G337" s="3196">
        <f t="shared" si="207"/>
        <v>0</v>
      </c>
      <c r="H337" s="3197">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4">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64">
        <f t="shared" si="233"/>
        <v>0</v>
      </c>
      <c r="AW337" s="464">
        <f t="shared" si="234"/>
        <v>0</v>
      </c>
      <c r="AX337" s="464">
        <f t="shared" si="235"/>
        <v>0</v>
      </c>
      <c r="AY337" s="3261">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6">
        <f t="shared" si="231"/>
        <v>0</v>
      </c>
    </row>
    <row r="338" spans="1:72">
      <c r="A338" s="3192"/>
      <c r="B338" s="3193"/>
      <c r="C338" s="3193"/>
      <c r="D338" s="3188"/>
      <c r="E338" s="3194">
        <f t="shared" si="232"/>
        <v>0</v>
      </c>
      <c r="F338" s="3195"/>
      <c r="G338" s="3196">
        <f t="shared" si="207"/>
        <v>0</v>
      </c>
      <c r="H338" s="3197">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4">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64">
        <f t="shared" si="233"/>
        <v>0</v>
      </c>
      <c r="AW338" s="464">
        <f t="shared" si="234"/>
        <v>0</v>
      </c>
      <c r="AX338" s="464">
        <f t="shared" si="235"/>
        <v>0</v>
      </c>
      <c r="AY338" s="3261">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6">
        <f t="shared" si="231"/>
        <v>0</v>
      </c>
    </row>
    <row r="339" spans="1:72">
      <c r="A339" s="3192"/>
      <c r="B339" s="3193"/>
      <c r="C339" s="3193"/>
      <c r="D339" s="3188"/>
      <c r="E339" s="3194">
        <f t="shared" si="232"/>
        <v>0</v>
      </c>
      <c r="F339" s="3195"/>
      <c r="G339" s="3196">
        <f t="shared" si="207"/>
        <v>0</v>
      </c>
      <c r="H339" s="3197">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4">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64">
        <f t="shared" si="233"/>
        <v>0</v>
      </c>
      <c r="AW339" s="464">
        <f t="shared" si="234"/>
        <v>0</v>
      </c>
      <c r="AX339" s="464">
        <f t="shared" si="235"/>
        <v>0</v>
      </c>
      <c r="AY339" s="3261">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6">
        <f t="shared" si="231"/>
        <v>0</v>
      </c>
    </row>
    <row r="340" spans="1:72">
      <c r="A340" s="3192"/>
      <c r="B340" s="3193"/>
      <c r="C340" s="3193"/>
      <c r="D340" s="3188"/>
      <c r="E340" s="3194">
        <f t="shared" si="232"/>
        <v>0</v>
      </c>
      <c r="F340" s="3195"/>
      <c r="G340" s="3196">
        <f t="shared" si="207"/>
        <v>0</v>
      </c>
      <c r="H340" s="3197">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4">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64">
        <f t="shared" si="233"/>
        <v>0</v>
      </c>
      <c r="AW340" s="464">
        <f t="shared" si="234"/>
        <v>0</v>
      </c>
      <c r="AX340" s="464">
        <f t="shared" si="235"/>
        <v>0</v>
      </c>
      <c r="AY340" s="3261">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6">
        <f t="shared" si="231"/>
        <v>0</v>
      </c>
    </row>
    <row r="341" spans="1:72">
      <c r="A341" s="3192"/>
      <c r="B341" s="3193"/>
      <c r="C341" s="3193"/>
      <c r="D341" s="3188"/>
      <c r="E341" s="3194">
        <f t="shared" si="232"/>
        <v>0</v>
      </c>
      <c r="F341" s="3195"/>
      <c r="G341" s="3196">
        <f t="shared" si="207"/>
        <v>0</v>
      </c>
      <c r="H341" s="3197">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4">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64">
        <f t="shared" si="233"/>
        <v>0</v>
      </c>
      <c r="AW341" s="464">
        <f t="shared" si="234"/>
        <v>0</v>
      </c>
      <c r="AX341" s="464">
        <f t="shared" si="235"/>
        <v>0</v>
      </c>
      <c r="AY341" s="3261">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6">
        <f t="shared" si="231"/>
        <v>0</v>
      </c>
    </row>
    <row r="342" spans="1:72">
      <c r="A342" s="3192"/>
      <c r="B342" s="3193"/>
      <c r="C342" s="3193"/>
      <c r="D342" s="3188"/>
      <c r="E342" s="3194">
        <f t="shared" si="232"/>
        <v>0</v>
      </c>
      <c r="F342" s="3195"/>
      <c r="G342" s="3196">
        <f t="shared" si="207"/>
        <v>0</v>
      </c>
      <c r="H342" s="3197">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4">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64">
        <f t="shared" si="233"/>
        <v>0</v>
      </c>
      <c r="AW342" s="464">
        <f t="shared" si="234"/>
        <v>0</v>
      </c>
      <c r="AX342" s="464">
        <f t="shared" si="235"/>
        <v>0</v>
      </c>
      <c r="AY342" s="3261">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6">
        <f t="shared" si="231"/>
        <v>0</v>
      </c>
    </row>
    <row r="343" spans="1:72">
      <c r="A343" s="3192"/>
      <c r="B343" s="3193"/>
      <c r="C343" s="3193"/>
      <c r="D343" s="3188"/>
      <c r="E343" s="3194">
        <f t="shared" si="232"/>
        <v>0</v>
      </c>
      <c r="F343" s="3195"/>
      <c r="G343" s="3196">
        <f t="shared" si="207"/>
        <v>0</v>
      </c>
      <c r="H343" s="3197">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4">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64">
        <f t="shared" si="233"/>
        <v>0</v>
      </c>
      <c r="AW343" s="464">
        <f t="shared" si="234"/>
        <v>0</v>
      </c>
      <c r="AX343" s="464">
        <f t="shared" si="235"/>
        <v>0</v>
      </c>
      <c r="AY343" s="3261">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6">
        <f t="shared" si="231"/>
        <v>0</v>
      </c>
    </row>
    <row r="344" spans="1:72">
      <c r="A344" s="3192"/>
      <c r="B344" s="3193"/>
      <c r="C344" s="3193"/>
      <c r="D344" s="3188"/>
      <c r="E344" s="3194">
        <f t="shared" si="232"/>
        <v>0</v>
      </c>
      <c r="F344" s="3195"/>
      <c r="G344" s="3196">
        <f t="shared" si="207"/>
        <v>0</v>
      </c>
      <c r="H344" s="3197">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4">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64">
        <f t="shared" si="233"/>
        <v>0</v>
      </c>
      <c r="AW344" s="464">
        <f t="shared" si="234"/>
        <v>0</v>
      </c>
      <c r="AX344" s="464">
        <f t="shared" si="235"/>
        <v>0</v>
      </c>
      <c r="AY344" s="3261">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6">
        <f t="shared" si="231"/>
        <v>0</v>
      </c>
    </row>
    <row r="345" spans="1:72">
      <c r="A345" s="3192"/>
      <c r="B345" s="3193"/>
      <c r="C345" s="3193"/>
      <c r="D345" s="3188"/>
      <c r="E345" s="3194">
        <f t="shared" si="232"/>
        <v>0</v>
      </c>
      <c r="F345" s="3195"/>
      <c r="G345" s="3196">
        <f t="shared" si="207"/>
        <v>0</v>
      </c>
      <c r="H345" s="3197">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4">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64">
        <f t="shared" si="233"/>
        <v>0</v>
      </c>
      <c r="AW345" s="464">
        <f t="shared" si="234"/>
        <v>0</v>
      </c>
      <c r="AX345" s="464">
        <f t="shared" si="235"/>
        <v>0</v>
      </c>
      <c r="AY345" s="3261">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6">
        <f t="shared" si="231"/>
        <v>0</v>
      </c>
    </row>
    <row r="346" spans="1:72">
      <c r="A346" s="3192"/>
      <c r="B346" s="3193"/>
      <c r="C346" s="3193"/>
      <c r="D346" s="3188"/>
      <c r="E346" s="3194">
        <f t="shared" si="232"/>
        <v>0</v>
      </c>
      <c r="F346" s="3195"/>
      <c r="G346" s="3196">
        <f t="shared" si="207"/>
        <v>0</v>
      </c>
      <c r="H346" s="3197">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4">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64">
        <f t="shared" si="233"/>
        <v>0</v>
      </c>
      <c r="AW346" s="464">
        <f t="shared" si="234"/>
        <v>0</v>
      </c>
      <c r="AX346" s="464">
        <f t="shared" si="235"/>
        <v>0</v>
      </c>
      <c r="AY346" s="3261">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6">
        <f t="shared" si="231"/>
        <v>0</v>
      </c>
    </row>
    <row r="347" spans="1:72">
      <c r="A347" s="3192"/>
      <c r="B347" s="3193"/>
      <c r="C347" s="3193"/>
      <c r="D347" s="3188"/>
      <c r="E347" s="3194">
        <f t="shared" si="232"/>
        <v>0</v>
      </c>
      <c r="F347" s="3195"/>
      <c r="G347" s="3196">
        <f t="shared" si="207"/>
        <v>0</v>
      </c>
      <c r="H347" s="3197">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4">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64">
        <f t="shared" si="233"/>
        <v>0</v>
      </c>
      <c r="AW347" s="464">
        <f t="shared" si="234"/>
        <v>0</v>
      </c>
      <c r="AX347" s="464">
        <f t="shared" si="235"/>
        <v>0</v>
      </c>
      <c r="AY347" s="3261">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6">
        <f t="shared" si="231"/>
        <v>0</v>
      </c>
    </row>
    <row r="348" spans="1:72">
      <c r="A348" s="3192"/>
      <c r="B348" s="3193"/>
      <c r="C348" s="3193"/>
      <c r="D348" s="3188"/>
      <c r="E348" s="3194">
        <f t="shared" si="232"/>
        <v>0</v>
      </c>
      <c r="F348" s="3195"/>
      <c r="G348" s="3196">
        <f t="shared" si="207"/>
        <v>0</v>
      </c>
      <c r="H348" s="3197">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4">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64">
        <f t="shared" si="233"/>
        <v>0</v>
      </c>
      <c r="AW348" s="464">
        <f t="shared" si="234"/>
        <v>0</v>
      </c>
      <c r="AX348" s="464">
        <f t="shared" si="235"/>
        <v>0</v>
      </c>
      <c r="AY348" s="3261">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6">
        <f t="shared" si="231"/>
        <v>0</v>
      </c>
    </row>
    <row r="349" spans="1:72">
      <c r="A349" s="3192"/>
      <c r="B349" s="3193"/>
      <c r="C349" s="3193"/>
      <c r="D349" s="3188"/>
      <c r="E349" s="3194">
        <f t="shared" si="232"/>
        <v>0</v>
      </c>
      <c r="F349" s="3195"/>
      <c r="G349" s="3196">
        <f t="shared" si="207"/>
        <v>0</v>
      </c>
      <c r="H349" s="3197">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4">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64">
        <f t="shared" si="233"/>
        <v>0</v>
      </c>
      <c r="AW349" s="464">
        <f t="shared" si="234"/>
        <v>0</v>
      </c>
      <c r="AX349" s="464">
        <f t="shared" si="235"/>
        <v>0</v>
      </c>
      <c r="AY349" s="3261">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6">
        <f t="shared" si="231"/>
        <v>0</v>
      </c>
    </row>
    <row r="350" spans="1:72">
      <c r="A350" s="3192"/>
      <c r="B350" s="3193"/>
      <c r="C350" s="3193"/>
      <c r="D350" s="3188"/>
      <c r="E350" s="3194">
        <f t="shared" si="232"/>
        <v>0</v>
      </c>
      <c r="F350" s="3195"/>
      <c r="G350" s="3196">
        <f t="shared" si="207"/>
        <v>0</v>
      </c>
      <c r="H350" s="3197">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4">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64">
        <f t="shared" si="233"/>
        <v>0</v>
      </c>
      <c r="AW350" s="464">
        <f t="shared" si="234"/>
        <v>0</v>
      </c>
      <c r="AX350" s="464">
        <f t="shared" si="235"/>
        <v>0</v>
      </c>
      <c r="AY350" s="3261">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6">
        <f t="shared" si="231"/>
        <v>0</v>
      </c>
    </row>
    <row r="351" spans="1:72">
      <c r="A351" s="3192"/>
      <c r="B351" s="3193"/>
      <c r="C351" s="3193"/>
      <c r="D351" s="3188"/>
      <c r="E351" s="3194">
        <f t="shared" si="232"/>
        <v>0</v>
      </c>
      <c r="F351" s="3195"/>
      <c r="G351" s="3196">
        <f t="shared" si="207"/>
        <v>0</v>
      </c>
      <c r="H351" s="3197">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4">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64">
        <f t="shared" si="233"/>
        <v>0</v>
      </c>
      <c r="AW351" s="464">
        <f t="shared" si="234"/>
        <v>0</v>
      </c>
      <c r="AX351" s="464">
        <f t="shared" si="235"/>
        <v>0</v>
      </c>
      <c r="AY351" s="3261">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6">
        <f t="shared" si="231"/>
        <v>0</v>
      </c>
    </row>
    <row r="352" spans="1:72">
      <c r="A352" s="3192"/>
      <c r="B352" s="3193"/>
      <c r="C352" s="3193"/>
      <c r="D352" s="3188"/>
      <c r="E352" s="3194">
        <f t="shared" si="232"/>
        <v>0</v>
      </c>
      <c r="F352" s="3195"/>
      <c r="G352" s="3196">
        <f t="shared" si="207"/>
        <v>0</v>
      </c>
      <c r="H352" s="3197">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4">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64">
        <f t="shared" si="233"/>
        <v>0</v>
      </c>
      <c r="AW352" s="464">
        <f t="shared" si="234"/>
        <v>0</v>
      </c>
      <c r="AX352" s="464">
        <f t="shared" si="235"/>
        <v>0</v>
      </c>
      <c r="AY352" s="3261">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6">
        <f t="shared" si="231"/>
        <v>0</v>
      </c>
    </row>
    <row r="353" spans="1:72">
      <c r="A353" s="3192"/>
      <c r="B353" s="3193"/>
      <c r="C353" s="3193"/>
      <c r="D353" s="3188"/>
      <c r="E353" s="3194">
        <f t="shared" si="232"/>
        <v>0</v>
      </c>
      <c r="F353" s="3195"/>
      <c r="G353" s="3196">
        <f t="shared" si="207"/>
        <v>0</v>
      </c>
      <c r="H353" s="3197">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4">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64">
        <f t="shared" si="233"/>
        <v>0</v>
      </c>
      <c r="AW353" s="464">
        <f t="shared" si="234"/>
        <v>0</v>
      </c>
      <c r="AX353" s="464">
        <f t="shared" si="235"/>
        <v>0</v>
      </c>
      <c r="AY353" s="3261">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6">
        <f t="shared" si="231"/>
        <v>0</v>
      </c>
    </row>
    <row r="354" spans="1:72">
      <c r="A354" s="3192"/>
      <c r="B354" s="3193"/>
      <c r="C354" s="3193"/>
      <c r="D354" s="3188"/>
      <c r="E354" s="3194">
        <f t="shared" si="232"/>
        <v>0</v>
      </c>
      <c r="F354" s="3195"/>
      <c r="G354" s="3196">
        <f t="shared" si="207"/>
        <v>0</v>
      </c>
      <c r="H354" s="3197">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4">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64">
        <f t="shared" si="233"/>
        <v>0</v>
      </c>
      <c r="AW354" s="464">
        <f t="shared" si="234"/>
        <v>0</v>
      </c>
      <c r="AX354" s="464">
        <f t="shared" si="235"/>
        <v>0</v>
      </c>
      <c r="AY354" s="3261">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6">
        <f t="shared" si="231"/>
        <v>0</v>
      </c>
    </row>
    <row r="355" spans="1:72">
      <c r="A355" s="3192"/>
      <c r="B355" s="3193"/>
      <c r="C355" s="3193"/>
      <c r="D355" s="3188"/>
      <c r="E355" s="3194">
        <f t="shared" si="232"/>
        <v>0</v>
      </c>
      <c r="F355" s="3195"/>
      <c r="G355" s="3196">
        <f t="shared" si="207"/>
        <v>0</v>
      </c>
      <c r="H355" s="3197">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4">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64">
        <f t="shared" si="233"/>
        <v>0</v>
      </c>
      <c r="AW355" s="464">
        <f t="shared" si="234"/>
        <v>0</v>
      </c>
      <c r="AX355" s="464">
        <f t="shared" si="235"/>
        <v>0</v>
      </c>
      <c r="AY355" s="3261">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6">
        <f t="shared" si="231"/>
        <v>0</v>
      </c>
    </row>
    <row r="356" spans="1:72">
      <c r="A356" s="3192"/>
      <c r="B356" s="3193"/>
      <c r="C356" s="3193"/>
      <c r="D356" s="3188"/>
      <c r="E356" s="3194">
        <f t="shared" si="232"/>
        <v>0</v>
      </c>
      <c r="F356" s="3195"/>
      <c r="G356" s="3196">
        <f t="shared" si="207"/>
        <v>0</v>
      </c>
      <c r="H356" s="3197">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4">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64">
        <f t="shared" si="233"/>
        <v>0</v>
      </c>
      <c r="AW356" s="464">
        <f t="shared" si="234"/>
        <v>0</v>
      </c>
      <c r="AX356" s="464">
        <f t="shared" si="235"/>
        <v>0</v>
      </c>
      <c r="AY356" s="3261">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6">
        <f t="shared" si="231"/>
        <v>0</v>
      </c>
    </row>
    <row r="357" spans="1:72">
      <c r="A357" s="3192"/>
      <c r="B357" s="3193"/>
      <c r="C357" s="3193"/>
      <c r="D357" s="3188"/>
      <c r="E357" s="3194">
        <f t="shared" si="232"/>
        <v>0</v>
      </c>
      <c r="F357" s="3195"/>
      <c r="G357" s="3196">
        <f t="shared" si="207"/>
        <v>0</v>
      </c>
      <c r="H357" s="3197">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4">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64">
        <f t="shared" si="233"/>
        <v>0</v>
      </c>
      <c r="AW357" s="464">
        <f t="shared" si="234"/>
        <v>0</v>
      </c>
      <c r="AX357" s="464">
        <f t="shared" si="235"/>
        <v>0</v>
      </c>
      <c r="AY357" s="3261">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6">
        <f t="shared" si="231"/>
        <v>0</v>
      </c>
    </row>
    <row r="358" spans="1:72">
      <c r="A358" s="3192"/>
      <c r="B358" s="3193"/>
      <c r="C358" s="3193"/>
      <c r="D358" s="3188"/>
      <c r="E358" s="3194">
        <f t="shared" si="232"/>
        <v>0</v>
      </c>
      <c r="F358" s="3195"/>
      <c r="G358" s="3196">
        <f t="shared" ref="G358:G388" si="236">H358+AC358+AT358</f>
        <v>0</v>
      </c>
      <c r="H358" s="3197">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4">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64">
        <f t="shared" si="233"/>
        <v>0</v>
      </c>
      <c r="AW358" s="464">
        <f t="shared" si="234"/>
        <v>0</v>
      </c>
      <c r="AX358" s="464">
        <f t="shared" si="235"/>
        <v>0</v>
      </c>
      <c r="AY358" s="3261">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6">
        <f t="shared" ref="BT358:BT388" si="260">IF($D358="是",AR358-AS358,0)</f>
        <v>0</v>
      </c>
    </row>
    <row r="359" spans="1:72">
      <c r="A359" s="3192"/>
      <c r="B359" s="3193"/>
      <c r="C359" s="3193"/>
      <c r="D359" s="3188"/>
      <c r="E359" s="3194">
        <f t="shared" si="232"/>
        <v>0</v>
      </c>
      <c r="F359" s="3195"/>
      <c r="G359" s="3196">
        <f t="shared" si="236"/>
        <v>0</v>
      </c>
      <c r="H359" s="3197">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4">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64">
        <f t="shared" si="233"/>
        <v>0</v>
      </c>
      <c r="AW359" s="464">
        <f t="shared" si="234"/>
        <v>0</v>
      </c>
      <c r="AX359" s="464">
        <f t="shared" si="235"/>
        <v>0</v>
      </c>
      <c r="AY359" s="3261">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6">
        <f t="shared" si="260"/>
        <v>0</v>
      </c>
    </row>
    <row r="360" spans="1:72">
      <c r="A360" s="3192"/>
      <c r="B360" s="3193"/>
      <c r="C360" s="3193"/>
      <c r="D360" s="3188"/>
      <c r="E360" s="3194">
        <f t="shared" si="232"/>
        <v>0</v>
      </c>
      <c r="F360" s="3195"/>
      <c r="G360" s="3196">
        <f t="shared" si="236"/>
        <v>0</v>
      </c>
      <c r="H360" s="3197">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4">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64">
        <f t="shared" si="233"/>
        <v>0</v>
      </c>
      <c r="AW360" s="464">
        <f t="shared" si="234"/>
        <v>0</v>
      </c>
      <c r="AX360" s="464">
        <f t="shared" si="235"/>
        <v>0</v>
      </c>
      <c r="AY360" s="3261">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6">
        <f t="shared" si="260"/>
        <v>0</v>
      </c>
    </row>
    <row r="361" spans="1:72">
      <c r="A361" s="3192"/>
      <c r="B361" s="3193"/>
      <c r="C361" s="3193"/>
      <c r="D361" s="3188"/>
      <c r="E361" s="3194">
        <f t="shared" ref="E361:E388" si="261">IF($C$3="是",ROUND($A$3*G361/$B$3,2),ROUND($A$3*(G361-AT361)/$B$3,2))</f>
        <v>0</v>
      </c>
      <c r="F361" s="3195"/>
      <c r="G361" s="3196">
        <f t="shared" si="236"/>
        <v>0</v>
      </c>
      <c r="H361" s="3197">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4">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64">
        <f t="shared" ref="AV361:AV388" si="262">A361</f>
        <v>0</v>
      </c>
      <c r="AW361" s="464">
        <f t="shared" ref="AW361:AW388" si="263">B361</f>
        <v>0</v>
      </c>
      <c r="AX361" s="464">
        <f t="shared" ref="AX361:AX388" si="264">C361</f>
        <v>0</v>
      </c>
      <c r="AY361" s="3261">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6">
        <f t="shared" si="260"/>
        <v>0</v>
      </c>
    </row>
    <row r="362" spans="1:72">
      <c r="A362" s="3192"/>
      <c r="B362" s="3193"/>
      <c r="C362" s="3193"/>
      <c r="D362" s="3188"/>
      <c r="E362" s="3194">
        <f t="shared" si="261"/>
        <v>0</v>
      </c>
      <c r="F362" s="3195"/>
      <c r="G362" s="3196">
        <f t="shared" si="236"/>
        <v>0</v>
      </c>
      <c r="H362" s="3197">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4">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64">
        <f t="shared" si="262"/>
        <v>0</v>
      </c>
      <c r="AW362" s="464">
        <f t="shared" si="263"/>
        <v>0</v>
      </c>
      <c r="AX362" s="464">
        <f t="shared" si="264"/>
        <v>0</v>
      </c>
      <c r="AY362" s="3261">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6">
        <f t="shared" si="260"/>
        <v>0</v>
      </c>
    </row>
    <row r="363" spans="1:72">
      <c r="A363" s="3192"/>
      <c r="B363" s="3193"/>
      <c r="C363" s="3193"/>
      <c r="D363" s="3188"/>
      <c r="E363" s="3194">
        <f t="shared" si="261"/>
        <v>0</v>
      </c>
      <c r="F363" s="3195"/>
      <c r="G363" s="3196">
        <f t="shared" si="236"/>
        <v>0</v>
      </c>
      <c r="H363" s="3197">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4">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64">
        <f t="shared" si="262"/>
        <v>0</v>
      </c>
      <c r="AW363" s="464">
        <f t="shared" si="263"/>
        <v>0</v>
      </c>
      <c r="AX363" s="464">
        <f t="shared" si="264"/>
        <v>0</v>
      </c>
      <c r="AY363" s="3261">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6">
        <f t="shared" si="260"/>
        <v>0</v>
      </c>
    </row>
    <row r="364" spans="1:72">
      <c r="A364" s="3192"/>
      <c r="B364" s="3193"/>
      <c r="C364" s="3193"/>
      <c r="D364" s="3188"/>
      <c r="E364" s="3194">
        <f t="shared" si="261"/>
        <v>0</v>
      </c>
      <c r="F364" s="3195"/>
      <c r="G364" s="3196">
        <f t="shared" si="236"/>
        <v>0</v>
      </c>
      <c r="H364" s="3197">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4">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64">
        <f t="shared" si="262"/>
        <v>0</v>
      </c>
      <c r="AW364" s="464">
        <f t="shared" si="263"/>
        <v>0</v>
      </c>
      <c r="AX364" s="464">
        <f t="shared" si="264"/>
        <v>0</v>
      </c>
      <c r="AY364" s="3261">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6">
        <f t="shared" si="260"/>
        <v>0</v>
      </c>
    </row>
    <row r="365" spans="1:72">
      <c r="A365" s="3192"/>
      <c r="B365" s="3193"/>
      <c r="C365" s="3193"/>
      <c r="D365" s="3188"/>
      <c r="E365" s="3194">
        <f t="shared" si="261"/>
        <v>0</v>
      </c>
      <c r="F365" s="3195"/>
      <c r="G365" s="3196">
        <f t="shared" si="236"/>
        <v>0</v>
      </c>
      <c r="H365" s="3197">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4">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64">
        <f t="shared" si="262"/>
        <v>0</v>
      </c>
      <c r="AW365" s="464">
        <f t="shared" si="263"/>
        <v>0</v>
      </c>
      <c r="AX365" s="464">
        <f t="shared" si="264"/>
        <v>0</v>
      </c>
      <c r="AY365" s="3261">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6">
        <f t="shared" si="260"/>
        <v>0</v>
      </c>
    </row>
    <row r="366" spans="1:72">
      <c r="A366" s="3192"/>
      <c r="B366" s="3193"/>
      <c r="C366" s="3193"/>
      <c r="D366" s="3188"/>
      <c r="E366" s="3194">
        <f t="shared" si="261"/>
        <v>0</v>
      </c>
      <c r="F366" s="3195"/>
      <c r="G366" s="3196">
        <f t="shared" si="236"/>
        <v>0</v>
      </c>
      <c r="H366" s="3197">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4">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64">
        <f t="shared" si="262"/>
        <v>0</v>
      </c>
      <c r="AW366" s="464">
        <f t="shared" si="263"/>
        <v>0</v>
      </c>
      <c r="AX366" s="464">
        <f t="shared" si="264"/>
        <v>0</v>
      </c>
      <c r="AY366" s="3261">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6">
        <f t="shared" si="260"/>
        <v>0</v>
      </c>
    </row>
    <row r="367" spans="1:72">
      <c r="A367" s="3192"/>
      <c r="B367" s="3193"/>
      <c r="C367" s="3193"/>
      <c r="D367" s="3188"/>
      <c r="E367" s="3194">
        <f t="shared" si="261"/>
        <v>0</v>
      </c>
      <c r="F367" s="3195"/>
      <c r="G367" s="3196">
        <f t="shared" si="236"/>
        <v>0</v>
      </c>
      <c r="H367" s="3197">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4">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64">
        <f t="shared" si="262"/>
        <v>0</v>
      </c>
      <c r="AW367" s="464">
        <f t="shared" si="263"/>
        <v>0</v>
      </c>
      <c r="AX367" s="464">
        <f t="shared" si="264"/>
        <v>0</v>
      </c>
      <c r="AY367" s="3261">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6">
        <f t="shared" si="260"/>
        <v>0</v>
      </c>
    </row>
    <row r="368" spans="1:72">
      <c r="A368" s="3192"/>
      <c r="B368" s="3193"/>
      <c r="C368" s="3193"/>
      <c r="D368" s="3188"/>
      <c r="E368" s="3194">
        <f t="shared" si="261"/>
        <v>0</v>
      </c>
      <c r="F368" s="3195"/>
      <c r="G368" s="3196">
        <f t="shared" si="236"/>
        <v>0</v>
      </c>
      <c r="H368" s="3197">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4">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64">
        <f t="shared" si="262"/>
        <v>0</v>
      </c>
      <c r="AW368" s="464">
        <f t="shared" si="263"/>
        <v>0</v>
      </c>
      <c r="AX368" s="464">
        <f t="shared" si="264"/>
        <v>0</v>
      </c>
      <c r="AY368" s="3261">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6">
        <f t="shared" si="260"/>
        <v>0</v>
      </c>
    </row>
    <row r="369" spans="1:72">
      <c r="A369" s="3192"/>
      <c r="B369" s="3193"/>
      <c r="C369" s="3193"/>
      <c r="D369" s="3188"/>
      <c r="E369" s="3194">
        <f t="shared" si="261"/>
        <v>0</v>
      </c>
      <c r="F369" s="3195"/>
      <c r="G369" s="3196">
        <f t="shared" si="236"/>
        <v>0</v>
      </c>
      <c r="H369" s="3197">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4">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64">
        <f t="shared" si="262"/>
        <v>0</v>
      </c>
      <c r="AW369" s="464">
        <f t="shared" si="263"/>
        <v>0</v>
      </c>
      <c r="AX369" s="464">
        <f t="shared" si="264"/>
        <v>0</v>
      </c>
      <c r="AY369" s="3261">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6">
        <f t="shared" si="260"/>
        <v>0</v>
      </c>
    </row>
    <row r="370" spans="1:72">
      <c r="A370" s="3192"/>
      <c r="B370" s="3193"/>
      <c r="C370" s="3193"/>
      <c r="D370" s="3188"/>
      <c r="E370" s="3194">
        <f t="shared" si="261"/>
        <v>0</v>
      </c>
      <c r="F370" s="3195"/>
      <c r="G370" s="3196">
        <f t="shared" si="236"/>
        <v>0</v>
      </c>
      <c r="H370" s="3197">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4">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64">
        <f t="shared" si="262"/>
        <v>0</v>
      </c>
      <c r="AW370" s="464">
        <f t="shared" si="263"/>
        <v>0</v>
      </c>
      <c r="AX370" s="464">
        <f t="shared" si="264"/>
        <v>0</v>
      </c>
      <c r="AY370" s="3261">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6">
        <f t="shared" si="260"/>
        <v>0</v>
      </c>
    </row>
    <row r="371" spans="1:72">
      <c r="A371" s="3192"/>
      <c r="B371" s="3193"/>
      <c r="C371" s="3193"/>
      <c r="D371" s="3188"/>
      <c r="E371" s="3194">
        <f t="shared" si="261"/>
        <v>0</v>
      </c>
      <c r="F371" s="3195"/>
      <c r="G371" s="3196">
        <f t="shared" si="236"/>
        <v>0</v>
      </c>
      <c r="H371" s="3197">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4">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64">
        <f t="shared" si="262"/>
        <v>0</v>
      </c>
      <c r="AW371" s="464">
        <f t="shared" si="263"/>
        <v>0</v>
      </c>
      <c r="AX371" s="464">
        <f t="shared" si="264"/>
        <v>0</v>
      </c>
      <c r="AY371" s="3261">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6">
        <f t="shared" si="260"/>
        <v>0</v>
      </c>
    </row>
    <row r="372" spans="1:72">
      <c r="A372" s="3192"/>
      <c r="B372" s="3193"/>
      <c r="C372" s="3193"/>
      <c r="D372" s="3188"/>
      <c r="E372" s="3194">
        <f t="shared" si="261"/>
        <v>0</v>
      </c>
      <c r="F372" s="3195"/>
      <c r="G372" s="3196">
        <f t="shared" si="236"/>
        <v>0</v>
      </c>
      <c r="H372" s="3197">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4">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64">
        <f t="shared" si="262"/>
        <v>0</v>
      </c>
      <c r="AW372" s="464">
        <f t="shared" si="263"/>
        <v>0</v>
      </c>
      <c r="AX372" s="464">
        <f t="shared" si="264"/>
        <v>0</v>
      </c>
      <c r="AY372" s="3261">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6">
        <f t="shared" si="260"/>
        <v>0</v>
      </c>
    </row>
    <row r="373" spans="1:72">
      <c r="A373" s="3192"/>
      <c r="B373" s="3193"/>
      <c r="C373" s="3193"/>
      <c r="D373" s="3188"/>
      <c r="E373" s="3194">
        <f t="shared" si="261"/>
        <v>0</v>
      </c>
      <c r="F373" s="3195"/>
      <c r="G373" s="3196">
        <f t="shared" si="236"/>
        <v>0</v>
      </c>
      <c r="H373" s="3197">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4">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64">
        <f t="shared" si="262"/>
        <v>0</v>
      </c>
      <c r="AW373" s="464">
        <f t="shared" si="263"/>
        <v>0</v>
      </c>
      <c r="AX373" s="464">
        <f t="shared" si="264"/>
        <v>0</v>
      </c>
      <c r="AY373" s="3261">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6">
        <f t="shared" si="260"/>
        <v>0</v>
      </c>
    </row>
    <row r="374" spans="1:72">
      <c r="A374" s="3192"/>
      <c r="B374" s="3193"/>
      <c r="C374" s="3193"/>
      <c r="D374" s="3188"/>
      <c r="E374" s="3194">
        <f t="shared" si="261"/>
        <v>0</v>
      </c>
      <c r="F374" s="3195"/>
      <c r="G374" s="3196">
        <f t="shared" si="236"/>
        <v>0</v>
      </c>
      <c r="H374" s="3197">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4">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64">
        <f t="shared" si="262"/>
        <v>0</v>
      </c>
      <c r="AW374" s="464">
        <f t="shared" si="263"/>
        <v>0</v>
      </c>
      <c r="AX374" s="464">
        <f t="shared" si="264"/>
        <v>0</v>
      </c>
      <c r="AY374" s="3261">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6">
        <f t="shared" si="260"/>
        <v>0</v>
      </c>
    </row>
    <row r="375" spans="1:72">
      <c r="A375" s="3192"/>
      <c r="B375" s="3193"/>
      <c r="C375" s="3193"/>
      <c r="D375" s="3188"/>
      <c r="E375" s="3194">
        <f t="shared" si="261"/>
        <v>0</v>
      </c>
      <c r="F375" s="3195"/>
      <c r="G375" s="3196">
        <f t="shared" si="236"/>
        <v>0</v>
      </c>
      <c r="H375" s="3197">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4">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64">
        <f t="shared" si="262"/>
        <v>0</v>
      </c>
      <c r="AW375" s="464">
        <f t="shared" si="263"/>
        <v>0</v>
      </c>
      <c r="AX375" s="464">
        <f t="shared" si="264"/>
        <v>0</v>
      </c>
      <c r="AY375" s="3261">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6">
        <f t="shared" si="260"/>
        <v>0</v>
      </c>
    </row>
    <row r="376" spans="1:72">
      <c r="A376" s="3192"/>
      <c r="B376" s="3193"/>
      <c r="C376" s="3193"/>
      <c r="D376" s="3188"/>
      <c r="E376" s="3194">
        <f t="shared" si="261"/>
        <v>0</v>
      </c>
      <c r="F376" s="3195"/>
      <c r="G376" s="3196">
        <f t="shared" si="236"/>
        <v>0</v>
      </c>
      <c r="H376" s="3197">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4">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64">
        <f t="shared" si="262"/>
        <v>0</v>
      </c>
      <c r="AW376" s="464">
        <f t="shared" si="263"/>
        <v>0</v>
      </c>
      <c r="AX376" s="464">
        <f t="shared" si="264"/>
        <v>0</v>
      </c>
      <c r="AY376" s="3261">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6">
        <f t="shared" si="260"/>
        <v>0</v>
      </c>
    </row>
    <row r="377" spans="1:72">
      <c r="A377" s="3192"/>
      <c r="B377" s="3193"/>
      <c r="C377" s="3193"/>
      <c r="D377" s="3188"/>
      <c r="E377" s="3194">
        <f t="shared" si="261"/>
        <v>0</v>
      </c>
      <c r="F377" s="3195"/>
      <c r="G377" s="3196">
        <f t="shared" si="236"/>
        <v>0</v>
      </c>
      <c r="H377" s="3197">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4">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64">
        <f t="shared" si="262"/>
        <v>0</v>
      </c>
      <c r="AW377" s="464">
        <f t="shared" si="263"/>
        <v>0</v>
      </c>
      <c r="AX377" s="464">
        <f t="shared" si="264"/>
        <v>0</v>
      </c>
      <c r="AY377" s="3261">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6">
        <f t="shared" si="260"/>
        <v>0</v>
      </c>
    </row>
    <row r="378" spans="1:72">
      <c r="A378" s="3192"/>
      <c r="B378" s="3193"/>
      <c r="C378" s="3193"/>
      <c r="D378" s="3188"/>
      <c r="E378" s="3194">
        <f t="shared" si="261"/>
        <v>0</v>
      </c>
      <c r="F378" s="3195"/>
      <c r="G378" s="3196">
        <f t="shared" si="236"/>
        <v>0</v>
      </c>
      <c r="H378" s="3197">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4">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64">
        <f t="shared" si="262"/>
        <v>0</v>
      </c>
      <c r="AW378" s="464">
        <f t="shared" si="263"/>
        <v>0</v>
      </c>
      <c r="AX378" s="464">
        <f t="shared" si="264"/>
        <v>0</v>
      </c>
      <c r="AY378" s="3261">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6">
        <f t="shared" si="260"/>
        <v>0</v>
      </c>
    </row>
    <row r="379" spans="1:72">
      <c r="A379" s="3192"/>
      <c r="B379" s="3193"/>
      <c r="C379" s="3193"/>
      <c r="D379" s="3188"/>
      <c r="E379" s="3194">
        <f t="shared" si="261"/>
        <v>0</v>
      </c>
      <c r="F379" s="3195"/>
      <c r="G379" s="3196">
        <f t="shared" si="236"/>
        <v>0</v>
      </c>
      <c r="H379" s="3197">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4">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64">
        <f t="shared" si="262"/>
        <v>0</v>
      </c>
      <c r="AW379" s="464">
        <f t="shared" si="263"/>
        <v>0</v>
      </c>
      <c r="AX379" s="464">
        <f t="shared" si="264"/>
        <v>0</v>
      </c>
      <c r="AY379" s="3261">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6">
        <f t="shared" si="260"/>
        <v>0</v>
      </c>
    </row>
    <row r="380" spans="1:72">
      <c r="A380" s="3192"/>
      <c r="B380" s="3193"/>
      <c r="C380" s="3193"/>
      <c r="D380" s="3188"/>
      <c r="E380" s="3194">
        <f t="shared" si="261"/>
        <v>0</v>
      </c>
      <c r="F380" s="3195"/>
      <c r="G380" s="3196">
        <f t="shared" si="236"/>
        <v>0</v>
      </c>
      <c r="H380" s="3197">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4">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64">
        <f t="shared" si="262"/>
        <v>0</v>
      </c>
      <c r="AW380" s="464">
        <f t="shared" si="263"/>
        <v>0</v>
      </c>
      <c r="AX380" s="464">
        <f t="shared" si="264"/>
        <v>0</v>
      </c>
      <c r="AY380" s="3261">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6">
        <f t="shared" si="260"/>
        <v>0</v>
      </c>
    </row>
    <row r="381" spans="1:72">
      <c r="A381" s="3192"/>
      <c r="B381" s="3193"/>
      <c r="C381" s="3193"/>
      <c r="D381" s="3188"/>
      <c r="E381" s="3194">
        <f t="shared" si="261"/>
        <v>0</v>
      </c>
      <c r="F381" s="3195"/>
      <c r="G381" s="3196">
        <f t="shared" si="236"/>
        <v>0</v>
      </c>
      <c r="H381" s="3197">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4">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64">
        <f t="shared" si="262"/>
        <v>0</v>
      </c>
      <c r="AW381" s="464">
        <f t="shared" si="263"/>
        <v>0</v>
      </c>
      <c r="AX381" s="464">
        <f t="shared" si="264"/>
        <v>0</v>
      </c>
      <c r="AY381" s="3261">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6">
        <f t="shared" si="260"/>
        <v>0</v>
      </c>
    </row>
    <row r="382" spans="1:72">
      <c r="A382" s="3192"/>
      <c r="B382" s="3193"/>
      <c r="C382" s="3193"/>
      <c r="D382" s="3188"/>
      <c r="E382" s="3194">
        <f t="shared" si="261"/>
        <v>0</v>
      </c>
      <c r="F382" s="3195"/>
      <c r="G382" s="3196">
        <f t="shared" si="236"/>
        <v>0</v>
      </c>
      <c r="H382" s="3197">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4">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64">
        <f t="shared" si="262"/>
        <v>0</v>
      </c>
      <c r="AW382" s="464">
        <f t="shared" si="263"/>
        <v>0</v>
      </c>
      <c r="AX382" s="464">
        <f t="shared" si="264"/>
        <v>0</v>
      </c>
      <c r="AY382" s="3261">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6">
        <f t="shared" si="260"/>
        <v>0</v>
      </c>
    </row>
    <row r="383" spans="1:72">
      <c r="A383" s="3192"/>
      <c r="B383" s="3193"/>
      <c r="C383" s="3193"/>
      <c r="D383" s="3188"/>
      <c r="E383" s="3194">
        <f t="shared" si="261"/>
        <v>0</v>
      </c>
      <c r="F383" s="3195"/>
      <c r="G383" s="3196">
        <f t="shared" si="236"/>
        <v>0</v>
      </c>
      <c r="H383" s="3197">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4">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64">
        <f t="shared" si="262"/>
        <v>0</v>
      </c>
      <c r="AW383" s="464">
        <f t="shared" si="263"/>
        <v>0</v>
      </c>
      <c r="AX383" s="464">
        <f t="shared" si="264"/>
        <v>0</v>
      </c>
      <c r="AY383" s="3261">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6">
        <f t="shared" si="260"/>
        <v>0</v>
      </c>
    </row>
    <row r="384" spans="1:72">
      <c r="A384" s="3192"/>
      <c r="B384" s="3193"/>
      <c r="C384" s="3193"/>
      <c r="D384" s="3188"/>
      <c r="E384" s="3194">
        <f t="shared" si="261"/>
        <v>0</v>
      </c>
      <c r="F384" s="3195"/>
      <c r="G384" s="3196">
        <f t="shared" si="236"/>
        <v>0</v>
      </c>
      <c r="H384" s="3197">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4">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64">
        <f t="shared" si="262"/>
        <v>0</v>
      </c>
      <c r="AW384" s="464">
        <f t="shared" si="263"/>
        <v>0</v>
      </c>
      <c r="AX384" s="464">
        <f t="shared" si="264"/>
        <v>0</v>
      </c>
      <c r="AY384" s="3261">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6">
        <f t="shared" si="260"/>
        <v>0</v>
      </c>
    </row>
    <row r="385" spans="1:72">
      <c r="A385" s="3192"/>
      <c r="B385" s="3193"/>
      <c r="C385" s="3193"/>
      <c r="D385" s="3188"/>
      <c r="E385" s="3194">
        <f t="shared" si="261"/>
        <v>0</v>
      </c>
      <c r="F385" s="3195"/>
      <c r="G385" s="3196">
        <f t="shared" si="236"/>
        <v>0</v>
      </c>
      <c r="H385" s="3197">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4">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64">
        <f t="shared" si="262"/>
        <v>0</v>
      </c>
      <c r="AW385" s="464">
        <f t="shared" si="263"/>
        <v>0</v>
      </c>
      <c r="AX385" s="464">
        <f t="shared" si="264"/>
        <v>0</v>
      </c>
      <c r="AY385" s="3261">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6">
        <f t="shared" si="260"/>
        <v>0</v>
      </c>
    </row>
    <row r="386" spans="1:72">
      <c r="A386" s="3192"/>
      <c r="B386" s="3192"/>
      <c r="C386" s="3192"/>
      <c r="D386" s="3188"/>
      <c r="E386" s="3194">
        <f t="shared" si="261"/>
        <v>0</v>
      </c>
      <c r="F386" s="3267"/>
      <c r="G386" s="3196">
        <f t="shared" si="236"/>
        <v>0</v>
      </c>
      <c r="H386" s="3197">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4">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64">
        <f t="shared" si="262"/>
        <v>0</v>
      </c>
      <c r="AW386" s="464">
        <f t="shared" si="263"/>
        <v>0</v>
      </c>
      <c r="AX386" s="464">
        <f t="shared" si="264"/>
        <v>0</v>
      </c>
      <c r="AY386" s="3261">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6">
        <f t="shared" si="260"/>
        <v>0</v>
      </c>
    </row>
    <row r="387" spans="1:72">
      <c r="A387" s="3192"/>
      <c r="B387" s="3192"/>
      <c r="C387" s="3192"/>
      <c r="D387" s="3188"/>
      <c r="E387" s="3194">
        <f t="shared" si="261"/>
        <v>0</v>
      </c>
      <c r="F387" s="3267"/>
      <c r="G387" s="3196">
        <f t="shared" si="236"/>
        <v>0</v>
      </c>
      <c r="H387" s="3197">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4">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64">
        <f t="shared" si="262"/>
        <v>0</v>
      </c>
      <c r="AW387" s="464">
        <f t="shared" si="263"/>
        <v>0</v>
      </c>
      <c r="AX387" s="464">
        <f t="shared" si="264"/>
        <v>0</v>
      </c>
      <c r="AY387" s="3261">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6">
        <f t="shared" si="260"/>
        <v>0</v>
      </c>
    </row>
    <row r="388" spans="1:72">
      <c r="A388" s="3192"/>
      <c r="B388" s="3192"/>
      <c r="C388" s="3192"/>
      <c r="D388" s="3188"/>
      <c r="E388" s="3194">
        <f t="shared" si="261"/>
        <v>0</v>
      </c>
      <c r="F388" s="3267"/>
      <c r="G388" s="3196">
        <f t="shared" si="236"/>
        <v>0</v>
      </c>
      <c r="H388" s="3197">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4">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64">
        <f t="shared" si="262"/>
        <v>0</v>
      </c>
      <c r="AW388" s="464">
        <f t="shared" si="263"/>
        <v>0</v>
      </c>
      <c r="AX388" s="464">
        <f t="shared" si="264"/>
        <v>0</v>
      </c>
      <c r="AY388" s="3261">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6">
        <f t="shared" si="260"/>
        <v>0</v>
      </c>
    </row>
    <row r="389" spans="1:72">
      <c r="A389" s="3192"/>
      <c r="B389" s="3200"/>
      <c r="C389" s="3199"/>
      <c r="D389" s="3188"/>
      <c r="E389" s="3194">
        <f t="shared" ref="E389:E480" si="265">IF($C$3="是",ROUND($A$3*G389/$B$3,2),ROUND($A$3*(G389-AT389)/$B$3,2))</f>
        <v>0</v>
      </c>
      <c r="F389" s="3195"/>
      <c r="G389" s="3196">
        <f t="shared" ref="G389:G477" si="266">H389+AC389+AT389</f>
        <v>0</v>
      </c>
      <c r="H389" s="3197">
        <f t="shared" ref="H389:H477" si="267">SUMIF(I$12:AB$12,"总值",I389:AB389)</f>
        <v>0</v>
      </c>
      <c r="I389" s="3202"/>
      <c r="J389" s="3213"/>
      <c r="K389" s="3202"/>
      <c r="L389" s="3213"/>
      <c r="M389" s="3213"/>
      <c r="N389" s="3213"/>
      <c r="O389" s="3213"/>
      <c r="P389" s="3213"/>
      <c r="Q389" s="3213"/>
      <c r="R389" s="3213"/>
      <c r="S389" s="3213"/>
      <c r="T389" s="3213"/>
      <c r="U389" s="3213"/>
      <c r="V389" s="3213"/>
      <c r="W389" s="3213"/>
      <c r="X389" s="3213"/>
      <c r="Y389" s="3213"/>
      <c r="Z389" s="3213"/>
      <c r="AA389" s="3213"/>
      <c r="AB389" s="3213"/>
      <c r="AC389" s="3194">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64">
        <f t="shared" ref="AV389:AV480" si="269">A389</f>
        <v>0</v>
      </c>
      <c r="AW389" s="464">
        <f t="shared" ref="AW389:AW480" si="270">B389</f>
        <v>0</v>
      </c>
      <c r="AX389" s="464">
        <f t="shared" ref="AX389:AX480" si="271">C389</f>
        <v>0</v>
      </c>
      <c r="AY389" s="3261">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6">
        <f t="shared" ref="BT389:BT477" si="293">IF($D389="是",AR389-AS389,0)</f>
        <v>0</v>
      </c>
    </row>
    <row r="390" spans="1:72">
      <c r="A390" s="3192"/>
      <c r="B390" s="3200"/>
      <c r="C390" s="3199"/>
      <c r="D390" s="3188"/>
      <c r="E390" s="3194">
        <f t="shared" si="265"/>
        <v>0</v>
      </c>
      <c r="F390" s="3195"/>
      <c r="G390" s="3196">
        <f t="shared" si="266"/>
        <v>0</v>
      </c>
      <c r="H390" s="3197">
        <f t="shared" si="267"/>
        <v>0</v>
      </c>
      <c r="I390" s="3202"/>
      <c r="J390" s="3213"/>
      <c r="K390" s="3202"/>
      <c r="L390" s="3213"/>
      <c r="M390" s="3214"/>
      <c r="N390" s="3213"/>
      <c r="O390" s="3213"/>
      <c r="P390" s="3213"/>
      <c r="Q390" s="3213"/>
      <c r="R390" s="3213"/>
      <c r="S390" s="3213"/>
      <c r="T390" s="3213"/>
      <c r="U390" s="3213"/>
      <c r="V390" s="3213"/>
      <c r="W390" s="3213"/>
      <c r="X390" s="3213"/>
      <c r="Y390" s="3213"/>
      <c r="Z390" s="3213"/>
      <c r="AA390" s="3213"/>
      <c r="AB390" s="3213"/>
      <c r="AC390" s="3194">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64">
        <f t="shared" si="269"/>
        <v>0</v>
      </c>
      <c r="AW390" s="464">
        <f t="shared" si="270"/>
        <v>0</v>
      </c>
      <c r="AX390" s="464">
        <f t="shared" si="271"/>
        <v>0</v>
      </c>
      <c r="AY390" s="3261">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6">
        <f t="shared" si="293"/>
        <v>0</v>
      </c>
    </row>
    <row r="391" spans="1:72">
      <c r="A391" s="3192"/>
      <c r="B391" s="3200"/>
      <c r="C391" s="3199"/>
      <c r="D391" s="3188"/>
      <c r="E391" s="3194">
        <f t="shared" si="265"/>
        <v>0</v>
      </c>
      <c r="F391" s="3195"/>
      <c r="G391" s="3196">
        <f t="shared" si="266"/>
        <v>0</v>
      </c>
      <c r="H391" s="3197">
        <f t="shared" si="267"/>
        <v>0</v>
      </c>
      <c r="I391" s="3202"/>
      <c r="J391" s="3213"/>
      <c r="K391" s="3202"/>
      <c r="L391" s="3213"/>
      <c r="M391" s="3214"/>
      <c r="N391" s="3213"/>
      <c r="O391" s="3213"/>
      <c r="P391" s="3213"/>
      <c r="Q391" s="3213"/>
      <c r="R391" s="3213"/>
      <c r="S391" s="3213"/>
      <c r="T391" s="3213"/>
      <c r="U391" s="3213"/>
      <c r="V391" s="3213"/>
      <c r="W391" s="3213"/>
      <c r="X391" s="3213"/>
      <c r="Y391" s="3213"/>
      <c r="Z391" s="3213"/>
      <c r="AA391" s="3213"/>
      <c r="AB391" s="3213"/>
      <c r="AC391" s="3194">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64">
        <f t="shared" si="269"/>
        <v>0</v>
      </c>
      <c r="AW391" s="464">
        <f t="shared" si="270"/>
        <v>0</v>
      </c>
      <c r="AX391" s="464">
        <f t="shared" si="271"/>
        <v>0</v>
      </c>
      <c r="AY391" s="3261">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6">
        <f t="shared" si="293"/>
        <v>0</v>
      </c>
    </row>
    <row r="392" spans="1:72">
      <c r="A392" s="3192"/>
      <c r="B392" s="3200"/>
      <c r="C392" s="3199"/>
      <c r="D392" s="3188"/>
      <c r="E392" s="3194">
        <f t="shared" si="265"/>
        <v>0</v>
      </c>
      <c r="F392" s="3195"/>
      <c r="G392" s="3196">
        <f t="shared" si="266"/>
        <v>0</v>
      </c>
      <c r="H392" s="3197">
        <f t="shared" si="267"/>
        <v>0</v>
      </c>
      <c r="I392" s="3202"/>
      <c r="J392" s="3213"/>
      <c r="K392" s="3202"/>
      <c r="L392" s="3213"/>
      <c r="M392" s="3213"/>
      <c r="N392" s="3213"/>
      <c r="O392" s="3214"/>
      <c r="P392" s="3213"/>
      <c r="Q392" s="3213"/>
      <c r="R392" s="3213"/>
      <c r="S392" s="3213"/>
      <c r="T392" s="3213"/>
      <c r="U392" s="3213"/>
      <c r="V392" s="3213"/>
      <c r="W392" s="3213"/>
      <c r="X392" s="3213"/>
      <c r="Y392" s="3213"/>
      <c r="Z392" s="3213"/>
      <c r="AA392" s="3213"/>
      <c r="AB392" s="3213"/>
      <c r="AC392" s="3194">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64">
        <f t="shared" si="269"/>
        <v>0</v>
      </c>
      <c r="AW392" s="464">
        <f t="shared" si="270"/>
        <v>0</v>
      </c>
      <c r="AX392" s="464">
        <f t="shared" si="271"/>
        <v>0</v>
      </c>
      <c r="AY392" s="3261">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6">
        <f t="shared" si="293"/>
        <v>0</v>
      </c>
    </row>
    <row r="393" spans="1:72">
      <c r="A393" s="3192"/>
      <c r="B393" s="3200"/>
      <c r="C393" s="3199"/>
      <c r="D393" s="3188"/>
      <c r="E393" s="3194">
        <f t="shared" si="265"/>
        <v>0</v>
      </c>
      <c r="F393" s="3195"/>
      <c r="G393" s="3196">
        <f t="shared" si="266"/>
        <v>0</v>
      </c>
      <c r="H393" s="3197">
        <f t="shared" si="267"/>
        <v>0</v>
      </c>
      <c r="I393" s="3202"/>
      <c r="J393" s="3213"/>
      <c r="K393" s="3202"/>
      <c r="L393" s="3213"/>
      <c r="M393" s="3213"/>
      <c r="N393" s="3213"/>
      <c r="O393" s="3213"/>
      <c r="P393" s="3213"/>
      <c r="Q393" s="3213"/>
      <c r="R393" s="3213"/>
      <c r="S393" s="3213"/>
      <c r="T393" s="3213"/>
      <c r="U393" s="3213"/>
      <c r="V393" s="3213"/>
      <c r="W393" s="3213"/>
      <c r="X393" s="3213"/>
      <c r="Y393" s="3213"/>
      <c r="Z393" s="3213"/>
      <c r="AA393" s="3213"/>
      <c r="AB393" s="3213"/>
      <c r="AC393" s="3194">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64">
        <f t="shared" si="269"/>
        <v>0</v>
      </c>
      <c r="AW393" s="464">
        <f t="shared" si="270"/>
        <v>0</v>
      </c>
      <c r="AX393" s="464">
        <f t="shared" si="271"/>
        <v>0</v>
      </c>
      <c r="AY393" s="3261">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6">
        <f t="shared" si="293"/>
        <v>0</v>
      </c>
    </row>
    <row r="394" spans="1:72">
      <c r="A394" s="3192"/>
      <c r="B394" s="3200"/>
      <c r="C394" s="3199"/>
      <c r="D394" s="3188"/>
      <c r="E394" s="3194">
        <f t="shared" si="265"/>
        <v>0</v>
      </c>
      <c r="F394" s="3195"/>
      <c r="G394" s="3196">
        <f t="shared" si="266"/>
        <v>0</v>
      </c>
      <c r="H394" s="3197">
        <f t="shared" si="267"/>
        <v>0</v>
      </c>
      <c r="I394" s="3202"/>
      <c r="J394" s="3213"/>
      <c r="K394" s="3202"/>
      <c r="L394" s="3213"/>
      <c r="M394" s="3213"/>
      <c r="N394" s="3213"/>
      <c r="O394" s="3213"/>
      <c r="P394" s="3213"/>
      <c r="Q394" s="3213"/>
      <c r="R394" s="3213"/>
      <c r="S394" s="3213"/>
      <c r="T394" s="3213"/>
      <c r="U394" s="3213"/>
      <c r="V394" s="3213"/>
      <c r="W394" s="3213"/>
      <c r="X394" s="3213"/>
      <c r="Y394" s="3213"/>
      <c r="Z394" s="3213"/>
      <c r="AA394" s="3213"/>
      <c r="AB394" s="3213"/>
      <c r="AC394" s="3194">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64">
        <f t="shared" si="269"/>
        <v>0</v>
      </c>
      <c r="AW394" s="464">
        <f t="shared" si="270"/>
        <v>0</v>
      </c>
      <c r="AX394" s="464">
        <f t="shared" si="271"/>
        <v>0</v>
      </c>
      <c r="AY394" s="3261">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6">
        <f t="shared" si="293"/>
        <v>0</v>
      </c>
    </row>
    <row r="395" spans="1:72">
      <c r="A395" s="3192"/>
      <c r="B395" s="3200"/>
      <c r="C395" s="3199"/>
      <c r="D395" s="3188"/>
      <c r="E395" s="3194">
        <f t="shared" si="265"/>
        <v>0</v>
      </c>
      <c r="F395" s="3195"/>
      <c r="G395" s="3196">
        <f t="shared" si="266"/>
        <v>0</v>
      </c>
      <c r="H395" s="3197">
        <f t="shared" si="267"/>
        <v>0</v>
      </c>
      <c r="I395" s="3202"/>
      <c r="J395" s="3213"/>
      <c r="K395" s="3202"/>
      <c r="L395" s="3213"/>
      <c r="M395" s="3213"/>
      <c r="N395" s="3213"/>
      <c r="O395" s="3213"/>
      <c r="P395" s="3213"/>
      <c r="Q395" s="3213"/>
      <c r="R395" s="3213"/>
      <c r="S395" s="3213"/>
      <c r="T395" s="3213"/>
      <c r="U395" s="3213"/>
      <c r="V395" s="3213"/>
      <c r="W395" s="3213"/>
      <c r="X395" s="3213"/>
      <c r="Y395" s="3213"/>
      <c r="Z395" s="3213"/>
      <c r="AA395" s="3213"/>
      <c r="AB395" s="3213"/>
      <c r="AC395" s="3194">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64">
        <f t="shared" si="269"/>
        <v>0</v>
      </c>
      <c r="AW395" s="464">
        <f t="shared" si="270"/>
        <v>0</v>
      </c>
      <c r="AX395" s="464">
        <f t="shared" si="271"/>
        <v>0</v>
      </c>
      <c r="AY395" s="3261">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6">
        <f t="shared" si="293"/>
        <v>0</v>
      </c>
    </row>
    <row r="396" spans="1:72">
      <c r="A396" s="3192"/>
      <c r="B396" s="3200"/>
      <c r="C396" s="3199"/>
      <c r="D396" s="3188"/>
      <c r="E396" s="3194">
        <f t="shared" si="265"/>
        <v>0</v>
      </c>
      <c r="F396" s="3195"/>
      <c r="G396" s="3196">
        <f t="shared" si="266"/>
        <v>0</v>
      </c>
      <c r="H396" s="3197">
        <f t="shared" si="267"/>
        <v>0</v>
      </c>
      <c r="I396" s="3202"/>
      <c r="J396" s="3213"/>
      <c r="K396" s="3202"/>
      <c r="L396" s="3213"/>
      <c r="M396" s="3213"/>
      <c r="N396" s="3213"/>
      <c r="O396" s="3213"/>
      <c r="P396" s="3213"/>
      <c r="Q396" s="3213"/>
      <c r="R396" s="3213"/>
      <c r="S396" s="3213"/>
      <c r="T396" s="3213"/>
      <c r="U396" s="3213"/>
      <c r="V396" s="3213"/>
      <c r="W396" s="3213"/>
      <c r="X396" s="3213"/>
      <c r="Y396" s="3213"/>
      <c r="Z396" s="3213"/>
      <c r="AA396" s="3213"/>
      <c r="AB396" s="3213"/>
      <c r="AC396" s="3194">
        <f t="shared" si="268"/>
        <v>0</v>
      </c>
      <c r="AD396" s="3224"/>
      <c r="AE396" s="3224"/>
      <c r="AF396" s="3202"/>
      <c r="AG396" s="3224"/>
      <c r="AH396" s="3224"/>
      <c r="AI396" s="3224"/>
      <c r="AJ396" s="3224"/>
      <c r="AK396" s="3224"/>
      <c r="AL396" s="3224"/>
      <c r="AM396" s="3224"/>
      <c r="AN396" s="3224"/>
      <c r="AO396" s="3224"/>
      <c r="AP396" s="3224"/>
      <c r="AQ396" s="3224"/>
      <c r="AR396" s="3224"/>
      <c r="AS396" s="3224"/>
      <c r="AT396" s="3244"/>
      <c r="AU396" s="3245"/>
      <c r="AV396" s="464">
        <f t="shared" si="269"/>
        <v>0</v>
      </c>
      <c r="AW396" s="464">
        <f t="shared" si="270"/>
        <v>0</v>
      </c>
      <c r="AX396" s="464">
        <f t="shared" si="271"/>
        <v>0</v>
      </c>
      <c r="AY396" s="3261">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6">
        <f t="shared" si="293"/>
        <v>0</v>
      </c>
    </row>
    <row r="397" spans="1:72">
      <c r="A397" s="3192"/>
      <c r="B397" s="3201"/>
      <c r="C397" s="3202"/>
      <c r="D397" s="3188"/>
      <c r="E397" s="3194">
        <f t="shared" si="265"/>
        <v>0</v>
      </c>
      <c r="F397" s="3195"/>
      <c r="G397" s="3196">
        <f t="shared" si="266"/>
        <v>0</v>
      </c>
      <c r="H397" s="3197">
        <f t="shared" si="267"/>
        <v>0</v>
      </c>
      <c r="I397" s="3202"/>
      <c r="J397" s="3213"/>
      <c r="K397" s="3202"/>
      <c r="L397" s="3213"/>
      <c r="M397" s="3213"/>
      <c r="N397" s="3213"/>
      <c r="O397" s="3213"/>
      <c r="P397" s="3213"/>
      <c r="Q397" s="3213"/>
      <c r="R397" s="3213"/>
      <c r="S397" s="3213"/>
      <c r="T397" s="3213"/>
      <c r="U397" s="3213"/>
      <c r="V397" s="3213"/>
      <c r="W397" s="3213"/>
      <c r="X397" s="3213"/>
      <c r="Y397" s="3213"/>
      <c r="Z397" s="3213"/>
      <c r="AA397" s="3213"/>
      <c r="AB397" s="3213"/>
      <c r="AC397" s="3194">
        <f t="shared" si="268"/>
        <v>0</v>
      </c>
      <c r="AD397" s="3224"/>
      <c r="AE397" s="3224"/>
      <c r="AF397" s="3202"/>
      <c r="AG397" s="3224"/>
      <c r="AH397" s="3224"/>
      <c r="AI397" s="3224"/>
      <c r="AJ397" s="3224"/>
      <c r="AK397" s="3224"/>
      <c r="AL397" s="3224"/>
      <c r="AM397" s="3224"/>
      <c r="AN397" s="3224"/>
      <c r="AO397" s="3224"/>
      <c r="AP397" s="3224"/>
      <c r="AQ397" s="3224"/>
      <c r="AR397" s="3224"/>
      <c r="AS397" s="3224"/>
      <c r="AT397" s="3244"/>
      <c r="AU397" s="3245"/>
      <c r="AV397" s="464">
        <f t="shared" si="269"/>
        <v>0</v>
      </c>
      <c r="AW397" s="464">
        <f t="shared" si="270"/>
        <v>0</v>
      </c>
      <c r="AX397" s="464">
        <f t="shared" si="271"/>
        <v>0</v>
      </c>
      <c r="AY397" s="3261">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6">
        <f t="shared" si="293"/>
        <v>0</v>
      </c>
    </row>
    <row r="398" spans="1:72">
      <c r="A398" s="3192"/>
      <c r="B398" s="3200"/>
      <c r="C398" s="3199"/>
      <c r="D398" s="3188"/>
      <c r="E398" s="3194">
        <f t="shared" si="265"/>
        <v>0</v>
      </c>
      <c r="F398" s="3195"/>
      <c r="G398" s="3196">
        <f t="shared" si="266"/>
        <v>0</v>
      </c>
      <c r="H398" s="3197">
        <f t="shared" si="267"/>
        <v>0</v>
      </c>
      <c r="I398" s="3202"/>
      <c r="J398" s="3213"/>
      <c r="K398" s="3202"/>
      <c r="L398" s="3213"/>
      <c r="M398" s="3213"/>
      <c r="N398" s="3213"/>
      <c r="O398" s="3213"/>
      <c r="P398" s="3213"/>
      <c r="Q398" s="3213"/>
      <c r="R398" s="3213"/>
      <c r="S398" s="3213"/>
      <c r="T398" s="3213"/>
      <c r="U398" s="3213"/>
      <c r="V398" s="3213"/>
      <c r="W398" s="3213"/>
      <c r="X398" s="3213"/>
      <c r="Y398" s="3213"/>
      <c r="Z398" s="3213"/>
      <c r="AA398" s="3213"/>
      <c r="AB398" s="3213"/>
      <c r="AC398" s="3194">
        <f t="shared" si="268"/>
        <v>0</v>
      </c>
      <c r="AD398" s="3224"/>
      <c r="AE398" s="3224"/>
      <c r="AF398" s="3202"/>
      <c r="AG398" s="3224"/>
      <c r="AH398" s="3224"/>
      <c r="AI398" s="3224"/>
      <c r="AJ398" s="3224"/>
      <c r="AK398" s="3224"/>
      <c r="AL398" s="3224"/>
      <c r="AM398" s="3224"/>
      <c r="AN398" s="3224"/>
      <c r="AO398" s="3224"/>
      <c r="AP398" s="3224"/>
      <c r="AQ398" s="3224"/>
      <c r="AR398" s="3224"/>
      <c r="AS398" s="3224"/>
      <c r="AT398" s="3244"/>
      <c r="AU398" s="3245"/>
      <c r="AV398" s="464">
        <f t="shared" si="269"/>
        <v>0</v>
      </c>
      <c r="AW398" s="464">
        <f t="shared" si="270"/>
        <v>0</v>
      </c>
      <c r="AX398" s="464">
        <f t="shared" si="271"/>
        <v>0</v>
      </c>
      <c r="AY398" s="3261">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6">
        <f t="shared" si="293"/>
        <v>0</v>
      </c>
    </row>
    <row r="399" spans="1:72">
      <c r="A399" s="3192"/>
      <c r="B399" s="3200"/>
      <c r="C399" s="3199"/>
      <c r="D399" s="3188"/>
      <c r="E399" s="3194">
        <f t="shared" si="265"/>
        <v>0</v>
      </c>
      <c r="F399" s="3195"/>
      <c r="G399" s="3196">
        <f t="shared" si="266"/>
        <v>0</v>
      </c>
      <c r="H399" s="3197">
        <f t="shared" si="267"/>
        <v>0</v>
      </c>
      <c r="I399" s="3202"/>
      <c r="J399" s="3213"/>
      <c r="K399" s="3202"/>
      <c r="L399" s="3213"/>
      <c r="M399" s="3213"/>
      <c r="N399" s="3213"/>
      <c r="O399" s="3213"/>
      <c r="P399" s="3213"/>
      <c r="Q399" s="3213"/>
      <c r="R399" s="3213"/>
      <c r="S399" s="3213"/>
      <c r="T399" s="3213"/>
      <c r="U399" s="3213"/>
      <c r="V399" s="3213"/>
      <c r="W399" s="3213"/>
      <c r="X399" s="3213"/>
      <c r="Y399" s="3213"/>
      <c r="Z399" s="3213"/>
      <c r="AA399" s="3213"/>
      <c r="AB399" s="3213"/>
      <c r="AC399" s="3194">
        <f t="shared" si="268"/>
        <v>0</v>
      </c>
      <c r="AD399" s="3224"/>
      <c r="AE399" s="3224"/>
      <c r="AF399" s="3202"/>
      <c r="AG399" s="3224"/>
      <c r="AH399" s="3224"/>
      <c r="AI399" s="3224"/>
      <c r="AJ399" s="3224"/>
      <c r="AK399" s="3224"/>
      <c r="AL399" s="3224"/>
      <c r="AM399" s="3224"/>
      <c r="AN399" s="3224"/>
      <c r="AO399" s="3224"/>
      <c r="AP399" s="3224"/>
      <c r="AQ399" s="3224"/>
      <c r="AR399" s="3224"/>
      <c r="AS399" s="3224"/>
      <c r="AT399" s="3244"/>
      <c r="AU399" s="3245"/>
      <c r="AV399" s="464">
        <f t="shared" si="269"/>
        <v>0</v>
      </c>
      <c r="AW399" s="464">
        <f t="shared" si="270"/>
        <v>0</v>
      </c>
      <c r="AX399" s="464">
        <f t="shared" si="271"/>
        <v>0</v>
      </c>
      <c r="AY399" s="3261">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6">
        <f t="shared" si="293"/>
        <v>0</v>
      </c>
    </row>
    <row r="400" spans="1:72">
      <c r="A400" s="3192"/>
      <c r="B400" s="3200"/>
      <c r="C400" s="3199"/>
      <c r="D400" s="3188"/>
      <c r="E400" s="3194">
        <f t="shared" si="265"/>
        <v>0</v>
      </c>
      <c r="F400" s="3195"/>
      <c r="G400" s="3196">
        <f t="shared" si="266"/>
        <v>0</v>
      </c>
      <c r="H400" s="3197">
        <f t="shared" si="267"/>
        <v>0</v>
      </c>
      <c r="I400" s="3202"/>
      <c r="J400" s="3213"/>
      <c r="K400" s="3202"/>
      <c r="L400" s="3213"/>
      <c r="M400" s="3213"/>
      <c r="N400" s="3213"/>
      <c r="O400" s="3213"/>
      <c r="P400" s="3213"/>
      <c r="Q400" s="3213"/>
      <c r="R400" s="3213"/>
      <c r="S400" s="3213"/>
      <c r="T400" s="3213"/>
      <c r="U400" s="3213"/>
      <c r="V400" s="3213"/>
      <c r="W400" s="3213"/>
      <c r="X400" s="3213"/>
      <c r="Y400" s="3213"/>
      <c r="Z400" s="3213"/>
      <c r="AA400" s="3213"/>
      <c r="AB400" s="3213"/>
      <c r="AC400" s="3194">
        <f t="shared" si="268"/>
        <v>0</v>
      </c>
      <c r="AD400" s="3224"/>
      <c r="AE400" s="3224"/>
      <c r="AF400" s="3202"/>
      <c r="AG400" s="3224"/>
      <c r="AH400" s="3224"/>
      <c r="AI400" s="3224"/>
      <c r="AJ400" s="3224"/>
      <c r="AK400" s="3224"/>
      <c r="AL400" s="3224"/>
      <c r="AM400" s="3224"/>
      <c r="AN400" s="3224"/>
      <c r="AO400" s="3224"/>
      <c r="AP400" s="3224"/>
      <c r="AQ400" s="3224"/>
      <c r="AR400" s="3224"/>
      <c r="AS400" s="3224"/>
      <c r="AT400" s="3244"/>
      <c r="AU400" s="3245"/>
      <c r="AV400" s="464">
        <f t="shared" si="269"/>
        <v>0</v>
      </c>
      <c r="AW400" s="464">
        <f t="shared" si="270"/>
        <v>0</v>
      </c>
      <c r="AX400" s="464">
        <f t="shared" si="271"/>
        <v>0</v>
      </c>
      <c r="AY400" s="3261">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6">
        <f t="shared" si="293"/>
        <v>0</v>
      </c>
    </row>
    <row r="401" spans="1:72">
      <c r="A401" s="3192"/>
      <c r="B401" s="3200"/>
      <c r="C401" s="3199"/>
      <c r="D401" s="3188"/>
      <c r="E401" s="3194">
        <f t="shared" si="265"/>
        <v>0</v>
      </c>
      <c r="F401" s="3195"/>
      <c r="G401" s="3196">
        <f t="shared" si="266"/>
        <v>0</v>
      </c>
      <c r="H401" s="3197">
        <f t="shared" si="267"/>
        <v>0</v>
      </c>
      <c r="I401" s="3202"/>
      <c r="J401" s="3213"/>
      <c r="K401" s="3202"/>
      <c r="L401" s="3213"/>
      <c r="M401" s="3213"/>
      <c r="N401" s="3213"/>
      <c r="O401" s="3213"/>
      <c r="P401" s="3213"/>
      <c r="Q401" s="3213"/>
      <c r="R401" s="3213"/>
      <c r="S401" s="3213"/>
      <c r="T401" s="3213"/>
      <c r="U401" s="3213"/>
      <c r="V401" s="3213"/>
      <c r="W401" s="3213"/>
      <c r="X401" s="3213"/>
      <c r="Y401" s="3213"/>
      <c r="Z401" s="3213"/>
      <c r="AA401" s="3213"/>
      <c r="AB401" s="3213"/>
      <c r="AC401" s="3194">
        <f t="shared" si="268"/>
        <v>0</v>
      </c>
      <c r="AD401" s="3224"/>
      <c r="AE401" s="3224"/>
      <c r="AF401" s="3202"/>
      <c r="AG401" s="3224"/>
      <c r="AH401" s="3224"/>
      <c r="AI401" s="3224"/>
      <c r="AJ401" s="3224"/>
      <c r="AK401" s="3224"/>
      <c r="AL401" s="3224"/>
      <c r="AM401" s="3224"/>
      <c r="AN401" s="3224"/>
      <c r="AO401" s="3224"/>
      <c r="AP401" s="3224"/>
      <c r="AQ401" s="3224"/>
      <c r="AR401" s="3224"/>
      <c r="AS401" s="3224"/>
      <c r="AT401" s="3244"/>
      <c r="AU401" s="3245"/>
      <c r="AV401" s="464">
        <f t="shared" si="269"/>
        <v>0</v>
      </c>
      <c r="AW401" s="464">
        <f t="shared" si="270"/>
        <v>0</v>
      </c>
      <c r="AX401" s="464">
        <f t="shared" si="271"/>
        <v>0</v>
      </c>
      <c r="AY401" s="3261">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6">
        <f t="shared" si="293"/>
        <v>0</v>
      </c>
    </row>
    <row r="402" spans="1:72">
      <c r="A402" s="3192"/>
      <c r="B402" s="3200"/>
      <c r="C402" s="3199"/>
      <c r="D402" s="3188"/>
      <c r="E402" s="3194">
        <f t="shared" si="265"/>
        <v>0</v>
      </c>
      <c r="F402" s="3195"/>
      <c r="G402" s="3196">
        <f t="shared" si="266"/>
        <v>0</v>
      </c>
      <c r="H402" s="3197">
        <f t="shared" si="267"/>
        <v>0</v>
      </c>
      <c r="I402" s="3202"/>
      <c r="J402" s="3213"/>
      <c r="K402" s="3202"/>
      <c r="L402" s="3213"/>
      <c r="M402" s="3213"/>
      <c r="N402" s="3213"/>
      <c r="O402" s="3213"/>
      <c r="P402" s="3213"/>
      <c r="Q402" s="3213"/>
      <c r="R402" s="3213"/>
      <c r="S402" s="3213"/>
      <c r="T402" s="3213"/>
      <c r="U402" s="3213"/>
      <c r="V402" s="3213"/>
      <c r="W402" s="3213"/>
      <c r="X402" s="3213"/>
      <c r="Y402" s="3213"/>
      <c r="Z402" s="3213"/>
      <c r="AA402" s="3213"/>
      <c r="AB402" s="3213"/>
      <c r="AC402" s="3194">
        <f t="shared" si="268"/>
        <v>0</v>
      </c>
      <c r="AD402" s="3224"/>
      <c r="AE402" s="3224"/>
      <c r="AF402" s="3202"/>
      <c r="AG402" s="3224"/>
      <c r="AH402" s="3224"/>
      <c r="AI402" s="3224"/>
      <c r="AJ402" s="3224"/>
      <c r="AK402" s="3224"/>
      <c r="AL402" s="3224"/>
      <c r="AM402" s="3224"/>
      <c r="AN402" s="3224"/>
      <c r="AO402" s="3224"/>
      <c r="AP402" s="3224"/>
      <c r="AQ402" s="3224"/>
      <c r="AR402" s="3224"/>
      <c r="AS402" s="3224"/>
      <c r="AT402" s="3244"/>
      <c r="AU402" s="3245"/>
      <c r="AV402" s="464">
        <f t="shared" si="269"/>
        <v>0</v>
      </c>
      <c r="AW402" s="464">
        <f t="shared" si="270"/>
        <v>0</v>
      </c>
      <c r="AX402" s="464">
        <f t="shared" si="271"/>
        <v>0</v>
      </c>
      <c r="AY402" s="3261">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6">
        <f t="shared" si="293"/>
        <v>0</v>
      </c>
    </row>
    <row r="403" spans="1:72">
      <c r="A403" s="3192"/>
      <c r="B403" s="3200"/>
      <c r="C403" s="3199"/>
      <c r="D403" s="3188"/>
      <c r="E403" s="3194">
        <f t="shared" si="265"/>
        <v>0</v>
      </c>
      <c r="F403" s="3195"/>
      <c r="G403" s="3196">
        <f t="shared" si="266"/>
        <v>0</v>
      </c>
      <c r="H403" s="3197">
        <f t="shared" si="267"/>
        <v>0</v>
      </c>
      <c r="I403" s="3202"/>
      <c r="J403" s="3213"/>
      <c r="K403" s="3202"/>
      <c r="L403" s="3213"/>
      <c r="M403" s="3213"/>
      <c r="N403" s="3213"/>
      <c r="O403" s="3213"/>
      <c r="P403" s="3213"/>
      <c r="Q403" s="3213"/>
      <c r="R403" s="3213"/>
      <c r="S403" s="3213"/>
      <c r="T403" s="3213"/>
      <c r="U403" s="3213"/>
      <c r="V403" s="3213"/>
      <c r="W403" s="3213"/>
      <c r="X403" s="3213"/>
      <c r="Y403" s="3213"/>
      <c r="Z403" s="3213"/>
      <c r="AA403" s="3213"/>
      <c r="AB403" s="3213"/>
      <c r="AC403" s="3194">
        <f t="shared" si="268"/>
        <v>0</v>
      </c>
      <c r="AD403" s="3224"/>
      <c r="AE403" s="3224"/>
      <c r="AF403" s="3202"/>
      <c r="AG403" s="3224"/>
      <c r="AH403" s="3224"/>
      <c r="AI403" s="3224"/>
      <c r="AJ403" s="3224"/>
      <c r="AK403" s="3224"/>
      <c r="AL403" s="3224"/>
      <c r="AM403" s="3224"/>
      <c r="AN403" s="3224"/>
      <c r="AO403" s="3224"/>
      <c r="AP403" s="3224"/>
      <c r="AQ403" s="3224"/>
      <c r="AR403" s="3224"/>
      <c r="AS403" s="3224"/>
      <c r="AT403" s="3244"/>
      <c r="AU403" s="3245"/>
      <c r="AV403" s="464">
        <f t="shared" si="269"/>
        <v>0</v>
      </c>
      <c r="AW403" s="464">
        <f t="shared" si="270"/>
        <v>0</v>
      </c>
      <c r="AX403" s="464">
        <f t="shared" si="271"/>
        <v>0</v>
      </c>
      <c r="AY403" s="3261">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6">
        <f t="shared" si="293"/>
        <v>0</v>
      </c>
    </row>
    <row r="404" spans="1:72">
      <c r="A404" s="3192"/>
      <c r="B404" s="3200"/>
      <c r="C404" s="3199"/>
      <c r="D404" s="3188"/>
      <c r="E404" s="3194">
        <f t="shared" si="265"/>
        <v>0</v>
      </c>
      <c r="F404" s="3195"/>
      <c r="G404" s="3196">
        <f t="shared" si="266"/>
        <v>0</v>
      </c>
      <c r="H404" s="3197">
        <f t="shared" si="267"/>
        <v>0</v>
      </c>
      <c r="I404" s="3202"/>
      <c r="J404" s="3213"/>
      <c r="K404" s="3202"/>
      <c r="L404" s="3213"/>
      <c r="M404" s="3213"/>
      <c r="N404" s="3213"/>
      <c r="O404" s="3213"/>
      <c r="P404" s="3213"/>
      <c r="Q404" s="3213"/>
      <c r="R404" s="3213"/>
      <c r="S404" s="3213"/>
      <c r="T404" s="3213"/>
      <c r="U404" s="3213"/>
      <c r="V404" s="3213"/>
      <c r="W404" s="3213"/>
      <c r="X404" s="3213"/>
      <c r="Y404" s="3213"/>
      <c r="Z404" s="3213"/>
      <c r="AA404" s="3213"/>
      <c r="AB404" s="3213"/>
      <c r="AC404" s="3194">
        <f t="shared" si="268"/>
        <v>0</v>
      </c>
      <c r="AD404" s="3224"/>
      <c r="AE404" s="3224"/>
      <c r="AF404" s="3202"/>
      <c r="AG404" s="3224"/>
      <c r="AH404" s="3224"/>
      <c r="AI404" s="3224"/>
      <c r="AJ404" s="3224"/>
      <c r="AK404" s="3224"/>
      <c r="AL404" s="3224"/>
      <c r="AM404" s="3224"/>
      <c r="AN404" s="3224"/>
      <c r="AO404" s="3224"/>
      <c r="AP404" s="3224"/>
      <c r="AQ404" s="3224"/>
      <c r="AR404" s="3224"/>
      <c r="AS404" s="3224"/>
      <c r="AT404" s="3244"/>
      <c r="AU404" s="3245"/>
      <c r="AV404" s="464">
        <f t="shared" si="269"/>
        <v>0</v>
      </c>
      <c r="AW404" s="464">
        <f t="shared" si="270"/>
        <v>0</v>
      </c>
      <c r="AX404" s="464">
        <f t="shared" si="271"/>
        <v>0</v>
      </c>
      <c r="AY404" s="3261">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6">
        <f t="shared" si="293"/>
        <v>0</v>
      </c>
    </row>
    <row r="405" spans="1:72">
      <c r="A405" s="3192"/>
      <c r="B405" s="3200"/>
      <c r="C405" s="3199"/>
      <c r="D405" s="3188"/>
      <c r="E405" s="3194">
        <f t="shared" si="265"/>
        <v>0</v>
      </c>
      <c r="F405" s="3195"/>
      <c r="G405" s="3196">
        <f t="shared" si="266"/>
        <v>0</v>
      </c>
      <c r="H405" s="3197">
        <f t="shared" si="267"/>
        <v>0</v>
      </c>
      <c r="I405" s="3202"/>
      <c r="J405" s="3213"/>
      <c r="K405" s="3202"/>
      <c r="L405" s="3213"/>
      <c r="M405" s="3213"/>
      <c r="N405" s="3213"/>
      <c r="O405" s="3213"/>
      <c r="P405" s="3213"/>
      <c r="Q405" s="3213"/>
      <c r="R405" s="3213"/>
      <c r="S405" s="3213"/>
      <c r="T405" s="3213"/>
      <c r="U405" s="3213"/>
      <c r="V405" s="3213"/>
      <c r="W405" s="3213"/>
      <c r="X405" s="3213"/>
      <c r="Y405" s="3213"/>
      <c r="Z405" s="3213"/>
      <c r="AA405" s="3213"/>
      <c r="AB405" s="3213"/>
      <c r="AC405" s="3194">
        <f t="shared" si="268"/>
        <v>0</v>
      </c>
      <c r="AD405" s="3224"/>
      <c r="AE405" s="3224"/>
      <c r="AF405" s="3202"/>
      <c r="AG405" s="3224"/>
      <c r="AH405" s="3224"/>
      <c r="AI405" s="3224"/>
      <c r="AJ405" s="3224"/>
      <c r="AK405" s="3224"/>
      <c r="AL405" s="3224"/>
      <c r="AM405" s="3224"/>
      <c r="AN405" s="3224"/>
      <c r="AO405" s="3224"/>
      <c r="AP405" s="3224"/>
      <c r="AQ405" s="3224"/>
      <c r="AR405" s="3224"/>
      <c r="AS405" s="3224"/>
      <c r="AT405" s="3244"/>
      <c r="AU405" s="3245"/>
      <c r="AV405" s="464">
        <f t="shared" si="269"/>
        <v>0</v>
      </c>
      <c r="AW405" s="464">
        <f t="shared" si="270"/>
        <v>0</v>
      </c>
      <c r="AX405" s="464">
        <f t="shared" si="271"/>
        <v>0</v>
      </c>
      <c r="AY405" s="3261">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6">
        <f t="shared" si="293"/>
        <v>0</v>
      </c>
    </row>
    <row r="406" spans="1:72">
      <c r="A406" s="3192"/>
      <c r="B406" s="3200"/>
      <c r="C406" s="3199"/>
      <c r="D406" s="3188"/>
      <c r="E406" s="3194">
        <f t="shared" si="265"/>
        <v>0</v>
      </c>
      <c r="F406" s="3195"/>
      <c r="G406" s="3196">
        <f t="shared" si="266"/>
        <v>0</v>
      </c>
      <c r="H406" s="3197">
        <f t="shared" si="267"/>
        <v>0</v>
      </c>
      <c r="I406" s="3202"/>
      <c r="J406" s="3213"/>
      <c r="K406" s="3202"/>
      <c r="L406" s="3213"/>
      <c r="M406" s="3213"/>
      <c r="N406" s="3213"/>
      <c r="O406" s="3213"/>
      <c r="P406" s="3213"/>
      <c r="Q406" s="3213"/>
      <c r="R406" s="3213"/>
      <c r="S406" s="3213"/>
      <c r="T406" s="3213"/>
      <c r="U406" s="3213"/>
      <c r="V406" s="3213"/>
      <c r="W406" s="3213"/>
      <c r="X406" s="3213"/>
      <c r="Y406" s="3213"/>
      <c r="Z406" s="3213"/>
      <c r="AA406" s="3213"/>
      <c r="AB406" s="3213"/>
      <c r="AC406" s="3194">
        <f t="shared" si="268"/>
        <v>0</v>
      </c>
      <c r="AD406" s="3224"/>
      <c r="AE406" s="3224"/>
      <c r="AF406" s="3202"/>
      <c r="AG406" s="3224"/>
      <c r="AH406" s="3224"/>
      <c r="AI406" s="3224"/>
      <c r="AJ406" s="3224"/>
      <c r="AK406" s="3224"/>
      <c r="AL406" s="3224"/>
      <c r="AM406" s="3224"/>
      <c r="AN406" s="3224"/>
      <c r="AO406" s="3224"/>
      <c r="AP406" s="3224"/>
      <c r="AQ406" s="3224"/>
      <c r="AR406" s="3224"/>
      <c r="AS406" s="3224"/>
      <c r="AT406" s="3244"/>
      <c r="AU406" s="3245"/>
      <c r="AV406" s="464">
        <f t="shared" si="269"/>
        <v>0</v>
      </c>
      <c r="AW406" s="464">
        <f t="shared" si="270"/>
        <v>0</v>
      </c>
      <c r="AX406" s="464">
        <f t="shared" si="271"/>
        <v>0</v>
      </c>
      <c r="AY406" s="3261">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6">
        <f t="shared" si="293"/>
        <v>0</v>
      </c>
    </row>
    <row r="407" spans="1:72">
      <c r="A407" s="3192"/>
      <c r="B407" s="3200"/>
      <c r="C407" s="3199"/>
      <c r="D407" s="3188"/>
      <c r="E407" s="3194">
        <f t="shared" si="265"/>
        <v>0</v>
      </c>
      <c r="F407" s="3195"/>
      <c r="G407" s="3196">
        <f t="shared" si="266"/>
        <v>0</v>
      </c>
      <c r="H407" s="3197">
        <f t="shared" si="267"/>
        <v>0</v>
      </c>
      <c r="I407" s="3202"/>
      <c r="J407" s="3213"/>
      <c r="K407" s="3202"/>
      <c r="L407" s="3213"/>
      <c r="M407" s="3213"/>
      <c r="N407" s="3213"/>
      <c r="O407" s="3213"/>
      <c r="P407" s="3213"/>
      <c r="Q407" s="3213"/>
      <c r="R407" s="3213"/>
      <c r="S407" s="3213"/>
      <c r="T407" s="3213"/>
      <c r="U407" s="3213"/>
      <c r="V407" s="3213"/>
      <c r="W407" s="3213"/>
      <c r="X407" s="3213"/>
      <c r="Y407" s="3213"/>
      <c r="Z407" s="3213"/>
      <c r="AA407" s="3213"/>
      <c r="AB407" s="3213"/>
      <c r="AC407" s="3194">
        <f t="shared" si="268"/>
        <v>0</v>
      </c>
      <c r="AD407" s="3224"/>
      <c r="AE407" s="3224"/>
      <c r="AF407" s="3202"/>
      <c r="AG407" s="3224"/>
      <c r="AH407" s="3224"/>
      <c r="AI407" s="3224"/>
      <c r="AJ407" s="3224"/>
      <c r="AK407" s="3224"/>
      <c r="AL407" s="3224"/>
      <c r="AM407" s="3224"/>
      <c r="AN407" s="3224"/>
      <c r="AO407" s="3224"/>
      <c r="AP407" s="3224"/>
      <c r="AQ407" s="3224"/>
      <c r="AR407" s="3224"/>
      <c r="AS407" s="3224"/>
      <c r="AT407" s="3244"/>
      <c r="AU407" s="3245"/>
      <c r="AV407" s="464">
        <f t="shared" si="269"/>
        <v>0</v>
      </c>
      <c r="AW407" s="464">
        <f t="shared" si="270"/>
        <v>0</v>
      </c>
      <c r="AX407" s="464">
        <f t="shared" si="271"/>
        <v>0</v>
      </c>
      <c r="AY407" s="3261">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6">
        <f t="shared" si="293"/>
        <v>0</v>
      </c>
    </row>
    <row r="408" spans="1:72">
      <c r="A408" s="3192"/>
      <c r="B408" s="3200"/>
      <c r="C408" s="3199"/>
      <c r="D408" s="3188"/>
      <c r="E408" s="3194">
        <f t="shared" si="265"/>
        <v>0</v>
      </c>
      <c r="F408" s="3195"/>
      <c r="G408" s="3196">
        <f t="shared" si="266"/>
        <v>0</v>
      </c>
      <c r="H408" s="3197">
        <f t="shared" si="267"/>
        <v>0</v>
      </c>
      <c r="I408" s="3202"/>
      <c r="J408" s="3213"/>
      <c r="K408" s="3202"/>
      <c r="L408" s="3213"/>
      <c r="M408" s="3213"/>
      <c r="N408" s="3213"/>
      <c r="O408" s="3213"/>
      <c r="P408" s="3213"/>
      <c r="Q408" s="3213"/>
      <c r="R408" s="3213"/>
      <c r="S408" s="3213"/>
      <c r="T408" s="3213"/>
      <c r="U408" s="3213"/>
      <c r="V408" s="3213"/>
      <c r="W408" s="3213"/>
      <c r="X408" s="3213"/>
      <c r="Y408" s="3213"/>
      <c r="Z408" s="3213"/>
      <c r="AA408" s="3213"/>
      <c r="AB408" s="3213"/>
      <c r="AC408" s="3194">
        <f t="shared" si="268"/>
        <v>0</v>
      </c>
      <c r="AD408" s="3224"/>
      <c r="AE408" s="3224"/>
      <c r="AF408" s="3202"/>
      <c r="AG408" s="3224"/>
      <c r="AH408" s="3224"/>
      <c r="AI408" s="3224"/>
      <c r="AJ408" s="3224"/>
      <c r="AK408" s="3224"/>
      <c r="AL408" s="3224"/>
      <c r="AM408" s="3224"/>
      <c r="AN408" s="3224"/>
      <c r="AO408" s="3224"/>
      <c r="AP408" s="3224"/>
      <c r="AQ408" s="3224"/>
      <c r="AR408" s="3224"/>
      <c r="AS408" s="3224"/>
      <c r="AT408" s="3244"/>
      <c r="AU408" s="3245"/>
      <c r="AV408" s="464">
        <f t="shared" si="269"/>
        <v>0</v>
      </c>
      <c r="AW408" s="464">
        <f t="shared" si="270"/>
        <v>0</v>
      </c>
      <c r="AX408" s="464">
        <f t="shared" si="271"/>
        <v>0</v>
      </c>
      <c r="AY408" s="3261">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6">
        <f t="shared" si="293"/>
        <v>0</v>
      </c>
    </row>
    <row r="409" spans="1:72">
      <c r="A409" s="3192"/>
      <c r="B409" s="3200"/>
      <c r="C409" s="3199"/>
      <c r="D409" s="3188"/>
      <c r="E409" s="3194">
        <f t="shared" si="265"/>
        <v>0</v>
      </c>
      <c r="F409" s="3195"/>
      <c r="G409" s="3196">
        <f t="shared" si="266"/>
        <v>0</v>
      </c>
      <c r="H409" s="3197">
        <f t="shared" si="267"/>
        <v>0</v>
      </c>
      <c r="I409" s="3202"/>
      <c r="J409" s="3213"/>
      <c r="K409" s="3202"/>
      <c r="L409" s="3213"/>
      <c r="M409" s="3213"/>
      <c r="N409" s="3213"/>
      <c r="O409" s="3213"/>
      <c r="P409" s="3213"/>
      <c r="Q409" s="3213"/>
      <c r="R409" s="3213"/>
      <c r="S409" s="3213"/>
      <c r="T409" s="3213"/>
      <c r="U409" s="3213"/>
      <c r="V409" s="3213"/>
      <c r="W409" s="3213"/>
      <c r="X409" s="3213"/>
      <c r="Y409" s="3213"/>
      <c r="Z409" s="3213"/>
      <c r="AA409" s="3213"/>
      <c r="AB409" s="3213"/>
      <c r="AC409" s="3194">
        <f t="shared" si="268"/>
        <v>0</v>
      </c>
      <c r="AD409" s="3224"/>
      <c r="AE409" s="3224"/>
      <c r="AF409" s="3202"/>
      <c r="AG409" s="3224"/>
      <c r="AH409" s="3224"/>
      <c r="AI409" s="3224"/>
      <c r="AJ409" s="3224"/>
      <c r="AK409" s="3224"/>
      <c r="AL409" s="3224"/>
      <c r="AM409" s="3224"/>
      <c r="AN409" s="3224"/>
      <c r="AO409" s="3224"/>
      <c r="AP409" s="3224"/>
      <c r="AQ409" s="3224"/>
      <c r="AR409" s="3224"/>
      <c r="AS409" s="3224"/>
      <c r="AT409" s="3244"/>
      <c r="AU409" s="3245"/>
      <c r="AV409" s="464">
        <f t="shared" si="269"/>
        <v>0</v>
      </c>
      <c r="AW409" s="464">
        <f t="shared" si="270"/>
        <v>0</v>
      </c>
      <c r="AX409" s="464">
        <f t="shared" si="271"/>
        <v>0</v>
      </c>
      <c r="AY409" s="3261">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6">
        <f t="shared" si="293"/>
        <v>0</v>
      </c>
    </row>
    <row r="410" spans="1:72">
      <c r="A410" s="3192"/>
      <c r="B410" s="3200"/>
      <c r="C410" s="3199"/>
      <c r="D410" s="3188"/>
      <c r="E410" s="3194">
        <f t="shared" si="265"/>
        <v>0</v>
      </c>
      <c r="F410" s="3195"/>
      <c r="G410" s="3196">
        <f t="shared" si="266"/>
        <v>0</v>
      </c>
      <c r="H410" s="3197">
        <f t="shared" si="267"/>
        <v>0</v>
      </c>
      <c r="I410" s="3202"/>
      <c r="J410" s="3213"/>
      <c r="K410" s="3202"/>
      <c r="L410" s="3213"/>
      <c r="M410" s="3213"/>
      <c r="N410" s="3213"/>
      <c r="O410" s="3213"/>
      <c r="P410" s="3213"/>
      <c r="Q410" s="3213"/>
      <c r="R410" s="3213"/>
      <c r="S410" s="3213"/>
      <c r="T410" s="3213"/>
      <c r="U410" s="3213"/>
      <c r="V410" s="3213"/>
      <c r="W410" s="3213"/>
      <c r="X410" s="3213"/>
      <c r="Y410" s="3213"/>
      <c r="Z410" s="3213"/>
      <c r="AA410" s="3213"/>
      <c r="AB410" s="3213"/>
      <c r="AC410" s="3194">
        <f t="shared" si="268"/>
        <v>0</v>
      </c>
      <c r="AD410" s="3224"/>
      <c r="AE410" s="3224"/>
      <c r="AF410" s="3202"/>
      <c r="AG410" s="3224"/>
      <c r="AH410" s="3224"/>
      <c r="AI410" s="3224"/>
      <c r="AJ410" s="3224"/>
      <c r="AK410" s="3224"/>
      <c r="AL410" s="3224"/>
      <c r="AM410" s="3224"/>
      <c r="AN410" s="3224"/>
      <c r="AO410" s="3224"/>
      <c r="AP410" s="3224"/>
      <c r="AQ410" s="3224"/>
      <c r="AR410" s="3224"/>
      <c r="AS410" s="3224"/>
      <c r="AT410" s="3244"/>
      <c r="AU410" s="3245"/>
      <c r="AV410" s="464">
        <f t="shared" si="269"/>
        <v>0</v>
      </c>
      <c r="AW410" s="464">
        <f t="shared" si="270"/>
        <v>0</v>
      </c>
      <c r="AX410" s="464">
        <f t="shared" si="271"/>
        <v>0</v>
      </c>
      <c r="AY410" s="3261">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6">
        <f t="shared" si="293"/>
        <v>0</v>
      </c>
    </row>
    <row r="411" spans="1:72">
      <c r="A411" s="3192"/>
      <c r="B411" s="3200"/>
      <c r="C411" s="3199"/>
      <c r="D411" s="3188"/>
      <c r="E411" s="3194">
        <f t="shared" si="265"/>
        <v>0</v>
      </c>
      <c r="F411" s="3195"/>
      <c r="G411" s="3196">
        <f t="shared" si="266"/>
        <v>0</v>
      </c>
      <c r="H411" s="3197">
        <f t="shared" si="267"/>
        <v>0</v>
      </c>
      <c r="I411" s="3202"/>
      <c r="J411" s="3213"/>
      <c r="K411" s="3202"/>
      <c r="L411" s="3213"/>
      <c r="M411" s="3213"/>
      <c r="N411" s="3213"/>
      <c r="O411" s="3213"/>
      <c r="P411" s="3213"/>
      <c r="Q411" s="3213"/>
      <c r="R411" s="3213"/>
      <c r="S411" s="3213"/>
      <c r="T411" s="3213"/>
      <c r="U411" s="3213"/>
      <c r="V411" s="3213"/>
      <c r="W411" s="3213"/>
      <c r="X411" s="3213"/>
      <c r="Y411" s="3213"/>
      <c r="Z411" s="3213"/>
      <c r="AA411" s="3213"/>
      <c r="AB411" s="3213"/>
      <c r="AC411" s="3194">
        <f t="shared" si="268"/>
        <v>0</v>
      </c>
      <c r="AD411" s="3224"/>
      <c r="AE411" s="3224"/>
      <c r="AF411" s="3202"/>
      <c r="AG411" s="3224"/>
      <c r="AH411" s="3224"/>
      <c r="AI411" s="3224"/>
      <c r="AJ411" s="3224"/>
      <c r="AK411" s="3224"/>
      <c r="AL411" s="3224"/>
      <c r="AM411" s="3224"/>
      <c r="AN411" s="3224"/>
      <c r="AO411" s="3224"/>
      <c r="AP411" s="3224"/>
      <c r="AQ411" s="3224"/>
      <c r="AR411" s="3224"/>
      <c r="AS411" s="3224"/>
      <c r="AT411" s="3244"/>
      <c r="AU411" s="3245"/>
      <c r="AV411" s="464">
        <f t="shared" si="269"/>
        <v>0</v>
      </c>
      <c r="AW411" s="464">
        <f t="shared" si="270"/>
        <v>0</v>
      </c>
      <c r="AX411" s="464">
        <f t="shared" si="271"/>
        <v>0</v>
      </c>
      <c r="AY411" s="3261">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6">
        <f t="shared" si="293"/>
        <v>0</v>
      </c>
    </row>
    <row r="412" spans="1:72">
      <c r="A412" s="3192"/>
      <c r="B412" s="3200"/>
      <c r="C412" s="3199"/>
      <c r="D412" s="3188"/>
      <c r="E412" s="3194">
        <f t="shared" si="265"/>
        <v>0</v>
      </c>
      <c r="F412" s="3195"/>
      <c r="G412" s="3196">
        <f t="shared" si="266"/>
        <v>0</v>
      </c>
      <c r="H412" s="3197">
        <f t="shared" si="267"/>
        <v>0</v>
      </c>
      <c r="I412" s="3202"/>
      <c r="J412" s="3213"/>
      <c r="K412" s="3202"/>
      <c r="L412" s="3213"/>
      <c r="M412" s="3213"/>
      <c r="N412" s="3213"/>
      <c r="O412" s="3213"/>
      <c r="P412" s="3213"/>
      <c r="Q412" s="3213"/>
      <c r="R412" s="3213"/>
      <c r="S412" s="3213"/>
      <c r="T412" s="3213"/>
      <c r="U412" s="3213"/>
      <c r="V412" s="3213"/>
      <c r="W412" s="3213"/>
      <c r="X412" s="3213"/>
      <c r="Y412" s="3213"/>
      <c r="Z412" s="3213"/>
      <c r="AA412" s="3213"/>
      <c r="AB412" s="3213"/>
      <c r="AC412" s="3194">
        <f t="shared" si="268"/>
        <v>0</v>
      </c>
      <c r="AD412" s="3224"/>
      <c r="AE412" s="3224"/>
      <c r="AF412" s="3202"/>
      <c r="AG412" s="3224"/>
      <c r="AH412" s="3224"/>
      <c r="AI412" s="3224"/>
      <c r="AJ412" s="3224"/>
      <c r="AK412" s="3224"/>
      <c r="AL412" s="3224"/>
      <c r="AM412" s="3224"/>
      <c r="AN412" s="3224"/>
      <c r="AO412" s="3224"/>
      <c r="AP412" s="3224"/>
      <c r="AQ412" s="3224"/>
      <c r="AR412" s="3224"/>
      <c r="AS412" s="3224"/>
      <c r="AT412" s="3244"/>
      <c r="AU412" s="3245"/>
      <c r="AV412" s="464">
        <f t="shared" si="269"/>
        <v>0</v>
      </c>
      <c r="AW412" s="464">
        <f t="shared" si="270"/>
        <v>0</v>
      </c>
      <c r="AX412" s="464">
        <f t="shared" si="271"/>
        <v>0</v>
      </c>
      <c r="AY412" s="3261">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6">
        <f t="shared" si="293"/>
        <v>0</v>
      </c>
    </row>
    <row r="413" spans="1:72">
      <c r="A413" s="3192"/>
      <c r="B413" s="3200"/>
      <c r="C413" s="3199"/>
      <c r="D413" s="3188"/>
      <c r="E413" s="3194">
        <f t="shared" si="265"/>
        <v>0</v>
      </c>
      <c r="F413" s="3195"/>
      <c r="G413" s="3196">
        <f t="shared" si="266"/>
        <v>0</v>
      </c>
      <c r="H413" s="3197">
        <f t="shared" si="267"/>
        <v>0</v>
      </c>
      <c r="I413" s="3202"/>
      <c r="J413" s="3213"/>
      <c r="K413" s="3202"/>
      <c r="L413" s="3213"/>
      <c r="M413" s="3213"/>
      <c r="N413" s="3213"/>
      <c r="O413" s="3213"/>
      <c r="P413" s="3213"/>
      <c r="Q413" s="3213"/>
      <c r="R413" s="3213"/>
      <c r="S413" s="3213"/>
      <c r="T413" s="3213"/>
      <c r="U413" s="3213"/>
      <c r="V413" s="3213"/>
      <c r="W413" s="3213"/>
      <c r="X413" s="3213"/>
      <c r="Y413" s="3213"/>
      <c r="Z413" s="3213"/>
      <c r="AA413" s="3213"/>
      <c r="AB413" s="3213"/>
      <c r="AC413" s="3194">
        <f t="shared" si="268"/>
        <v>0</v>
      </c>
      <c r="AD413" s="3224"/>
      <c r="AE413" s="3224"/>
      <c r="AF413" s="3202"/>
      <c r="AG413" s="3224"/>
      <c r="AH413" s="3224"/>
      <c r="AI413" s="3224"/>
      <c r="AJ413" s="3224"/>
      <c r="AK413" s="3224"/>
      <c r="AL413" s="3224"/>
      <c r="AM413" s="3224"/>
      <c r="AN413" s="3224"/>
      <c r="AO413" s="3224"/>
      <c r="AP413" s="3224"/>
      <c r="AQ413" s="3224"/>
      <c r="AR413" s="3224"/>
      <c r="AS413" s="3224"/>
      <c r="AT413" s="3244"/>
      <c r="AU413" s="3245"/>
      <c r="AV413" s="464">
        <f t="shared" si="269"/>
        <v>0</v>
      </c>
      <c r="AW413" s="464">
        <f t="shared" si="270"/>
        <v>0</v>
      </c>
      <c r="AX413" s="464">
        <f t="shared" si="271"/>
        <v>0</v>
      </c>
      <c r="AY413" s="3261">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6">
        <f t="shared" si="293"/>
        <v>0</v>
      </c>
    </row>
    <row r="414" spans="1:72">
      <c r="A414" s="3192"/>
      <c r="B414" s="3200"/>
      <c r="C414" s="3199"/>
      <c r="D414" s="3188"/>
      <c r="E414" s="3194">
        <f t="shared" si="265"/>
        <v>0</v>
      </c>
      <c r="F414" s="3195"/>
      <c r="G414" s="3196">
        <f t="shared" si="266"/>
        <v>0</v>
      </c>
      <c r="H414" s="3197">
        <f t="shared" si="267"/>
        <v>0</v>
      </c>
      <c r="I414" s="3202"/>
      <c r="J414" s="3213"/>
      <c r="K414" s="3202"/>
      <c r="L414" s="3213"/>
      <c r="M414" s="3213"/>
      <c r="N414" s="3213"/>
      <c r="O414" s="3213"/>
      <c r="P414" s="3213"/>
      <c r="Q414" s="3213"/>
      <c r="R414" s="3213"/>
      <c r="S414" s="3213"/>
      <c r="T414" s="3213"/>
      <c r="U414" s="3213"/>
      <c r="V414" s="3213"/>
      <c r="W414" s="3213"/>
      <c r="X414" s="3213"/>
      <c r="Y414" s="3213"/>
      <c r="Z414" s="3213"/>
      <c r="AA414" s="3213"/>
      <c r="AB414" s="3213"/>
      <c r="AC414" s="3194">
        <f t="shared" si="268"/>
        <v>0</v>
      </c>
      <c r="AD414" s="3224"/>
      <c r="AE414" s="3224"/>
      <c r="AF414" s="3202"/>
      <c r="AG414" s="3224"/>
      <c r="AH414" s="3224"/>
      <c r="AI414" s="3224"/>
      <c r="AJ414" s="3224"/>
      <c r="AK414" s="3224"/>
      <c r="AL414" s="3224"/>
      <c r="AM414" s="3224"/>
      <c r="AN414" s="3224"/>
      <c r="AO414" s="3224"/>
      <c r="AP414" s="3224"/>
      <c r="AQ414" s="3224"/>
      <c r="AR414" s="3224"/>
      <c r="AS414" s="3224"/>
      <c r="AT414" s="3244"/>
      <c r="AU414" s="3245"/>
      <c r="AV414" s="464">
        <f t="shared" si="269"/>
        <v>0</v>
      </c>
      <c r="AW414" s="464">
        <f t="shared" si="270"/>
        <v>0</v>
      </c>
      <c r="AX414" s="464">
        <f t="shared" si="271"/>
        <v>0</v>
      </c>
      <c r="AY414" s="3261">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6">
        <f t="shared" si="293"/>
        <v>0</v>
      </c>
    </row>
    <row r="415" spans="1:72">
      <c r="A415" s="3192"/>
      <c r="B415" s="3200"/>
      <c r="C415" s="3199"/>
      <c r="D415" s="3188"/>
      <c r="E415" s="3194">
        <f t="shared" si="265"/>
        <v>0</v>
      </c>
      <c r="F415" s="3195"/>
      <c r="G415" s="3196">
        <f t="shared" si="266"/>
        <v>0</v>
      </c>
      <c r="H415" s="3197">
        <f t="shared" si="267"/>
        <v>0</v>
      </c>
      <c r="I415" s="3202"/>
      <c r="J415" s="3213"/>
      <c r="K415" s="3202"/>
      <c r="L415" s="3213"/>
      <c r="M415" s="3213"/>
      <c r="N415" s="3213"/>
      <c r="O415" s="3213"/>
      <c r="P415" s="3213"/>
      <c r="Q415" s="3213"/>
      <c r="R415" s="3213"/>
      <c r="S415" s="3213"/>
      <c r="T415" s="3213"/>
      <c r="U415" s="3213"/>
      <c r="V415" s="3213"/>
      <c r="W415" s="3213"/>
      <c r="X415" s="3213"/>
      <c r="Y415" s="3213"/>
      <c r="Z415" s="3213"/>
      <c r="AA415" s="3213"/>
      <c r="AB415" s="3213"/>
      <c r="AC415" s="3194">
        <f t="shared" si="268"/>
        <v>0</v>
      </c>
      <c r="AD415" s="3224"/>
      <c r="AE415" s="3224"/>
      <c r="AF415" s="3199"/>
      <c r="AG415" s="3224"/>
      <c r="AH415" s="3224"/>
      <c r="AI415" s="3224"/>
      <c r="AJ415" s="3224"/>
      <c r="AK415" s="3224"/>
      <c r="AL415" s="3224"/>
      <c r="AM415" s="3224"/>
      <c r="AN415" s="3224"/>
      <c r="AO415" s="3224"/>
      <c r="AP415" s="3224"/>
      <c r="AQ415" s="3224"/>
      <c r="AR415" s="3224"/>
      <c r="AS415" s="3224"/>
      <c r="AT415" s="3244"/>
      <c r="AU415" s="3245"/>
      <c r="AV415" s="464">
        <f t="shared" si="269"/>
        <v>0</v>
      </c>
      <c r="AW415" s="464">
        <f t="shared" si="270"/>
        <v>0</v>
      </c>
      <c r="AX415" s="464">
        <f t="shared" si="271"/>
        <v>0</v>
      </c>
      <c r="AY415" s="3261">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6">
        <f t="shared" si="293"/>
        <v>0</v>
      </c>
    </row>
    <row r="416" spans="1:72">
      <c r="A416" s="3192"/>
      <c r="B416" s="3200"/>
      <c r="C416" s="3199"/>
      <c r="D416" s="3188"/>
      <c r="E416" s="3194">
        <f t="shared" si="265"/>
        <v>0</v>
      </c>
      <c r="F416" s="3195"/>
      <c r="G416" s="3196">
        <f t="shared" si="266"/>
        <v>0</v>
      </c>
      <c r="H416" s="3197">
        <f t="shared" si="267"/>
        <v>0</v>
      </c>
      <c r="I416" s="3199"/>
      <c r="J416" s="3213"/>
      <c r="K416" s="3199"/>
      <c r="L416" s="3213"/>
      <c r="M416" s="3213"/>
      <c r="N416" s="3213"/>
      <c r="O416" s="3213"/>
      <c r="P416" s="3213"/>
      <c r="Q416" s="3213"/>
      <c r="R416" s="3213"/>
      <c r="S416" s="3213"/>
      <c r="T416" s="3213"/>
      <c r="U416" s="3213"/>
      <c r="V416" s="3213"/>
      <c r="W416" s="3213"/>
      <c r="X416" s="3213"/>
      <c r="Y416" s="3213"/>
      <c r="Z416" s="3213"/>
      <c r="AA416" s="3213"/>
      <c r="AB416" s="3213"/>
      <c r="AC416" s="3194">
        <f t="shared" si="268"/>
        <v>0</v>
      </c>
      <c r="AD416" s="3224"/>
      <c r="AE416" s="3224"/>
      <c r="AF416" s="3199"/>
      <c r="AG416" s="3224"/>
      <c r="AH416" s="3224"/>
      <c r="AI416" s="3224"/>
      <c r="AJ416" s="3224"/>
      <c r="AK416" s="3224"/>
      <c r="AL416" s="3224"/>
      <c r="AM416" s="3224"/>
      <c r="AN416" s="3224"/>
      <c r="AO416" s="3224"/>
      <c r="AP416" s="3224"/>
      <c r="AQ416" s="3224"/>
      <c r="AR416" s="3224"/>
      <c r="AS416" s="3224"/>
      <c r="AT416" s="3244"/>
      <c r="AU416" s="3245"/>
      <c r="AV416" s="464">
        <f t="shared" si="269"/>
        <v>0</v>
      </c>
      <c r="AW416" s="464">
        <f t="shared" si="270"/>
        <v>0</v>
      </c>
      <c r="AX416" s="464">
        <f t="shared" si="271"/>
        <v>0</v>
      </c>
      <c r="AY416" s="3261">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6">
        <f t="shared" si="293"/>
        <v>0</v>
      </c>
    </row>
    <row r="417" spans="1:72">
      <c r="A417" s="3192"/>
      <c r="B417" s="3200"/>
      <c r="C417" s="3199"/>
      <c r="D417" s="3188"/>
      <c r="E417" s="3194">
        <f t="shared" si="265"/>
        <v>0</v>
      </c>
      <c r="F417" s="3195"/>
      <c r="G417" s="3196">
        <f t="shared" si="266"/>
        <v>0</v>
      </c>
      <c r="H417" s="3197">
        <f t="shared" si="267"/>
        <v>0</v>
      </c>
      <c r="I417" s="3199"/>
      <c r="J417" s="3213"/>
      <c r="K417" s="3199"/>
      <c r="L417" s="3213"/>
      <c r="M417" s="3213"/>
      <c r="N417" s="3213"/>
      <c r="O417" s="3213"/>
      <c r="P417" s="3213"/>
      <c r="Q417" s="3213"/>
      <c r="R417" s="3213"/>
      <c r="S417" s="3213"/>
      <c r="T417" s="3213"/>
      <c r="U417" s="3213"/>
      <c r="V417" s="3213"/>
      <c r="W417" s="3213"/>
      <c r="X417" s="3213"/>
      <c r="Y417" s="3213"/>
      <c r="Z417" s="3213"/>
      <c r="AA417" s="3213"/>
      <c r="AB417" s="3213"/>
      <c r="AC417" s="3194">
        <f t="shared" si="268"/>
        <v>0</v>
      </c>
      <c r="AD417" s="3224"/>
      <c r="AE417" s="3224"/>
      <c r="AF417" s="3199"/>
      <c r="AG417" s="3224"/>
      <c r="AH417" s="3224"/>
      <c r="AI417" s="3224"/>
      <c r="AJ417" s="3224"/>
      <c r="AK417" s="3224"/>
      <c r="AL417" s="3224"/>
      <c r="AM417" s="3224"/>
      <c r="AN417" s="3224"/>
      <c r="AO417" s="3224"/>
      <c r="AP417" s="3224"/>
      <c r="AQ417" s="3224"/>
      <c r="AR417" s="3224"/>
      <c r="AS417" s="3224"/>
      <c r="AT417" s="3244"/>
      <c r="AU417" s="3245"/>
      <c r="AV417" s="464">
        <f t="shared" si="269"/>
        <v>0</v>
      </c>
      <c r="AW417" s="464">
        <f t="shared" si="270"/>
        <v>0</v>
      </c>
      <c r="AX417" s="464">
        <f t="shared" si="271"/>
        <v>0</v>
      </c>
      <c r="AY417" s="3261">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6">
        <f t="shared" si="293"/>
        <v>0</v>
      </c>
    </row>
    <row r="418" spans="1:72">
      <c r="A418" s="3192"/>
      <c r="B418" s="3200"/>
      <c r="C418" s="3199"/>
      <c r="D418" s="3188"/>
      <c r="E418" s="3194">
        <f t="shared" si="265"/>
        <v>0</v>
      </c>
      <c r="F418" s="3195"/>
      <c r="G418" s="3196">
        <f t="shared" si="266"/>
        <v>0</v>
      </c>
      <c r="H418" s="3197">
        <f t="shared" si="267"/>
        <v>0</v>
      </c>
      <c r="I418" s="3199"/>
      <c r="J418" s="3213"/>
      <c r="K418" s="3199"/>
      <c r="L418" s="3213"/>
      <c r="M418" s="3213"/>
      <c r="N418" s="3213"/>
      <c r="O418" s="3213"/>
      <c r="P418" s="3213"/>
      <c r="Q418" s="3213"/>
      <c r="R418" s="3213"/>
      <c r="S418" s="3213"/>
      <c r="T418" s="3213"/>
      <c r="U418" s="3213"/>
      <c r="V418" s="3213"/>
      <c r="W418" s="3213"/>
      <c r="X418" s="3213"/>
      <c r="Y418" s="3213"/>
      <c r="Z418" s="3213"/>
      <c r="AA418" s="3213"/>
      <c r="AB418" s="3213"/>
      <c r="AC418" s="3194">
        <f t="shared" si="268"/>
        <v>0</v>
      </c>
      <c r="AD418" s="3224"/>
      <c r="AE418" s="3224"/>
      <c r="AF418" s="3199"/>
      <c r="AG418" s="3224"/>
      <c r="AH418" s="3224"/>
      <c r="AI418" s="3224"/>
      <c r="AJ418" s="3224"/>
      <c r="AK418" s="3224"/>
      <c r="AL418" s="3224"/>
      <c r="AM418" s="3224"/>
      <c r="AN418" s="3224"/>
      <c r="AO418" s="3224"/>
      <c r="AP418" s="3224"/>
      <c r="AQ418" s="3224"/>
      <c r="AR418" s="3224"/>
      <c r="AS418" s="3224"/>
      <c r="AT418" s="3244"/>
      <c r="AU418" s="3245"/>
      <c r="AV418" s="464">
        <f t="shared" si="269"/>
        <v>0</v>
      </c>
      <c r="AW418" s="464">
        <f t="shared" si="270"/>
        <v>0</v>
      </c>
      <c r="AX418" s="464">
        <f t="shared" si="271"/>
        <v>0</v>
      </c>
      <c r="AY418" s="3261">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6">
        <f t="shared" si="293"/>
        <v>0</v>
      </c>
    </row>
    <row r="419" spans="1:72">
      <c r="A419" s="3192"/>
      <c r="B419" s="3200"/>
      <c r="C419" s="3199"/>
      <c r="D419" s="3188"/>
      <c r="E419" s="3194">
        <f t="shared" si="265"/>
        <v>0</v>
      </c>
      <c r="F419" s="3195"/>
      <c r="G419" s="3196">
        <f t="shared" si="266"/>
        <v>0</v>
      </c>
      <c r="H419" s="3197">
        <f t="shared" si="267"/>
        <v>0</v>
      </c>
      <c r="I419" s="3199"/>
      <c r="J419" s="3213"/>
      <c r="K419" s="3199"/>
      <c r="L419" s="3213"/>
      <c r="M419" s="3213"/>
      <c r="N419" s="3213"/>
      <c r="O419" s="3213"/>
      <c r="P419" s="3213"/>
      <c r="Q419" s="3213"/>
      <c r="R419" s="3213"/>
      <c r="S419" s="3213"/>
      <c r="T419" s="3213"/>
      <c r="U419" s="3213"/>
      <c r="V419" s="3213"/>
      <c r="W419" s="3213"/>
      <c r="X419" s="3213"/>
      <c r="Y419" s="3213"/>
      <c r="Z419" s="3213"/>
      <c r="AA419" s="3213"/>
      <c r="AB419" s="3213"/>
      <c r="AC419" s="3194">
        <f t="shared" si="268"/>
        <v>0</v>
      </c>
      <c r="AD419" s="3224"/>
      <c r="AE419" s="3224"/>
      <c r="AF419" s="3199"/>
      <c r="AG419" s="3224"/>
      <c r="AH419" s="3224"/>
      <c r="AI419" s="3224"/>
      <c r="AJ419" s="3224"/>
      <c r="AK419" s="3224"/>
      <c r="AL419" s="3224"/>
      <c r="AM419" s="3224"/>
      <c r="AN419" s="3224"/>
      <c r="AO419" s="3224"/>
      <c r="AP419" s="3224"/>
      <c r="AQ419" s="3224"/>
      <c r="AR419" s="3224"/>
      <c r="AS419" s="3224"/>
      <c r="AT419" s="3244"/>
      <c r="AU419" s="3245"/>
      <c r="AV419" s="464">
        <f t="shared" si="269"/>
        <v>0</v>
      </c>
      <c r="AW419" s="464">
        <f t="shared" si="270"/>
        <v>0</v>
      </c>
      <c r="AX419" s="464">
        <f t="shared" si="271"/>
        <v>0</v>
      </c>
      <c r="AY419" s="3261">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6">
        <f t="shared" si="293"/>
        <v>0</v>
      </c>
    </row>
    <row r="420" spans="1:72">
      <c r="A420" s="3192"/>
      <c r="B420" s="3200"/>
      <c r="C420" s="3199"/>
      <c r="D420" s="3188"/>
      <c r="E420" s="3194">
        <f t="shared" si="265"/>
        <v>0</v>
      </c>
      <c r="F420" s="3195"/>
      <c r="G420" s="3196">
        <f t="shared" si="266"/>
        <v>0</v>
      </c>
      <c r="H420" s="3197">
        <f t="shared" si="267"/>
        <v>0</v>
      </c>
      <c r="I420" s="3199"/>
      <c r="J420" s="3213"/>
      <c r="K420" s="3199"/>
      <c r="L420" s="3213"/>
      <c r="M420" s="3213"/>
      <c r="N420" s="3213"/>
      <c r="O420" s="3213"/>
      <c r="P420" s="3213"/>
      <c r="Q420" s="3213"/>
      <c r="R420" s="3213"/>
      <c r="S420" s="3213"/>
      <c r="T420" s="3213"/>
      <c r="U420" s="3213"/>
      <c r="V420" s="3213"/>
      <c r="W420" s="3213"/>
      <c r="X420" s="3213"/>
      <c r="Y420" s="3213"/>
      <c r="Z420" s="3213"/>
      <c r="AA420" s="3213"/>
      <c r="AB420" s="3213"/>
      <c r="AC420" s="3194">
        <f t="shared" si="268"/>
        <v>0</v>
      </c>
      <c r="AD420" s="3224"/>
      <c r="AE420" s="3224"/>
      <c r="AF420" s="3199"/>
      <c r="AG420" s="3224"/>
      <c r="AH420" s="3224"/>
      <c r="AI420" s="3224"/>
      <c r="AJ420" s="3224"/>
      <c r="AK420" s="3224"/>
      <c r="AL420" s="3224"/>
      <c r="AM420" s="3224"/>
      <c r="AN420" s="3224"/>
      <c r="AO420" s="3224"/>
      <c r="AP420" s="3224"/>
      <c r="AQ420" s="3224"/>
      <c r="AR420" s="3224"/>
      <c r="AS420" s="3224"/>
      <c r="AT420" s="3244"/>
      <c r="AU420" s="3245"/>
      <c r="AV420" s="464">
        <f t="shared" si="269"/>
        <v>0</v>
      </c>
      <c r="AW420" s="464">
        <f t="shared" si="270"/>
        <v>0</v>
      </c>
      <c r="AX420" s="464">
        <f t="shared" si="271"/>
        <v>0</v>
      </c>
      <c r="AY420" s="3261">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6">
        <f t="shared" si="293"/>
        <v>0</v>
      </c>
    </row>
    <row r="421" spans="1:72">
      <c r="A421" s="3192"/>
      <c r="B421" s="3200"/>
      <c r="C421" s="3199"/>
      <c r="D421" s="3188"/>
      <c r="E421" s="3194">
        <f t="shared" si="265"/>
        <v>0</v>
      </c>
      <c r="F421" s="3195"/>
      <c r="G421" s="3196">
        <f t="shared" si="266"/>
        <v>0</v>
      </c>
      <c r="H421" s="3197">
        <f t="shared" si="267"/>
        <v>0</v>
      </c>
      <c r="I421" s="3199"/>
      <c r="J421" s="3213"/>
      <c r="K421" s="3199"/>
      <c r="L421" s="3213"/>
      <c r="M421" s="3213"/>
      <c r="N421" s="3213"/>
      <c r="O421" s="3213"/>
      <c r="P421" s="3213"/>
      <c r="Q421" s="3213"/>
      <c r="R421" s="3213"/>
      <c r="S421" s="3213"/>
      <c r="T421" s="3213"/>
      <c r="U421" s="3213"/>
      <c r="V421" s="3213"/>
      <c r="W421" s="3213"/>
      <c r="X421" s="3213"/>
      <c r="Y421" s="3213"/>
      <c r="Z421" s="3213"/>
      <c r="AA421" s="3213"/>
      <c r="AB421" s="3213"/>
      <c r="AC421" s="3194">
        <f t="shared" si="268"/>
        <v>0</v>
      </c>
      <c r="AD421" s="3224"/>
      <c r="AE421" s="3224"/>
      <c r="AF421" s="3199"/>
      <c r="AG421" s="3224"/>
      <c r="AH421" s="3224"/>
      <c r="AI421" s="3224"/>
      <c r="AJ421" s="3224"/>
      <c r="AK421" s="3224"/>
      <c r="AL421" s="3224"/>
      <c r="AM421" s="3224"/>
      <c r="AN421" s="3224"/>
      <c r="AO421" s="3224"/>
      <c r="AP421" s="3224"/>
      <c r="AQ421" s="3224"/>
      <c r="AR421" s="3224"/>
      <c r="AS421" s="3224"/>
      <c r="AT421" s="3244"/>
      <c r="AU421" s="3245"/>
      <c r="AV421" s="464">
        <f t="shared" si="269"/>
        <v>0</v>
      </c>
      <c r="AW421" s="464">
        <f t="shared" si="270"/>
        <v>0</v>
      </c>
      <c r="AX421" s="464">
        <f t="shared" si="271"/>
        <v>0</v>
      </c>
      <c r="AY421" s="3261">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6">
        <f t="shared" si="293"/>
        <v>0</v>
      </c>
    </row>
    <row r="422" spans="1:72">
      <c r="A422" s="3192"/>
      <c r="B422" s="3200"/>
      <c r="C422" s="3199"/>
      <c r="D422" s="3188"/>
      <c r="E422" s="3194">
        <f t="shared" si="265"/>
        <v>0</v>
      </c>
      <c r="F422" s="3195"/>
      <c r="G422" s="3196">
        <f t="shared" si="266"/>
        <v>0</v>
      </c>
      <c r="H422" s="3197">
        <f t="shared" si="267"/>
        <v>0</v>
      </c>
      <c r="I422" s="3199"/>
      <c r="J422" s="3213"/>
      <c r="K422" s="3199"/>
      <c r="L422" s="3213"/>
      <c r="M422" s="3213"/>
      <c r="N422" s="3213"/>
      <c r="O422" s="3213"/>
      <c r="P422" s="3213"/>
      <c r="Q422" s="3213"/>
      <c r="R422" s="3213"/>
      <c r="S422" s="3213"/>
      <c r="T422" s="3213"/>
      <c r="U422" s="3213"/>
      <c r="V422" s="3213"/>
      <c r="W422" s="3213"/>
      <c r="X422" s="3213"/>
      <c r="Y422" s="3213"/>
      <c r="Z422" s="3213"/>
      <c r="AA422" s="3213"/>
      <c r="AB422" s="3213"/>
      <c r="AC422" s="3194">
        <f t="shared" si="268"/>
        <v>0</v>
      </c>
      <c r="AD422" s="3224"/>
      <c r="AE422" s="3224"/>
      <c r="AF422" s="3199"/>
      <c r="AG422" s="3224"/>
      <c r="AH422" s="3224"/>
      <c r="AI422" s="3224"/>
      <c r="AJ422" s="3224"/>
      <c r="AK422" s="3224"/>
      <c r="AL422" s="3224"/>
      <c r="AM422" s="3224"/>
      <c r="AN422" s="3224"/>
      <c r="AO422" s="3224"/>
      <c r="AP422" s="3224"/>
      <c r="AQ422" s="3224"/>
      <c r="AR422" s="3224"/>
      <c r="AS422" s="3224"/>
      <c r="AT422" s="3244"/>
      <c r="AU422" s="3245"/>
      <c r="AV422" s="464">
        <f t="shared" si="269"/>
        <v>0</v>
      </c>
      <c r="AW422" s="464">
        <f t="shared" si="270"/>
        <v>0</v>
      </c>
      <c r="AX422" s="464">
        <f t="shared" si="271"/>
        <v>0</v>
      </c>
      <c r="AY422" s="3261">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6">
        <f t="shared" si="293"/>
        <v>0</v>
      </c>
    </row>
    <row r="423" spans="1:72">
      <c r="A423" s="3192"/>
      <c r="B423" s="3201"/>
      <c r="C423" s="3202"/>
      <c r="D423" s="3188"/>
      <c r="E423" s="3194">
        <f t="shared" si="265"/>
        <v>0</v>
      </c>
      <c r="F423" s="3195"/>
      <c r="G423" s="3196">
        <f t="shared" si="266"/>
        <v>0</v>
      </c>
      <c r="H423" s="3197">
        <f t="shared" si="267"/>
        <v>0</v>
      </c>
      <c r="I423" s="3199"/>
      <c r="J423" s="3213"/>
      <c r="K423" s="3199"/>
      <c r="L423" s="3213"/>
      <c r="M423" s="3199"/>
      <c r="N423" s="3213"/>
      <c r="O423" s="3213"/>
      <c r="P423" s="3213"/>
      <c r="Q423" s="3213"/>
      <c r="R423" s="3213"/>
      <c r="S423" s="3213"/>
      <c r="T423" s="3213"/>
      <c r="U423" s="3213"/>
      <c r="V423" s="3213"/>
      <c r="W423" s="3213"/>
      <c r="X423" s="3213"/>
      <c r="Y423" s="3213"/>
      <c r="Z423" s="3213"/>
      <c r="AA423" s="3213"/>
      <c r="AB423" s="3213"/>
      <c r="AC423" s="3194">
        <f t="shared" si="268"/>
        <v>0</v>
      </c>
      <c r="AD423" s="3224"/>
      <c r="AE423" s="3224"/>
      <c r="AF423" s="3199"/>
      <c r="AG423" s="3224"/>
      <c r="AH423" s="3224"/>
      <c r="AI423" s="3224"/>
      <c r="AJ423" s="3224"/>
      <c r="AK423" s="3224"/>
      <c r="AL423" s="3224"/>
      <c r="AM423" s="3224"/>
      <c r="AN423" s="3224"/>
      <c r="AO423" s="3224"/>
      <c r="AP423" s="3224"/>
      <c r="AQ423" s="3224"/>
      <c r="AR423" s="3224"/>
      <c r="AS423" s="3224"/>
      <c r="AT423" s="3244"/>
      <c r="AU423" s="3245"/>
      <c r="AV423" s="464">
        <f t="shared" si="269"/>
        <v>0</v>
      </c>
      <c r="AW423" s="464">
        <f t="shared" si="270"/>
        <v>0</v>
      </c>
      <c r="AX423" s="464">
        <f t="shared" si="271"/>
        <v>0</v>
      </c>
      <c r="AY423" s="3261">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6">
        <f t="shared" si="293"/>
        <v>0</v>
      </c>
    </row>
    <row r="424" spans="1:72">
      <c r="A424" s="3192"/>
      <c r="B424" s="3193"/>
      <c r="C424" s="3193"/>
      <c r="D424" s="3188"/>
      <c r="E424" s="3194">
        <f t="shared" si="265"/>
        <v>0</v>
      </c>
      <c r="F424" s="3195"/>
      <c r="G424" s="3196">
        <f t="shared" si="266"/>
        <v>0</v>
      </c>
      <c r="H424" s="3197">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4">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64">
        <f t="shared" si="269"/>
        <v>0</v>
      </c>
      <c r="AW424" s="464">
        <f t="shared" si="270"/>
        <v>0</v>
      </c>
      <c r="AX424" s="464">
        <f t="shared" si="271"/>
        <v>0</v>
      </c>
      <c r="AY424" s="3261">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6">
        <f t="shared" si="293"/>
        <v>0</v>
      </c>
    </row>
    <row r="425" spans="1:72">
      <c r="A425" s="3192"/>
      <c r="B425" s="3193"/>
      <c r="C425" s="3193"/>
      <c r="D425" s="3188"/>
      <c r="E425" s="3194">
        <f t="shared" si="265"/>
        <v>0</v>
      </c>
      <c r="F425" s="3195"/>
      <c r="G425" s="3196">
        <f t="shared" si="266"/>
        <v>0</v>
      </c>
      <c r="H425" s="3197">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4">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64">
        <f t="shared" si="269"/>
        <v>0</v>
      </c>
      <c r="AW425" s="464">
        <f t="shared" si="270"/>
        <v>0</v>
      </c>
      <c r="AX425" s="464">
        <f t="shared" si="271"/>
        <v>0</v>
      </c>
      <c r="AY425" s="3261">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6">
        <f t="shared" si="293"/>
        <v>0</v>
      </c>
    </row>
    <row r="426" spans="1:72">
      <c r="A426" s="3192"/>
      <c r="B426" s="3193"/>
      <c r="C426" s="3193"/>
      <c r="D426" s="3188"/>
      <c r="E426" s="3194">
        <f t="shared" si="265"/>
        <v>0</v>
      </c>
      <c r="F426" s="3195"/>
      <c r="G426" s="3196">
        <f t="shared" si="266"/>
        <v>0</v>
      </c>
      <c r="H426" s="3197">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4">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64">
        <f t="shared" si="269"/>
        <v>0</v>
      </c>
      <c r="AW426" s="464">
        <f t="shared" si="270"/>
        <v>0</v>
      </c>
      <c r="AX426" s="464">
        <f t="shared" si="271"/>
        <v>0</v>
      </c>
      <c r="AY426" s="3261">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6">
        <f t="shared" si="293"/>
        <v>0</v>
      </c>
    </row>
    <row r="427" spans="1:72">
      <c r="A427" s="3192"/>
      <c r="B427" s="3193"/>
      <c r="C427" s="3193"/>
      <c r="D427" s="3188"/>
      <c r="E427" s="3194">
        <f t="shared" si="265"/>
        <v>0</v>
      </c>
      <c r="F427" s="3195"/>
      <c r="G427" s="3196">
        <f t="shared" si="266"/>
        <v>0</v>
      </c>
      <c r="H427" s="3197">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4">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64">
        <f t="shared" si="269"/>
        <v>0</v>
      </c>
      <c r="AW427" s="464">
        <f t="shared" si="270"/>
        <v>0</v>
      </c>
      <c r="AX427" s="464">
        <f t="shared" si="271"/>
        <v>0</v>
      </c>
      <c r="AY427" s="3261">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6">
        <f t="shared" si="293"/>
        <v>0</v>
      </c>
    </row>
    <row r="428" spans="1:72">
      <c r="A428" s="3192"/>
      <c r="B428" s="3193"/>
      <c r="C428" s="3193"/>
      <c r="D428" s="3188"/>
      <c r="E428" s="3194">
        <f t="shared" si="265"/>
        <v>0</v>
      </c>
      <c r="F428" s="3195"/>
      <c r="G428" s="3196">
        <f t="shared" si="266"/>
        <v>0</v>
      </c>
      <c r="H428" s="3197">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4">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64">
        <f t="shared" si="269"/>
        <v>0</v>
      </c>
      <c r="AW428" s="464">
        <f t="shared" si="270"/>
        <v>0</v>
      </c>
      <c r="AX428" s="464">
        <f t="shared" si="271"/>
        <v>0</v>
      </c>
      <c r="AY428" s="3261">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6">
        <f t="shared" si="293"/>
        <v>0</v>
      </c>
    </row>
    <row r="429" spans="1:72">
      <c r="A429" s="3192"/>
      <c r="B429" s="3193"/>
      <c r="C429" s="3193"/>
      <c r="D429" s="3188"/>
      <c r="E429" s="3194">
        <f t="shared" si="265"/>
        <v>0</v>
      </c>
      <c r="F429" s="3195"/>
      <c r="G429" s="3196">
        <f t="shared" si="266"/>
        <v>0</v>
      </c>
      <c r="H429" s="3197">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4">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64">
        <f t="shared" si="269"/>
        <v>0</v>
      </c>
      <c r="AW429" s="464">
        <f t="shared" si="270"/>
        <v>0</v>
      </c>
      <c r="AX429" s="464">
        <f t="shared" si="271"/>
        <v>0</v>
      </c>
      <c r="AY429" s="3261">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6">
        <f t="shared" si="293"/>
        <v>0</v>
      </c>
    </row>
    <row r="430" spans="1:72">
      <c r="A430" s="3192"/>
      <c r="B430" s="3193"/>
      <c r="C430" s="3193"/>
      <c r="D430" s="3188"/>
      <c r="E430" s="3194">
        <f t="shared" si="265"/>
        <v>0</v>
      </c>
      <c r="F430" s="3195"/>
      <c r="G430" s="3196">
        <f t="shared" si="266"/>
        <v>0</v>
      </c>
      <c r="H430" s="3197">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4">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64">
        <f t="shared" si="269"/>
        <v>0</v>
      </c>
      <c r="AW430" s="464">
        <f t="shared" si="270"/>
        <v>0</v>
      </c>
      <c r="AX430" s="464">
        <f t="shared" si="271"/>
        <v>0</v>
      </c>
      <c r="AY430" s="3261">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6">
        <f t="shared" si="293"/>
        <v>0</v>
      </c>
    </row>
    <row r="431" spans="1:72">
      <c r="A431" s="3192"/>
      <c r="B431" s="3193"/>
      <c r="C431" s="3193"/>
      <c r="D431" s="3188"/>
      <c r="E431" s="3194">
        <f t="shared" si="265"/>
        <v>0</v>
      </c>
      <c r="F431" s="3195"/>
      <c r="G431" s="3196">
        <f t="shared" si="266"/>
        <v>0</v>
      </c>
      <c r="H431" s="3197">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4">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64">
        <f t="shared" si="269"/>
        <v>0</v>
      </c>
      <c r="AW431" s="464">
        <f t="shared" si="270"/>
        <v>0</v>
      </c>
      <c r="AX431" s="464">
        <f t="shared" si="271"/>
        <v>0</v>
      </c>
      <c r="AY431" s="3261">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6">
        <f t="shared" si="293"/>
        <v>0</v>
      </c>
    </row>
    <row r="432" spans="1:72">
      <c r="A432" s="3192"/>
      <c r="B432" s="3193"/>
      <c r="C432" s="3193"/>
      <c r="D432" s="3188"/>
      <c r="E432" s="3194">
        <f t="shared" si="265"/>
        <v>0</v>
      </c>
      <c r="F432" s="3195"/>
      <c r="G432" s="3196">
        <f t="shared" si="266"/>
        <v>0</v>
      </c>
      <c r="H432" s="3197">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4">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64">
        <f t="shared" si="269"/>
        <v>0</v>
      </c>
      <c r="AW432" s="464">
        <f t="shared" si="270"/>
        <v>0</v>
      </c>
      <c r="AX432" s="464">
        <f t="shared" si="271"/>
        <v>0</v>
      </c>
      <c r="AY432" s="3261">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6">
        <f t="shared" si="293"/>
        <v>0</v>
      </c>
    </row>
    <row r="433" spans="1:72">
      <c r="A433" s="3192"/>
      <c r="B433" s="3193"/>
      <c r="C433" s="3193"/>
      <c r="D433" s="3188"/>
      <c r="E433" s="3194">
        <f t="shared" si="265"/>
        <v>0</v>
      </c>
      <c r="F433" s="3195"/>
      <c r="G433" s="3196">
        <f t="shared" si="266"/>
        <v>0</v>
      </c>
      <c r="H433" s="3197">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4">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64">
        <f t="shared" si="269"/>
        <v>0</v>
      </c>
      <c r="AW433" s="464">
        <f t="shared" si="270"/>
        <v>0</v>
      </c>
      <c r="AX433" s="464">
        <f t="shared" si="271"/>
        <v>0</v>
      </c>
      <c r="AY433" s="3261">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6">
        <f t="shared" si="293"/>
        <v>0</v>
      </c>
    </row>
    <row r="434" spans="1:72">
      <c r="A434" s="3192"/>
      <c r="B434" s="3193"/>
      <c r="C434" s="3193"/>
      <c r="D434" s="3188"/>
      <c r="E434" s="3194">
        <f t="shared" si="265"/>
        <v>0</v>
      </c>
      <c r="F434" s="3195"/>
      <c r="G434" s="3196">
        <f t="shared" si="266"/>
        <v>0</v>
      </c>
      <c r="H434" s="3197">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4">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64">
        <f t="shared" si="269"/>
        <v>0</v>
      </c>
      <c r="AW434" s="464">
        <f t="shared" si="270"/>
        <v>0</v>
      </c>
      <c r="AX434" s="464">
        <f t="shared" si="271"/>
        <v>0</v>
      </c>
      <c r="AY434" s="3261">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6">
        <f t="shared" si="293"/>
        <v>0</v>
      </c>
    </row>
    <row r="435" spans="1:72">
      <c r="A435" s="3192"/>
      <c r="B435" s="3193"/>
      <c r="C435" s="3193"/>
      <c r="D435" s="3188"/>
      <c r="E435" s="3194">
        <f t="shared" si="265"/>
        <v>0</v>
      </c>
      <c r="F435" s="3195"/>
      <c r="G435" s="3196">
        <f t="shared" si="266"/>
        <v>0</v>
      </c>
      <c r="H435" s="3197">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4">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64">
        <f t="shared" si="269"/>
        <v>0</v>
      </c>
      <c r="AW435" s="464">
        <f t="shared" si="270"/>
        <v>0</v>
      </c>
      <c r="AX435" s="464">
        <f t="shared" si="271"/>
        <v>0</v>
      </c>
      <c r="AY435" s="3261">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6">
        <f t="shared" si="293"/>
        <v>0</v>
      </c>
    </row>
    <row r="436" spans="1:72">
      <c r="A436" s="3192"/>
      <c r="B436" s="3193"/>
      <c r="C436" s="3193"/>
      <c r="D436" s="3188"/>
      <c r="E436" s="3194">
        <f t="shared" si="265"/>
        <v>0</v>
      </c>
      <c r="F436" s="3195"/>
      <c r="G436" s="3196">
        <f t="shared" si="266"/>
        <v>0</v>
      </c>
      <c r="H436" s="3197">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4">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64">
        <f t="shared" si="269"/>
        <v>0</v>
      </c>
      <c r="AW436" s="464">
        <f t="shared" si="270"/>
        <v>0</v>
      </c>
      <c r="AX436" s="464">
        <f t="shared" si="271"/>
        <v>0</v>
      </c>
      <c r="AY436" s="3261">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6">
        <f t="shared" si="293"/>
        <v>0</v>
      </c>
    </row>
    <row r="437" spans="1:72">
      <c r="A437" s="3192"/>
      <c r="B437" s="3193"/>
      <c r="C437" s="3193"/>
      <c r="D437" s="3188"/>
      <c r="E437" s="3194">
        <f t="shared" si="265"/>
        <v>0</v>
      </c>
      <c r="F437" s="3195"/>
      <c r="G437" s="3196">
        <f t="shared" si="266"/>
        <v>0</v>
      </c>
      <c r="H437" s="3197">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4">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64">
        <f t="shared" si="269"/>
        <v>0</v>
      </c>
      <c r="AW437" s="464">
        <f t="shared" si="270"/>
        <v>0</v>
      </c>
      <c r="AX437" s="464">
        <f t="shared" si="271"/>
        <v>0</v>
      </c>
      <c r="AY437" s="3261">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6">
        <f t="shared" si="293"/>
        <v>0</v>
      </c>
    </row>
    <row r="438" spans="1:72">
      <c r="A438" s="3192"/>
      <c r="B438" s="3193"/>
      <c r="C438" s="3193"/>
      <c r="D438" s="3188"/>
      <c r="E438" s="3194">
        <f t="shared" si="265"/>
        <v>0</v>
      </c>
      <c r="F438" s="3195"/>
      <c r="G438" s="3196">
        <f t="shared" si="266"/>
        <v>0</v>
      </c>
      <c r="H438" s="3197">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4">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64">
        <f t="shared" si="269"/>
        <v>0</v>
      </c>
      <c r="AW438" s="464">
        <f t="shared" si="270"/>
        <v>0</v>
      </c>
      <c r="AX438" s="464">
        <f t="shared" si="271"/>
        <v>0</v>
      </c>
      <c r="AY438" s="3261">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6">
        <f t="shared" si="293"/>
        <v>0</v>
      </c>
    </row>
    <row r="439" spans="1:72">
      <c r="A439" s="3192"/>
      <c r="B439" s="3193"/>
      <c r="C439" s="3193"/>
      <c r="D439" s="3188"/>
      <c r="E439" s="3194">
        <f t="shared" si="265"/>
        <v>0</v>
      </c>
      <c r="F439" s="3195"/>
      <c r="G439" s="3196">
        <f t="shared" si="266"/>
        <v>0</v>
      </c>
      <c r="H439" s="3197">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4">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64">
        <f t="shared" si="269"/>
        <v>0</v>
      </c>
      <c r="AW439" s="464">
        <f t="shared" si="270"/>
        <v>0</v>
      </c>
      <c r="AX439" s="464">
        <f t="shared" si="271"/>
        <v>0</v>
      </c>
      <c r="AY439" s="3261">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6">
        <f t="shared" si="293"/>
        <v>0</v>
      </c>
    </row>
    <row r="440" spans="1:72">
      <c r="A440" s="3192"/>
      <c r="B440" s="3193"/>
      <c r="C440" s="3193"/>
      <c r="D440" s="3188"/>
      <c r="E440" s="3194">
        <f t="shared" si="265"/>
        <v>0</v>
      </c>
      <c r="F440" s="3195"/>
      <c r="G440" s="3196">
        <f t="shared" si="266"/>
        <v>0</v>
      </c>
      <c r="H440" s="3197">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4">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64">
        <f t="shared" si="269"/>
        <v>0</v>
      </c>
      <c r="AW440" s="464">
        <f t="shared" si="270"/>
        <v>0</v>
      </c>
      <c r="AX440" s="464">
        <f t="shared" si="271"/>
        <v>0</v>
      </c>
      <c r="AY440" s="3261">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6">
        <f t="shared" si="293"/>
        <v>0</v>
      </c>
    </row>
    <row r="441" spans="1:72">
      <c r="A441" s="3192"/>
      <c r="B441" s="3193"/>
      <c r="C441" s="3193"/>
      <c r="D441" s="3188"/>
      <c r="E441" s="3194">
        <f t="shared" si="265"/>
        <v>0</v>
      </c>
      <c r="F441" s="3195"/>
      <c r="G441" s="3196">
        <f t="shared" si="266"/>
        <v>0</v>
      </c>
      <c r="H441" s="3197">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4">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64">
        <f t="shared" si="269"/>
        <v>0</v>
      </c>
      <c r="AW441" s="464">
        <f t="shared" si="270"/>
        <v>0</v>
      </c>
      <c r="AX441" s="464">
        <f t="shared" si="271"/>
        <v>0</v>
      </c>
      <c r="AY441" s="3261">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6">
        <f t="shared" si="293"/>
        <v>0</v>
      </c>
    </row>
    <row r="442" spans="1:72">
      <c r="A442" s="3192"/>
      <c r="B442" s="3193"/>
      <c r="C442" s="3193"/>
      <c r="D442" s="3188"/>
      <c r="E442" s="3194">
        <f t="shared" si="265"/>
        <v>0</v>
      </c>
      <c r="F442" s="3195"/>
      <c r="G442" s="3196">
        <f t="shared" si="266"/>
        <v>0</v>
      </c>
      <c r="H442" s="3197">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4">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64">
        <f t="shared" si="269"/>
        <v>0</v>
      </c>
      <c r="AW442" s="464">
        <f t="shared" si="270"/>
        <v>0</v>
      </c>
      <c r="AX442" s="464">
        <f t="shared" si="271"/>
        <v>0</v>
      </c>
      <c r="AY442" s="3261">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6">
        <f t="shared" si="293"/>
        <v>0</v>
      </c>
    </row>
    <row r="443" spans="1:72">
      <c r="A443" s="3192"/>
      <c r="B443" s="3193"/>
      <c r="C443" s="3193"/>
      <c r="D443" s="3188"/>
      <c r="E443" s="3194">
        <f t="shared" si="265"/>
        <v>0</v>
      </c>
      <c r="F443" s="3195"/>
      <c r="G443" s="3196">
        <f t="shared" si="266"/>
        <v>0</v>
      </c>
      <c r="H443" s="3197">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4">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64">
        <f t="shared" si="269"/>
        <v>0</v>
      </c>
      <c r="AW443" s="464">
        <f t="shared" si="270"/>
        <v>0</v>
      </c>
      <c r="AX443" s="464">
        <f t="shared" si="271"/>
        <v>0</v>
      </c>
      <c r="AY443" s="3261">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6">
        <f t="shared" si="293"/>
        <v>0</v>
      </c>
    </row>
    <row r="444" spans="1:72">
      <c r="A444" s="3192"/>
      <c r="B444" s="3193"/>
      <c r="C444" s="3193"/>
      <c r="D444" s="3188"/>
      <c r="E444" s="3194">
        <f t="shared" si="265"/>
        <v>0</v>
      </c>
      <c r="F444" s="3195"/>
      <c r="G444" s="3196">
        <f t="shared" si="266"/>
        <v>0</v>
      </c>
      <c r="H444" s="3197">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4">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64">
        <f t="shared" si="269"/>
        <v>0</v>
      </c>
      <c r="AW444" s="464">
        <f t="shared" si="270"/>
        <v>0</v>
      </c>
      <c r="AX444" s="464">
        <f t="shared" si="271"/>
        <v>0</v>
      </c>
      <c r="AY444" s="3261">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6">
        <f t="shared" si="293"/>
        <v>0</v>
      </c>
    </row>
    <row r="445" spans="1:72">
      <c r="A445" s="3192"/>
      <c r="B445" s="3193"/>
      <c r="C445" s="3193"/>
      <c r="D445" s="3188"/>
      <c r="E445" s="3194">
        <f t="shared" si="265"/>
        <v>0</v>
      </c>
      <c r="F445" s="3195"/>
      <c r="G445" s="3196">
        <f t="shared" si="266"/>
        <v>0</v>
      </c>
      <c r="H445" s="3197">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4">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64">
        <f t="shared" si="269"/>
        <v>0</v>
      </c>
      <c r="AW445" s="464">
        <f t="shared" si="270"/>
        <v>0</v>
      </c>
      <c r="AX445" s="464">
        <f t="shared" si="271"/>
        <v>0</v>
      </c>
      <c r="AY445" s="3261">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6">
        <f t="shared" si="293"/>
        <v>0</v>
      </c>
    </row>
    <row r="446" spans="1:72">
      <c r="A446" s="3192"/>
      <c r="B446" s="3193"/>
      <c r="C446" s="3193"/>
      <c r="D446" s="3188"/>
      <c r="E446" s="3194">
        <f t="shared" si="265"/>
        <v>0</v>
      </c>
      <c r="F446" s="3195"/>
      <c r="G446" s="3196">
        <f t="shared" si="266"/>
        <v>0</v>
      </c>
      <c r="H446" s="3197">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4">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64">
        <f t="shared" si="269"/>
        <v>0</v>
      </c>
      <c r="AW446" s="464">
        <f t="shared" si="270"/>
        <v>0</v>
      </c>
      <c r="AX446" s="464">
        <f t="shared" si="271"/>
        <v>0</v>
      </c>
      <c r="AY446" s="3261">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6">
        <f t="shared" si="293"/>
        <v>0</v>
      </c>
    </row>
    <row r="447" spans="1:72">
      <c r="A447" s="3192"/>
      <c r="B447" s="3193"/>
      <c r="C447" s="3193"/>
      <c r="D447" s="3188"/>
      <c r="E447" s="3194">
        <f t="shared" si="265"/>
        <v>0</v>
      </c>
      <c r="F447" s="3195"/>
      <c r="G447" s="3196">
        <f t="shared" si="266"/>
        <v>0</v>
      </c>
      <c r="H447" s="3197">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4">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64">
        <f t="shared" si="269"/>
        <v>0</v>
      </c>
      <c r="AW447" s="464">
        <f t="shared" si="270"/>
        <v>0</v>
      </c>
      <c r="AX447" s="464">
        <f t="shared" si="271"/>
        <v>0</v>
      </c>
      <c r="AY447" s="3261">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6">
        <f t="shared" si="293"/>
        <v>0</v>
      </c>
    </row>
    <row r="448" spans="1:72">
      <c r="A448" s="3192"/>
      <c r="B448" s="3193"/>
      <c r="C448" s="3193"/>
      <c r="D448" s="3188"/>
      <c r="E448" s="3194">
        <f t="shared" si="265"/>
        <v>0</v>
      </c>
      <c r="F448" s="3195"/>
      <c r="G448" s="3196">
        <f t="shared" si="266"/>
        <v>0</v>
      </c>
      <c r="H448" s="3197">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4">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64">
        <f t="shared" si="269"/>
        <v>0</v>
      </c>
      <c r="AW448" s="464">
        <f t="shared" si="270"/>
        <v>0</v>
      </c>
      <c r="AX448" s="464">
        <f t="shared" si="271"/>
        <v>0</v>
      </c>
      <c r="AY448" s="3261">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6">
        <f t="shared" si="293"/>
        <v>0</v>
      </c>
    </row>
    <row r="449" spans="1:72">
      <c r="A449" s="3192"/>
      <c r="B449" s="3193"/>
      <c r="C449" s="3193"/>
      <c r="D449" s="3188"/>
      <c r="E449" s="3194">
        <f t="shared" si="265"/>
        <v>0</v>
      </c>
      <c r="F449" s="3195"/>
      <c r="G449" s="3196">
        <f t="shared" si="266"/>
        <v>0</v>
      </c>
      <c r="H449" s="3197">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4">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64">
        <f t="shared" si="269"/>
        <v>0</v>
      </c>
      <c r="AW449" s="464">
        <f t="shared" si="270"/>
        <v>0</v>
      </c>
      <c r="AX449" s="464">
        <f t="shared" si="271"/>
        <v>0</v>
      </c>
      <c r="AY449" s="3261">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6">
        <f t="shared" si="293"/>
        <v>0</v>
      </c>
    </row>
    <row r="450" spans="1:72">
      <c r="A450" s="3192"/>
      <c r="B450" s="3193"/>
      <c r="C450" s="3193"/>
      <c r="D450" s="3188"/>
      <c r="E450" s="3194">
        <f t="shared" si="265"/>
        <v>0</v>
      </c>
      <c r="F450" s="3195"/>
      <c r="G450" s="3196">
        <f t="shared" si="266"/>
        <v>0</v>
      </c>
      <c r="H450" s="3197">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4">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64">
        <f t="shared" si="269"/>
        <v>0</v>
      </c>
      <c r="AW450" s="464">
        <f t="shared" si="270"/>
        <v>0</v>
      </c>
      <c r="AX450" s="464">
        <f t="shared" si="271"/>
        <v>0</v>
      </c>
      <c r="AY450" s="3261">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6">
        <f t="shared" si="293"/>
        <v>0</v>
      </c>
    </row>
    <row r="451" spans="1:72">
      <c r="A451" s="3192"/>
      <c r="B451" s="3193"/>
      <c r="C451" s="3193"/>
      <c r="D451" s="3188"/>
      <c r="E451" s="3194">
        <f t="shared" si="265"/>
        <v>0</v>
      </c>
      <c r="F451" s="3195"/>
      <c r="G451" s="3196">
        <f t="shared" si="266"/>
        <v>0</v>
      </c>
      <c r="H451" s="3197">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4">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64">
        <f t="shared" si="269"/>
        <v>0</v>
      </c>
      <c r="AW451" s="464">
        <f t="shared" si="270"/>
        <v>0</v>
      </c>
      <c r="AX451" s="464">
        <f t="shared" si="271"/>
        <v>0</v>
      </c>
      <c r="AY451" s="3261">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6">
        <f t="shared" si="293"/>
        <v>0</v>
      </c>
    </row>
    <row r="452" spans="1:72">
      <c r="A452" s="3192"/>
      <c r="B452" s="3193"/>
      <c r="C452" s="3193"/>
      <c r="D452" s="3188"/>
      <c r="E452" s="3194">
        <f t="shared" si="265"/>
        <v>0</v>
      </c>
      <c r="F452" s="3195"/>
      <c r="G452" s="3196">
        <f t="shared" si="266"/>
        <v>0</v>
      </c>
      <c r="H452" s="3197">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4">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64">
        <f t="shared" si="269"/>
        <v>0</v>
      </c>
      <c r="AW452" s="464">
        <f t="shared" si="270"/>
        <v>0</v>
      </c>
      <c r="AX452" s="464">
        <f t="shared" si="271"/>
        <v>0</v>
      </c>
      <c r="AY452" s="3261">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6">
        <f t="shared" si="293"/>
        <v>0</v>
      </c>
    </row>
    <row r="453" spans="1:72">
      <c r="A453" s="3192"/>
      <c r="B453" s="3193"/>
      <c r="C453" s="3193"/>
      <c r="D453" s="3188"/>
      <c r="E453" s="3194">
        <f t="shared" si="265"/>
        <v>0</v>
      </c>
      <c r="F453" s="3195"/>
      <c r="G453" s="3196">
        <f t="shared" si="266"/>
        <v>0</v>
      </c>
      <c r="H453" s="3197">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4">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64">
        <f t="shared" si="269"/>
        <v>0</v>
      </c>
      <c r="AW453" s="464">
        <f t="shared" si="270"/>
        <v>0</v>
      </c>
      <c r="AX453" s="464">
        <f t="shared" si="271"/>
        <v>0</v>
      </c>
      <c r="AY453" s="3261">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6">
        <f t="shared" si="293"/>
        <v>0</v>
      </c>
    </row>
    <row r="454" spans="1:72">
      <c r="A454" s="3192"/>
      <c r="B454" s="3193"/>
      <c r="C454" s="3193"/>
      <c r="D454" s="3188"/>
      <c r="E454" s="3194">
        <f t="shared" si="265"/>
        <v>0</v>
      </c>
      <c r="F454" s="3195"/>
      <c r="G454" s="3196">
        <f t="shared" si="266"/>
        <v>0</v>
      </c>
      <c r="H454" s="3197">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4">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64">
        <f t="shared" si="269"/>
        <v>0</v>
      </c>
      <c r="AW454" s="464">
        <f t="shared" si="270"/>
        <v>0</v>
      </c>
      <c r="AX454" s="464">
        <f t="shared" si="271"/>
        <v>0</v>
      </c>
      <c r="AY454" s="3261">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6">
        <f t="shared" si="293"/>
        <v>0</v>
      </c>
    </row>
    <row r="455" spans="1:72">
      <c r="A455" s="3192"/>
      <c r="B455" s="3193"/>
      <c r="C455" s="3193"/>
      <c r="D455" s="3188"/>
      <c r="E455" s="3194">
        <f t="shared" si="265"/>
        <v>0</v>
      </c>
      <c r="F455" s="3195"/>
      <c r="G455" s="3196">
        <f t="shared" si="266"/>
        <v>0</v>
      </c>
      <c r="H455" s="3197">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4">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64">
        <f t="shared" si="269"/>
        <v>0</v>
      </c>
      <c r="AW455" s="464">
        <f t="shared" si="270"/>
        <v>0</v>
      </c>
      <c r="AX455" s="464">
        <f t="shared" si="271"/>
        <v>0</v>
      </c>
      <c r="AY455" s="3261">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6">
        <f t="shared" si="293"/>
        <v>0</v>
      </c>
    </row>
    <row r="456" spans="1:72">
      <c r="A456" s="3192"/>
      <c r="B456" s="3193"/>
      <c r="C456" s="3193"/>
      <c r="D456" s="3188"/>
      <c r="E456" s="3194">
        <f t="shared" si="265"/>
        <v>0</v>
      </c>
      <c r="F456" s="3195"/>
      <c r="G456" s="3196">
        <f t="shared" si="266"/>
        <v>0</v>
      </c>
      <c r="H456" s="3197">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4">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64">
        <f t="shared" si="269"/>
        <v>0</v>
      </c>
      <c r="AW456" s="464">
        <f t="shared" si="270"/>
        <v>0</v>
      </c>
      <c r="AX456" s="464">
        <f t="shared" si="271"/>
        <v>0</v>
      </c>
      <c r="AY456" s="3261">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6">
        <f t="shared" si="293"/>
        <v>0</v>
      </c>
    </row>
    <row r="457" spans="1:72">
      <c r="A457" s="3192"/>
      <c r="B457" s="3193"/>
      <c r="C457" s="3193"/>
      <c r="D457" s="3188"/>
      <c r="E457" s="3194">
        <f t="shared" si="265"/>
        <v>0</v>
      </c>
      <c r="F457" s="3195"/>
      <c r="G457" s="3196">
        <f t="shared" si="266"/>
        <v>0</v>
      </c>
      <c r="H457" s="3197">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4">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64">
        <f t="shared" si="269"/>
        <v>0</v>
      </c>
      <c r="AW457" s="464">
        <f t="shared" si="270"/>
        <v>0</v>
      </c>
      <c r="AX457" s="464">
        <f t="shared" si="271"/>
        <v>0</v>
      </c>
      <c r="AY457" s="3261">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6">
        <f t="shared" si="293"/>
        <v>0</v>
      </c>
    </row>
    <row r="458" spans="1:72">
      <c r="A458" s="3192"/>
      <c r="B458" s="3193"/>
      <c r="C458" s="3193"/>
      <c r="D458" s="3188"/>
      <c r="E458" s="3194">
        <f t="shared" si="265"/>
        <v>0</v>
      </c>
      <c r="F458" s="3195"/>
      <c r="G458" s="3196">
        <f t="shared" si="266"/>
        <v>0</v>
      </c>
      <c r="H458" s="3197">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4">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64">
        <f t="shared" si="269"/>
        <v>0</v>
      </c>
      <c r="AW458" s="464">
        <f t="shared" si="270"/>
        <v>0</v>
      </c>
      <c r="AX458" s="464">
        <f t="shared" si="271"/>
        <v>0</v>
      </c>
      <c r="AY458" s="3261">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6">
        <f t="shared" si="293"/>
        <v>0</v>
      </c>
    </row>
    <row r="459" spans="1:72">
      <c r="A459" s="3192"/>
      <c r="B459" s="3193"/>
      <c r="C459" s="3193"/>
      <c r="D459" s="3188"/>
      <c r="E459" s="3194">
        <f t="shared" si="265"/>
        <v>0</v>
      </c>
      <c r="F459" s="3195"/>
      <c r="G459" s="3196">
        <f t="shared" si="266"/>
        <v>0</v>
      </c>
      <c r="H459" s="3197">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4">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64">
        <f t="shared" si="269"/>
        <v>0</v>
      </c>
      <c r="AW459" s="464">
        <f t="shared" si="270"/>
        <v>0</v>
      </c>
      <c r="AX459" s="464">
        <f t="shared" si="271"/>
        <v>0</v>
      </c>
      <c r="AY459" s="3261">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6">
        <f t="shared" si="293"/>
        <v>0</v>
      </c>
    </row>
    <row r="460" spans="1:72">
      <c r="A460" s="3192"/>
      <c r="B460" s="3193"/>
      <c r="C460" s="3193"/>
      <c r="D460" s="3188"/>
      <c r="E460" s="3194">
        <f t="shared" si="265"/>
        <v>0</v>
      </c>
      <c r="F460" s="3195"/>
      <c r="G460" s="3196">
        <f t="shared" si="266"/>
        <v>0</v>
      </c>
      <c r="H460" s="3197">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4">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64">
        <f t="shared" si="269"/>
        <v>0</v>
      </c>
      <c r="AW460" s="464">
        <f t="shared" si="270"/>
        <v>0</v>
      </c>
      <c r="AX460" s="464">
        <f t="shared" si="271"/>
        <v>0</v>
      </c>
      <c r="AY460" s="3261">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6">
        <f t="shared" si="293"/>
        <v>0</v>
      </c>
    </row>
    <row r="461" spans="1:72">
      <c r="A461" s="3192"/>
      <c r="B461" s="3193"/>
      <c r="C461" s="3193"/>
      <c r="D461" s="3188"/>
      <c r="E461" s="3194">
        <f t="shared" si="265"/>
        <v>0</v>
      </c>
      <c r="F461" s="3195"/>
      <c r="G461" s="3196">
        <f t="shared" si="266"/>
        <v>0</v>
      </c>
      <c r="H461" s="3197">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4">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64">
        <f t="shared" si="269"/>
        <v>0</v>
      </c>
      <c r="AW461" s="464">
        <f t="shared" si="270"/>
        <v>0</v>
      </c>
      <c r="AX461" s="464">
        <f t="shared" si="271"/>
        <v>0</v>
      </c>
      <c r="AY461" s="3261">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6">
        <f t="shared" si="293"/>
        <v>0</v>
      </c>
    </row>
    <row r="462" spans="1:72">
      <c r="A462" s="3192"/>
      <c r="B462" s="3193"/>
      <c r="C462" s="3193"/>
      <c r="D462" s="3188"/>
      <c r="E462" s="3194">
        <f t="shared" si="265"/>
        <v>0</v>
      </c>
      <c r="F462" s="3195"/>
      <c r="G462" s="3196">
        <f t="shared" si="266"/>
        <v>0</v>
      </c>
      <c r="H462" s="3197">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4">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64">
        <f t="shared" si="269"/>
        <v>0</v>
      </c>
      <c r="AW462" s="464">
        <f t="shared" si="270"/>
        <v>0</v>
      </c>
      <c r="AX462" s="464">
        <f t="shared" si="271"/>
        <v>0</v>
      </c>
      <c r="AY462" s="3261">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6">
        <f t="shared" si="293"/>
        <v>0</v>
      </c>
    </row>
    <row r="463" spans="1:72">
      <c r="A463" s="3192"/>
      <c r="B463" s="3193"/>
      <c r="C463" s="3193"/>
      <c r="D463" s="3188"/>
      <c r="E463" s="3194">
        <f t="shared" si="265"/>
        <v>0</v>
      </c>
      <c r="F463" s="3195"/>
      <c r="G463" s="3196">
        <f t="shared" si="266"/>
        <v>0</v>
      </c>
      <c r="H463" s="3197">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4">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64">
        <f t="shared" si="269"/>
        <v>0</v>
      </c>
      <c r="AW463" s="464">
        <f t="shared" si="270"/>
        <v>0</v>
      </c>
      <c r="AX463" s="464">
        <f t="shared" si="271"/>
        <v>0</v>
      </c>
      <c r="AY463" s="3261">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6">
        <f t="shared" si="293"/>
        <v>0</v>
      </c>
    </row>
    <row r="464" spans="1:72">
      <c r="A464" s="3192"/>
      <c r="B464" s="3193"/>
      <c r="C464" s="3193"/>
      <c r="D464" s="3188"/>
      <c r="E464" s="3194">
        <f t="shared" si="265"/>
        <v>0</v>
      </c>
      <c r="F464" s="3195"/>
      <c r="G464" s="3196">
        <f t="shared" si="266"/>
        <v>0</v>
      </c>
      <c r="H464" s="3197">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4">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64">
        <f t="shared" si="269"/>
        <v>0</v>
      </c>
      <c r="AW464" s="464">
        <f t="shared" si="270"/>
        <v>0</v>
      </c>
      <c r="AX464" s="464">
        <f t="shared" si="271"/>
        <v>0</v>
      </c>
      <c r="AY464" s="3261">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6">
        <f t="shared" si="293"/>
        <v>0</v>
      </c>
    </row>
    <row r="465" spans="1:72">
      <c r="A465" s="3192"/>
      <c r="B465" s="3193"/>
      <c r="C465" s="3193"/>
      <c r="D465" s="3188"/>
      <c r="E465" s="3194">
        <f t="shared" si="265"/>
        <v>0</v>
      </c>
      <c r="F465" s="3195"/>
      <c r="G465" s="3196">
        <f t="shared" si="266"/>
        <v>0</v>
      </c>
      <c r="H465" s="3197">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4">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64">
        <f t="shared" si="269"/>
        <v>0</v>
      </c>
      <c r="AW465" s="464">
        <f t="shared" si="270"/>
        <v>0</v>
      </c>
      <c r="AX465" s="464">
        <f t="shared" si="271"/>
        <v>0</v>
      </c>
      <c r="AY465" s="3261">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6">
        <f t="shared" si="293"/>
        <v>0</v>
      </c>
    </row>
    <row r="466" spans="1:72">
      <c r="A466" s="3192"/>
      <c r="B466" s="3193"/>
      <c r="C466" s="3193"/>
      <c r="D466" s="3188"/>
      <c r="E466" s="3194">
        <f t="shared" si="265"/>
        <v>0</v>
      </c>
      <c r="F466" s="3195"/>
      <c r="G466" s="3196">
        <f t="shared" si="266"/>
        <v>0</v>
      </c>
      <c r="H466" s="3197">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4">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64">
        <f t="shared" si="269"/>
        <v>0</v>
      </c>
      <c r="AW466" s="464">
        <f t="shared" si="270"/>
        <v>0</v>
      </c>
      <c r="AX466" s="464">
        <f t="shared" si="271"/>
        <v>0</v>
      </c>
      <c r="AY466" s="3261">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6">
        <f t="shared" si="293"/>
        <v>0</v>
      </c>
    </row>
    <row r="467" spans="1:72">
      <c r="A467" s="3192"/>
      <c r="B467" s="3193"/>
      <c r="C467" s="3193"/>
      <c r="D467" s="3188"/>
      <c r="E467" s="3194">
        <f t="shared" si="265"/>
        <v>0</v>
      </c>
      <c r="F467" s="3195"/>
      <c r="G467" s="3196">
        <f t="shared" si="266"/>
        <v>0</v>
      </c>
      <c r="H467" s="3197">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4">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64">
        <f t="shared" si="269"/>
        <v>0</v>
      </c>
      <c r="AW467" s="464">
        <f t="shared" si="270"/>
        <v>0</v>
      </c>
      <c r="AX467" s="464">
        <f t="shared" si="271"/>
        <v>0</v>
      </c>
      <c r="AY467" s="3261">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6">
        <f t="shared" si="293"/>
        <v>0</v>
      </c>
    </row>
    <row r="468" spans="1:72">
      <c r="A468" s="3192"/>
      <c r="B468" s="3193"/>
      <c r="C468" s="3193"/>
      <c r="D468" s="3188"/>
      <c r="E468" s="3194">
        <f t="shared" si="265"/>
        <v>0</v>
      </c>
      <c r="F468" s="3195"/>
      <c r="G468" s="3196">
        <f t="shared" si="266"/>
        <v>0</v>
      </c>
      <c r="H468" s="3197">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4">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64">
        <f t="shared" si="269"/>
        <v>0</v>
      </c>
      <c r="AW468" s="464">
        <f t="shared" si="270"/>
        <v>0</v>
      </c>
      <c r="AX468" s="464">
        <f t="shared" si="271"/>
        <v>0</v>
      </c>
      <c r="AY468" s="3261">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6">
        <f t="shared" si="293"/>
        <v>0</v>
      </c>
    </row>
    <row r="469" spans="1:72">
      <c r="A469" s="3192"/>
      <c r="B469" s="3193"/>
      <c r="C469" s="3193"/>
      <c r="D469" s="3188"/>
      <c r="E469" s="3194">
        <f t="shared" si="265"/>
        <v>0</v>
      </c>
      <c r="F469" s="3195"/>
      <c r="G469" s="3196">
        <f t="shared" si="266"/>
        <v>0</v>
      </c>
      <c r="H469" s="3197">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4">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64">
        <f t="shared" si="269"/>
        <v>0</v>
      </c>
      <c r="AW469" s="464">
        <f t="shared" si="270"/>
        <v>0</v>
      </c>
      <c r="AX469" s="464">
        <f t="shared" si="271"/>
        <v>0</v>
      </c>
      <c r="AY469" s="3261">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6">
        <f t="shared" si="293"/>
        <v>0</v>
      </c>
    </row>
    <row r="470" spans="1:72">
      <c r="A470" s="3192"/>
      <c r="B470" s="3193"/>
      <c r="C470" s="3193"/>
      <c r="D470" s="3188"/>
      <c r="E470" s="3194">
        <f t="shared" si="265"/>
        <v>0</v>
      </c>
      <c r="F470" s="3195"/>
      <c r="G470" s="3196">
        <f t="shared" si="266"/>
        <v>0</v>
      </c>
      <c r="H470" s="3197">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4">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64">
        <f t="shared" si="269"/>
        <v>0</v>
      </c>
      <c r="AW470" s="464">
        <f t="shared" si="270"/>
        <v>0</v>
      </c>
      <c r="AX470" s="464">
        <f t="shared" si="271"/>
        <v>0</v>
      </c>
      <c r="AY470" s="3261">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6">
        <f t="shared" si="293"/>
        <v>0</v>
      </c>
    </row>
    <row r="471" spans="1:72">
      <c r="A471" s="3192"/>
      <c r="B471" s="3193"/>
      <c r="C471" s="3193"/>
      <c r="D471" s="3188"/>
      <c r="E471" s="3194">
        <f t="shared" si="265"/>
        <v>0</v>
      </c>
      <c r="F471" s="3195"/>
      <c r="G471" s="3196">
        <f t="shared" si="266"/>
        <v>0</v>
      </c>
      <c r="H471" s="3197">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4">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64">
        <f t="shared" si="269"/>
        <v>0</v>
      </c>
      <c r="AW471" s="464">
        <f t="shared" si="270"/>
        <v>0</v>
      </c>
      <c r="AX471" s="464">
        <f t="shared" si="271"/>
        <v>0</v>
      </c>
      <c r="AY471" s="3261">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6">
        <f t="shared" si="293"/>
        <v>0</v>
      </c>
    </row>
    <row r="472" spans="1:72">
      <c r="A472" s="3192"/>
      <c r="B472" s="3193"/>
      <c r="C472" s="3193"/>
      <c r="D472" s="3188"/>
      <c r="E472" s="3194">
        <f t="shared" si="265"/>
        <v>0</v>
      </c>
      <c r="F472" s="3195"/>
      <c r="G472" s="3196">
        <f t="shared" si="266"/>
        <v>0</v>
      </c>
      <c r="H472" s="3197">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4">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64">
        <f t="shared" si="269"/>
        <v>0</v>
      </c>
      <c r="AW472" s="464">
        <f t="shared" si="270"/>
        <v>0</v>
      </c>
      <c r="AX472" s="464">
        <f t="shared" si="271"/>
        <v>0</v>
      </c>
      <c r="AY472" s="3261">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6">
        <f t="shared" si="293"/>
        <v>0</v>
      </c>
    </row>
    <row r="473" spans="1:72">
      <c r="A473" s="3192"/>
      <c r="B473" s="3193"/>
      <c r="C473" s="3193"/>
      <c r="D473" s="3188"/>
      <c r="E473" s="3194">
        <f t="shared" si="265"/>
        <v>0</v>
      </c>
      <c r="F473" s="3195"/>
      <c r="G473" s="3196">
        <f t="shared" si="266"/>
        <v>0</v>
      </c>
      <c r="H473" s="3197">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4">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64">
        <f t="shared" si="269"/>
        <v>0</v>
      </c>
      <c r="AW473" s="464">
        <f t="shared" si="270"/>
        <v>0</v>
      </c>
      <c r="AX473" s="464">
        <f t="shared" si="271"/>
        <v>0</v>
      </c>
      <c r="AY473" s="3261">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6">
        <f t="shared" si="293"/>
        <v>0</v>
      </c>
    </row>
    <row r="474" spans="1:72">
      <c r="A474" s="3192"/>
      <c r="B474" s="3193"/>
      <c r="C474" s="3193"/>
      <c r="D474" s="3188"/>
      <c r="E474" s="3194">
        <f t="shared" si="265"/>
        <v>0</v>
      </c>
      <c r="F474" s="3195"/>
      <c r="G474" s="3196">
        <f t="shared" si="266"/>
        <v>0</v>
      </c>
      <c r="H474" s="3197">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4">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64">
        <f t="shared" si="269"/>
        <v>0</v>
      </c>
      <c r="AW474" s="464">
        <f t="shared" si="270"/>
        <v>0</v>
      </c>
      <c r="AX474" s="464">
        <f t="shared" si="271"/>
        <v>0</v>
      </c>
      <c r="AY474" s="3261">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6">
        <f t="shared" si="293"/>
        <v>0</v>
      </c>
    </row>
    <row r="475" spans="1:72">
      <c r="A475" s="3192"/>
      <c r="B475" s="3193"/>
      <c r="C475" s="3193"/>
      <c r="D475" s="3188"/>
      <c r="E475" s="3194">
        <f t="shared" si="265"/>
        <v>0</v>
      </c>
      <c r="F475" s="3195"/>
      <c r="G475" s="3196">
        <f t="shared" si="266"/>
        <v>0</v>
      </c>
      <c r="H475" s="3197">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4">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64">
        <f t="shared" si="269"/>
        <v>0</v>
      </c>
      <c r="AW475" s="464">
        <f t="shared" si="270"/>
        <v>0</v>
      </c>
      <c r="AX475" s="464">
        <f t="shared" si="271"/>
        <v>0</v>
      </c>
      <c r="AY475" s="3261">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6">
        <f t="shared" si="293"/>
        <v>0</v>
      </c>
    </row>
    <row r="476" spans="1:72">
      <c r="A476" s="3192"/>
      <c r="B476" s="3193"/>
      <c r="C476" s="3193"/>
      <c r="D476" s="3188"/>
      <c r="E476" s="3194">
        <f t="shared" si="265"/>
        <v>0</v>
      </c>
      <c r="F476" s="3195"/>
      <c r="G476" s="3196">
        <f t="shared" si="266"/>
        <v>0</v>
      </c>
      <c r="H476" s="3197">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4">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64">
        <f t="shared" si="269"/>
        <v>0</v>
      </c>
      <c r="AW476" s="464">
        <f t="shared" si="270"/>
        <v>0</v>
      </c>
      <c r="AX476" s="464">
        <f t="shared" si="271"/>
        <v>0</v>
      </c>
      <c r="AY476" s="3261">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6">
        <f t="shared" si="293"/>
        <v>0</v>
      </c>
    </row>
    <row r="477" spans="1:72">
      <c r="A477" s="3192"/>
      <c r="B477" s="3193"/>
      <c r="C477" s="3193"/>
      <c r="D477" s="3188"/>
      <c r="E477" s="3194">
        <f t="shared" si="265"/>
        <v>0</v>
      </c>
      <c r="F477" s="3195"/>
      <c r="G477" s="3196">
        <f t="shared" si="266"/>
        <v>0</v>
      </c>
      <c r="H477" s="3197">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4">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64">
        <f t="shared" si="269"/>
        <v>0</v>
      </c>
      <c r="AW477" s="464">
        <f t="shared" si="270"/>
        <v>0</v>
      </c>
      <c r="AX477" s="464">
        <f t="shared" si="271"/>
        <v>0</v>
      </c>
      <c r="AY477" s="3261">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6">
        <f t="shared" si="293"/>
        <v>0</v>
      </c>
    </row>
    <row r="478" spans="1:72">
      <c r="A478" s="3192"/>
      <c r="B478" s="3192"/>
      <c r="C478" s="3192"/>
      <c r="D478" s="3188"/>
      <c r="E478" s="3194">
        <f t="shared" si="265"/>
        <v>0</v>
      </c>
      <c r="F478" s="3267"/>
      <c r="G478" s="3196">
        <f t="shared" ref="G478:G509" si="294">H478+AC478+AT478</f>
        <v>0</v>
      </c>
      <c r="H478" s="3197">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4">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64">
        <f t="shared" si="269"/>
        <v>0</v>
      </c>
      <c r="AW478" s="464">
        <f t="shared" si="270"/>
        <v>0</v>
      </c>
      <c r="AX478" s="464">
        <f t="shared" si="271"/>
        <v>0</v>
      </c>
      <c r="AY478" s="3261">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6">
        <f t="shared" ref="BT478:BT509" si="318">IF($D478="是",AR478-AS478,0)</f>
        <v>0</v>
      </c>
    </row>
    <row r="479" spans="1:72">
      <c r="A479" s="3192"/>
      <c r="B479" s="3192"/>
      <c r="C479" s="3192"/>
      <c r="D479" s="3188"/>
      <c r="E479" s="3194">
        <f t="shared" si="265"/>
        <v>0</v>
      </c>
      <c r="F479" s="3267"/>
      <c r="G479" s="3196">
        <f t="shared" si="294"/>
        <v>0</v>
      </c>
      <c r="H479" s="3197">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4">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64">
        <f t="shared" si="269"/>
        <v>0</v>
      </c>
      <c r="AW479" s="464">
        <f t="shared" si="270"/>
        <v>0</v>
      </c>
      <c r="AX479" s="464">
        <f t="shared" si="271"/>
        <v>0</v>
      </c>
      <c r="AY479" s="3261">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6">
        <f t="shared" si="318"/>
        <v>0</v>
      </c>
    </row>
    <row r="480" spans="1:72">
      <c r="A480" s="3192"/>
      <c r="B480" s="3192"/>
      <c r="C480" s="3192"/>
      <c r="D480" s="3188"/>
      <c r="E480" s="3194">
        <f t="shared" si="265"/>
        <v>0</v>
      </c>
      <c r="F480" s="3267"/>
      <c r="G480" s="3196">
        <f t="shared" si="294"/>
        <v>0</v>
      </c>
      <c r="H480" s="3197">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4">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64">
        <f t="shared" si="269"/>
        <v>0</v>
      </c>
      <c r="AW480" s="464">
        <f t="shared" si="270"/>
        <v>0</v>
      </c>
      <c r="AX480" s="464">
        <f t="shared" si="271"/>
        <v>0</v>
      </c>
      <c r="AY480" s="3261">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6">
        <f t="shared" si="318"/>
        <v>0</v>
      </c>
    </row>
    <row r="481" spans="1:72">
      <c r="A481" s="3192"/>
      <c r="B481" s="3200"/>
      <c r="C481" s="3199"/>
      <c r="D481" s="3188"/>
      <c r="E481" s="3194">
        <f t="shared" ref="E481:E504" si="319">IF($C$3="是",ROUND($A$3*G481/$B$3,2),ROUND($A$3*(G481-AT481)/$B$3,2))</f>
        <v>0</v>
      </c>
      <c r="F481" s="3195"/>
      <c r="G481" s="3196">
        <f t="shared" si="294"/>
        <v>0</v>
      </c>
      <c r="H481" s="3197">
        <f t="shared" si="295"/>
        <v>0</v>
      </c>
      <c r="I481" s="3202"/>
      <c r="J481" s="3213"/>
      <c r="K481" s="3202"/>
      <c r="L481" s="3213"/>
      <c r="M481" s="3213"/>
      <c r="N481" s="3213"/>
      <c r="O481" s="3213"/>
      <c r="P481" s="3213"/>
      <c r="Q481" s="3213"/>
      <c r="R481" s="3213"/>
      <c r="S481" s="3213"/>
      <c r="T481" s="3213"/>
      <c r="U481" s="3213"/>
      <c r="V481" s="3213"/>
      <c r="W481" s="3213"/>
      <c r="X481" s="3213"/>
      <c r="Y481" s="3213"/>
      <c r="Z481" s="3213"/>
      <c r="AA481" s="3213"/>
      <c r="AB481" s="3213"/>
      <c r="AC481" s="3194">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64">
        <f t="shared" ref="AV481:AV505" si="320">A481</f>
        <v>0</v>
      </c>
      <c r="AW481" s="464">
        <f t="shared" ref="AW481:AW505" si="321">B481</f>
        <v>0</v>
      </c>
      <c r="AX481" s="464">
        <f t="shared" ref="AX481:AX505" si="322">C481</f>
        <v>0</v>
      </c>
      <c r="AY481" s="3261">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6">
        <f t="shared" si="318"/>
        <v>0</v>
      </c>
    </row>
    <row r="482" spans="1:72">
      <c r="A482" s="3192"/>
      <c r="B482" s="3200"/>
      <c r="C482" s="3199"/>
      <c r="D482" s="3188"/>
      <c r="E482" s="3194">
        <f t="shared" si="319"/>
        <v>0</v>
      </c>
      <c r="F482" s="3195"/>
      <c r="G482" s="3196">
        <f t="shared" si="294"/>
        <v>0</v>
      </c>
      <c r="H482" s="3197">
        <f t="shared" si="295"/>
        <v>0</v>
      </c>
      <c r="I482" s="3202"/>
      <c r="J482" s="3213"/>
      <c r="K482" s="3202"/>
      <c r="L482" s="3213"/>
      <c r="M482" s="3214"/>
      <c r="N482" s="3213"/>
      <c r="O482" s="3213"/>
      <c r="P482" s="3213"/>
      <c r="Q482" s="3213"/>
      <c r="R482" s="3213"/>
      <c r="S482" s="3213"/>
      <c r="T482" s="3213"/>
      <c r="U482" s="3213"/>
      <c r="V482" s="3213"/>
      <c r="W482" s="3213"/>
      <c r="X482" s="3213"/>
      <c r="Y482" s="3213"/>
      <c r="Z482" s="3213"/>
      <c r="AA482" s="3213"/>
      <c r="AB482" s="3213"/>
      <c r="AC482" s="3194">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64">
        <f t="shared" si="320"/>
        <v>0</v>
      </c>
      <c r="AW482" s="464">
        <f t="shared" si="321"/>
        <v>0</v>
      </c>
      <c r="AX482" s="464">
        <f t="shared" si="322"/>
        <v>0</v>
      </c>
      <c r="AY482" s="3261">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6">
        <f t="shared" si="318"/>
        <v>0</v>
      </c>
    </row>
    <row r="483" spans="1:72">
      <c r="A483" s="3192"/>
      <c r="B483" s="3200"/>
      <c r="C483" s="3199"/>
      <c r="D483" s="3188"/>
      <c r="E483" s="3194">
        <f t="shared" si="319"/>
        <v>0</v>
      </c>
      <c r="F483" s="3195"/>
      <c r="G483" s="3196">
        <f t="shared" si="294"/>
        <v>0</v>
      </c>
      <c r="H483" s="3197">
        <f t="shared" si="295"/>
        <v>0</v>
      </c>
      <c r="I483" s="3202"/>
      <c r="J483" s="3213"/>
      <c r="K483" s="3202"/>
      <c r="L483" s="3213"/>
      <c r="M483" s="3214"/>
      <c r="N483" s="3213"/>
      <c r="O483" s="3213"/>
      <c r="P483" s="3213"/>
      <c r="Q483" s="3213"/>
      <c r="R483" s="3213"/>
      <c r="S483" s="3213"/>
      <c r="T483" s="3213"/>
      <c r="U483" s="3213"/>
      <c r="V483" s="3213"/>
      <c r="W483" s="3213"/>
      <c r="X483" s="3213"/>
      <c r="Y483" s="3213"/>
      <c r="Z483" s="3213"/>
      <c r="AA483" s="3213"/>
      <c r="AB483" s="3213"/>
      <c r="AC483" s="3194">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64">
        <f t="shared" si="320"/>
        <v>0</v>
      </c>
      <c r="AW483" s="464">
        <f t="shared" si="321"/>
        <v>0</v>
      </c>
      <c r="AX483" s="464">
        <f t="shared" si="322"/>
        <v>0</v>
      </c>
      <c r="AY483" s="3261">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6">
        <f t="shared" si="318"/>
        <v>0</v>
      </c>
    </row>
    <row r="484" spans="1:72">
      <c r="A484" s="3192"/>
      <c r="B484" s="3200"/>
      <c r="C484" s="3199"/>
      <c r="D484" s="3188"/>
      <c r="E484" s="3194">
        <f t="shared" si="319"/>
        <v>0</v>
      </c>
      <c r="F484" s="3195"/>
      <c r="G484" s="3196">
        <f t="shared" si="294"/>
        <v>0</v>
      </c>
      <c r="H484" s="3197">
        <f t="shared" si="295"/>
        <v>0</v>
      </c>
      <c r="I484" s="3202"/>
      <c r="J484" s="3213"/>
      <c r="K484" s="3202"/>
      <c r="L484" s="3213"/>
      <c r="M484" s="3213"/>
      <c r="N484" s="3213"/>
      <c r="O484" s="3214"/>
      <c r="P484" s="3213"/>
      <c r="Q484" s="3213"/>
      <c r="R484" s="3213"/>
      <c r="S484" s="3213"/>
      <c r="T484" s="3213"/>
      <c r="U484" s="3213"/>
      <c r="V484" s="3213"/>
      <c r="W484" s="3213"/>
      <c r="X484" s="3213"/>
      <c r="Y484" s="3213"/>
      <c r="Z484" s="3213"/>
      <c r="AA484" s="3213"/>
      <c r="AB484" s="3213"/>
      <c r="AC484" s="3194">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64">
        <f t="shared" si="320"/>
        <v>0</v>
      </c>
      <c r="AW484" s="464">
        <f t="shared" si="321"/>
        <v>0</v>
      </c>
      <c r="AX484" s="464">
        <f t="shared" si="322"/>
        <v>0</v>
      </c>
      <c r="AY484" s="3261">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6">
        <f t="shared" si="318"/>
        <v>0</v>
      </c>
    </row>
    <row r="485" spans="1:72">
      <c r="A485" s="3192"/>
      <c r="B485" s="3200"/>
      <c r="C485" s="3199"/>
      <c r="D485" s="3188"/>
      <c r="E485" s="3194">
        <f t="shared" si="319"/>
        <v>0</v>
      </c>
      <c r="F485" s="3195"/>
      <c r="G485" s="3196">
        <f t="shared" si="294"/>
        <v>0</v>
      </c>
      <c r="H485" s="3197">
        <f t="shared" si="295"/>
        <v>0</v>
      </c>
      <c r="I485" s="3202"/>
      <c r="J485" s="3213"/>
      <c r="K485" s="3202"/>
      <c r="L485" s="3213"/>
      <c r="M485" s="3213"/>
      <c r="N485" s="3213"/>
      <c r="O485" s="3213"/>
      <c r="P485" s="3213"/>
      <c r="Q485" s="3213"/>
      <c r="R485" s="3213"/>
      <c r="S485" s="3213"/>
      <c r="T485" s="3213"/>
      <c r="U485" s="3213"/>
      <c r="V485" s="3213"/>
      <c r="W485" s="3213"/>
      <c r="X485" s="3213"/>
      <c r="Y485" s="3213"/>
      <c r="Z485" s="3213"/>
      <c r="AA485" s="3213"/>
      <c r="AB485" s="3213"/>
      <c r="AC485" s="3194">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64">
        <f t="shared" si="320"/>
        <v>0</v>
      </c>
      <c r="AW485" s="464">
        <f t="shared" si="321"/>
        <v>0</v>
      </c>
      <c r="AX485" s="464">
        <f t="shared" si="322"/>
        <v>0</v>
      </c>
      <c r="AY485" s="3261">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6">
        <f t="shared" si="318"/>
        <v>0</v>
      </c>
    </row>
    <row r="486" spans="1:72">
      <c r="A486" s="3192"/>
      <c r="B486" s="3200"/>
      <c r="C486" s="3199"/>
      <c r="D486" s="3188"/>
      <c r="E486" s="3194">
        <f t="shared" si="319"/>
        <v>0</v>
      </c>
      <c r="F486" s="3195"/>
      <c r="G486" s="3196">
        <f t="shared" si="294"/>
        <v>0</v>
      </c>
      <c r="H486" s="3197">
        <f t="shared" si="295"/>
        <v>0</v>
      </c>
      <c r="I486" s="3202"/>
      <c r="J486" s="3213"/>
      <c r="K486" s="3202"/>
      <c r="L486" s="3213"/>
      <c r="M486" s="3213"/>
      <c r="N486" s="3213"/>
      <c r="O486" s="3213"/>
      <c r="P486" s="3213"/>
      <c r="Q486" s="3213"/>
      <c r="R486" s="3213"/>
      <c r="S486" s="3213"/>
      <c r="T486" s="3213"/>
      <c r="U486" s="3213"/>
      <c r="V486" s="3213"/>
      <c r="W486" s="3213"/>
      <c r="X486" s="3213"/>
      <c r="Y486" s="3213"/>
      <c r="Z486" s="3213"/>
      <c r="AA486" s="3213"/>
      <c r="AB486" s="3213"/>
      <c r="AC486" s="3194">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64">
        <f t="shared" si="320"/>
        <v>0</v>
      </c>
      <c r="AW486" s="464">
        <f t="shared" si="321"/>
        <v>0</v>
      </c>
      <c r="AX486" s="464">
        <f t="shared" si="322"/>
        <v>0</v>
      </c>
      <c r="AY486" s="3261">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6">
        <f t="shared" si="318"/>
        <v>0</v>
      </c>
    </row>
    <row r="487" spans="1:72">
      <c r="A487" s="3192"/>
      <c r="B487" s="3200"/>
      <c r="C487" s="3199"/>
      <c r="D487" s="3188"/>
      <c r="E487" s="3194">
        <f t="shared" si="319"/>
        <v>0</v>
      </c>
      <c r="F487" s="3195"/>
      <c r="G487" s="3196">
        <f t="shared" si="294"/>
        <v>0</v>
      </c>
      <c r="H487" s="3197">
        <f t="shared" si="295"/>
        <v>0</v>
      </c>
      <c r="I487" s="3202"/>
      <c r="J487" s="3213"/>
      <c r="K487" s="3202"/>
      <c r="L487" s="3213"/>
      <c r="M487" s="3213"/>
      <c r="N487" s="3213"/>
      <c r="O487" s="3213"/>
      <c r="P487" s="3213"/>
      <c r="Q487" s="3213"/>
      <c r="R487" s="3213"/>
      <c r="S487" s="3213"/>
      <c r="T487" s="3213"/>
      <c r="U487" s="3213"/>
      <c r="V487" s="3213"/>
      <c r="W487" s="3213"/>
      <c r="X487" s="3213"/>
      <c r="Y487" s="3213"/>
      <c r="Z487" s="3213"/>
      <c r="AA487" s="3213"/>
      <c r="AB487" s="3213"/>
      <c r="AC487" s="3194">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64">
        <f t="shared" si="320"/>
        <v>0</v>
      </c>
      <c r="AW487" s="464">
        <f t="shared" si="321"/>
        <v>0</v>
      </c>
      <c r="AX487" s="464">
        <f t="shared" si="322"/>
        <v>0</v>
      </c>
      <c r="AY487" s="3261">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6">
        <f t="shared" si="318"/>
        <v>0</v>
      </c>
    </row>
    <row r="488" spans="1:72">
      <c r="A488" s="3192"/>
      <c r="B488" s="3200"/>
      <c r="C488" s="3199"/>
      <c r="D488" s="3188"/>
      <c r="E488" s="3194">
        <f t="shared" si="319"/>
        <v>0</v>
      </c>
      <c r="F488" s="3195"/>
      <c r="G488" s="3196">
        <f t="shared" si="294"/>
        <v>0</v>
      </c>
      <c r="H488" s="3197">
        <f t="shared" si="295"/>
        <v>0</v>
      </c>
      <c r="I488" s="3202"/>
      <c r="J488" s="3213"/>
      <c r="K488" s="3202"/>
      <c r="L488" s="3213"/>
      <c r="M488" s="3213"/>
      <c r="N488" s="3213"/>
      <c r="O488" s="3213"/>
      <c r="P488" s="3213"/>
      <c r="Q488" s="3213"/>
      <c r="R488" s="3213"/>
      <c r="S488" s="3213"/>
      <c r="T488" s="3213"/>
      <c r="U488" s="3213"/>
      <c r="V488" s="3213"/>
      <c r="W488" s="3213"/>
      <c r="X488" s="3213"/>
      <c r="Y488" s="3213"/>
      <c r="Z488" s="3213"/>
      <c r="AA488" s="3213"/>
      <c r="AB488" s="3213"/>
      <c r="AC488" s="3194">
        <f t="shared" si="296"/>
        <v>0</v>
      </c>
      <c r="AD488" s="3224"/>
      <c r="AE488" s="3224"/>
      <c r="AF488" s="3202"/>
      <c r="AG488" s="3224"/>
      <c r="AH488" s="3224"/>
      <c r="AI488" s="3224"/>
      <c r="AJ488" s="3224"/>
      <c r="AK488" s="3224"/>
      <c r="AL488" s="3224"/>
      <c r="AM488" s="3224"/>
      <c r="AN488" s="3224"/>
      <c r="AO488" s="3224"/>
      <c r="AP488" s="3224"/>
      <c r="AQ488" s="3224"/>
      <c r="AR488" s="3224"/>
      <c r="AS488" s="3224"/>
      <c r="AT488" s="3244"/>
      <c r="AU488" s="3245"/>
      <c r="AV488" s="464">
        <f t="shared" si="320"/>
        <v>0</v>
      </c>
      <c r="AW488" s="464">
        <f t="shared" si="321"/>
        <v>0</v>
      </c>
      <c r="AX488" s="464">
        <f t="shared" si="322"/>
        <v>0</v>
      </c>
      <c r="AY488" s="3261">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6">
        <f t="shared" si="318"/>
        <v>0</v>
      </c>
    </row>
    <row r="489" spans="1:72">
      <c r="A489" s="3192"/>
      <c r="B489" s="3201"/>
      <c r="C489" s="3202"/>
      <c r="D489" s="3188"/>
      <c r="E489" s="3194">
        <f t="shared" si="319"/>
        <v>0</v>
      </c>
      <c r="F489" s="3195"/>
      <c r="G489" s="3196">
        <f t="shared" si="294"/>
        <v>0</v>
      </c>
      <c r="H489" s="3197">
        <f t="shared" si="295"/>
        <v>0</v>
      </c>
      <c r="I489" s="3202"/>
      <c r="J489" s="3213"/>
      <c r="K489" s="3202"/>
      <c r="L489" s="3213"/>
      <c r="M489" s="3213"/>
      <c r="N489" s="3213"/>
      <c r="O489" s="3213"/>
      <c r="P489" s="3213"/>
      <c r="Q489" s="3213"/>
      <c r="R489" s="3213"/>
      <c r="S489" s="3213"/>
      <c r="T489" s="3213"/>
      <c r="U489" s="3213"/>
      <c r="V489" s="3213"/>
      <c r="W489" s="3213"/>
      <c r="X489" s="3213"/>
      <c r="Y489" s="3213"/>
      <c r="Z489" s="3213"/>
      <c r="AA489" s="3213"/>
      <c r="AB489" s="3213"/>
      <c r="AC489" s="3194">
        <f t="shared" si="296"/>
        <v>0</v>
      </c>
      <c r="AD489" s="3224"/>
      <c r="AE489" s="3224"/>
      <c r="AF489" s="3202"/>
      <c r="AG489" s="3224"/>
      <c r="AH489" s="3224"/>
      <c r="AI489" s="3224"/>
      <c r="AJ489" s="3224"/>
      <c r="AK489" s="3224"/>
      <c r="AL489" s="3224"/>
      <c r="AM489" s="3224"/>
      <c r="AN489" s="3224"/>
      <c r="AO489" s="3224"/>
      <c r="AP489" s="3224"/>
      <c r="AQ489" s="3224"/>
      <c r="AR489" s="3224"/>
      <c r="AS489" s="3224"/>
      <c r="AT489" s="3244"/>
      <c r="AU489" s="3245"/>
      <c r="AV489" s="464">
        <f t="shared" si="320"/>
        <v>0</v>
      </c>
      <c r="AW489" s="464">
        <f t="shared" si="321"/>
        <v>0</v>
      </c>
      <c r="AX489" s="464">
        <f t="shared" si="322"/>
        <v>0</v>
      </c>
      <c r="AY489" s="3261">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6">
        <f t="shared" si="318"/>
        <v>0</v>
      </c>
    </row>
    <row r="490" spans="1:72">
      <c r="A490" s="3192"/>
      <c r="B490" s="3200"/>
      <c r="C490" s="3199"/>
      <c r="D490" s="3188"/>
      <c r="E490" s="3194">
        <f t="shared" si="319"/>
        <v>0</v>
      </c>
      <c r="F490" s="3195"/>
      <c r="G490" s="3196">
        <f t="shared" si="294"/>
        <v>0</v>
      </c>
      <c r="H490" s="3197">
        <f t="shared" si="295"/>
        <v>0</v>
      </c>
      <c r="I490" s="3202"/>
      <c r="J490" s="3213"/>
      <c r="K490" s="3202"/>
      <c r="L490" s="3213"/>
      <c r="M490" s="3213"/>
      <c r="N490" s="3213"/>
      <c r="O490" s="3213"/>
      <c r="P490" s="3213"/>
      <c r="Q490" s="3213"/>
      <c r="R490" s="3213"/>
      <c r="S490" s="3213"/>
      <c r="T490" s="3213"/>
      <c r="U490" s="3213"/>
      <c r="V490" s="3213"/>
      <c r="W490" s="3213"/>
      <c r="X490" s="3213"/>
      <c r="Y490" s="3213"/>
      <c r="Z490" s="3213"/>
      <c r="AA490" s="3213"/>
      <c r="AB490" s="3213"/>
      <c r="AC490" s="3194">
        <f t="shared" si="296"/>
        <v>0</v>
      </c>
      <c r="AD490" s="3224"/>
      <c r="AE490" s="3224"/>
      <c r="AF490" s="3202"/>
      <c r="AG490" s="3224"/>
      <c r="AH490" s="3224"/>
      <c r="AI490" s="3224"/>
      <c r="AJ490" s="3224"/>
      <c r="AK490" s="3224"/>
      <c r="AL490" s="3224"/>
      <c r="AM490" s="3224"/>
      <c r="AN490" s="3224"/>
      <c r="AO490" s="3224"/>
      <c r="AP490" s="3224"/>
      <c r="AQ490" s="3224"/>
      <c r="AR490" s="3224"/>
      <c r="AS490" s="3224"/>
      <c r="AT490" s="3244"/>
      <c r="AU490" s="3245"/>
      <c r="AV490" s="464">
        <f t="shared" si="320"/>
        <v>0</v>
      </c>
      <c r="AW490" s="464">
        <f t="shared" si="321"/>
        <v>0</v>
      </c>
      <c r="AX490" s="464">
        <f t="shared" si="322"/>
        <v>0</v>
      </c>
      <c r="AY490" s="3261">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6">
        <f t="shared" si="318"/>
        <v>0</v>
      </c>
    </row>
    <row r="491" spans="1:72">
      <c r="A491" s="3192"/>
      <c r="B491" s="3200"/>
      <c r="C491" s="3199"/>
      <c r="D491" s="3188"/>
      <c r="E491" s="3194">
        <f t="shared" si="319"/>
        <v>0</v>
      </c>
      <c r="F491" s="3195"/>
      <c r="G491" s="3196">
        <f t="shared" si="294"/>
        <v>0</v>
      </c>
      <c r="H491" s="3197">
        <f t="shared" si="295"/>
        <v>0</v>
      </c>
      <c r="I491" s="3202"/>
      <c r="J491" s="3213"/>
      <c r="K491" s="3202"/>
      <c r="L491" s="3213"/>
      <c r="M491" s="3213"/>
      <c r="N491" s="3213"/>
      <c r="O491" s="3213"/>
      <c r="P491" s="3213"/>
      <c r="Q491" s="3213"/>
      <c r="R491" s="3213"/>
      <c r="S491" s="3213"/>
      <c r="T491" s="3213"/>
      <c r="U491" s="3213"/>
      <c r="V491" s="3213"/>
      <c r="W491" s="3213"/>
      <c r="X491" s="3213"/>
      <c r="Y491" s="3213"/>
      <c r="Z491" s="3213"/>
      <c r="AA491" s="3213"/>
      <c r="AB491" s="3213"/>
      <c r="AC491" s="3194">
        <f t="shared" si="296"/>
        <v>0</v>
      </c>
      <c r="AD491" s="3224"/>
      <c r="AE491" s="3224"/>
      <c r="AF491" s="3202"/>
      <c r="AG491" s="3224"/>
      <c r="AH491" s="3224"/>
      <c r="AI491" s="3224"/>
      <c r="AJ491" s="3224"/>
      <c r="AK491" s="3224"/>
      <c r="AL491" s="3224"/>
      <c r="AM491" s="3224"/>
      <c r="AN491" s="3224"/>
      <c r="AO491" s="3224"/>
      <c r="AP491" s="3224"/>
      <c r="AQ491" s="3224"/>
      <c r="AR491" s="3224"/>
      <c r="AS491" s="3224"/>
      <c r="AT491" s="3244"/>
      <c r="AU491" s="3245"/>
      <c r="AV491" s="464">
        <f t="shared" si="320"/>
        <v>0</v>
      </c>
      <c r="AW491" s="464">
        <f t="shared" si="321"/>
        <v>0</v>
      </c>
      <c r="AX491" s="464">
        <f t="shared" si="322"/>
        <v>0</v>
      </c>
      <c r="AY491" s="3261">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6">
        <f t="shared" si="318"/>
        <v>0</v>
      </c>
    </row>
    <row r="492" spans="1:72">
      <c r="A492" s="3192"/>
      <c r="B492" s="3200"/>
      <c r="C492" s="3199"/>
      <c r="D492" s="3188"/>
      <c r="E492" s="3194">
        <f t="shared" si="319"/>
        <v>0</v>
      </c>
      <c r="F492" s="3195"/>
      <c r="G492" s="3196">
        <f t="shared" si="294"/>
        <v>0</v>
      </c>
      <c r="H492" s="3197">
        <f t="shared" si="295"/>
        <v>0</v>
      </c>
      <c r="I492" s="3202"/>
      <c r="J492" s="3213"/>
      <c r="K492" s="3202"/>
      <c r="L492" s="3213"/>
      <c r="M492" s="3213"/>
      <c r="N492" s="3213"/>
      <c r="O492" s="3213"/>
      <c r="P492" s="3213"/>
      <c r="Q492" s="3213"/>
      <c r="R492" s="3213"/>
      <c r="S492" s="3213"/>
      <c r="T492" s="3213"/>
      <c r="U492" s="3213"/>
      <c r="V492" s="3213"/>
      <c r="W492" s="3213"/>
      <c r="X492" s="3213"/>
      <c r="Y492" s="3213"/>
      <c r="Z492" s="3213"/>
      <c r="AA492" s="3213"/>
      <c r="AB492" s="3213"/>
      <c r="AC492" s="3194">
        <f t="shared" si="296"/>
        <v>0</v>
      </c>
      <c r="AD492" s="3224"/>
      <c r="AE492" s="3224"/>
      <c r="AF492" s="3202"/>
      <c r="AG492" s="3224"/>
      <c r="AH492" s="3224"/>
      <c r="AI492" s="3224"/>
      <c r="AJ492" s="3224"/>
      <c r="AK492" s="3224"/>
      <c r="AL492" s="3224"/>
      <c r="AM492" s="3224"/>
      <c r="AN492" s="3224"/>
      <c r="AO492" s="3224"/>
      <c r="AP492" s="3224"/>
      <c r="AQ492" s="3224"/>
      <c r="AR492" s="3224"/>
      <c r="AS492" s="3224"/>
      <c r="AT492" s="3244"/>
      <c r="AU492" s="3245"/>
      <c r="AV492" s="464">
        <f t="shared" si="320"/>
        <v>0</v>
      </c>
      <c r="AW492" s="464">
        <f t="shared" si="321"/>
        <v>0</v>
      </c>
      <c r="AX492" s="464">
        <f t="shared" si="322"/>
        <v>0</v>
      </c>
      <c r="AY492" s="3261">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6">
        <f t="shared" si="318"/>
        <v>0</v>
      </c>
    </row>
    <row r="493" spans="1:72">
      <c r="A493" s="3192"/>
      <c r="B493" s="3200"/>
      <c r="C493" s="3199"/>
      <c r="D493" s="3188"/>
      <c r="E493" s="3194">
        <f t="shared" si="319"/>
        <v>0</v>
      </c>
      <c r="F493" s="3195"/>
      <c r="G493" s="3196">
        <f t="shared" si="294"/>
        <v>0</v>
      </c>
      <c r="H493" s="3197">
        <f t="shared" si="295"/>
        <v>0</v>
      </c>
      <c r="I493" s="3202"/>
      <c r="J493" s="3213"/>
      <c r="K493" s="3202"/>
      <c r="L493" s="3213"/>
      <c r="M493" s="3213"/>
      <c r="N493" s="3213"/>
      <c r="O493" s="3213"/>
      <c r="P493" s="3213"/>
      <c r="Q493" s="3213"/>
      <c r="R493" s="3213"/>
      <c r="S493" s="3213"/>
      <c r="T493" s="3213"/>
      <c r="U493" s="3213"/>
      <c r="V493" s="3213"/>
      <c r="W493" s="3213"/>
      <c r="X493" s="3213"/>
      <c r="Y493" s="3213"/>
      <c r="Z493" s="3213"/>
      <c r="AA493" s="3213"/>
      <c r="AB493" s="3213"/>
      <c r="AC493" s="3194">
        <f t="shared" si="296"/>
        <v>0</v>
      </c>
      <c r="AD493" s="3224"/>
      <c r="AE493" s="3224"/>
      <c r="AF493" s="3202"/>
      <c r="AG493" s="3224"/>
      <c r="AH493" s="3224"/>
      <c r="AI493" s="3224"/>
      <c r="AJ493" s="3224"/>
      <c r="AK493" s="3224"/>
      <c r="AL493" s="3224"/>
      <c r="AM493" s="3224"/>
      <c r="AN493" s="3224"/>
      <c r="AO493" s="3224"/>
      <c r="AP493" s="3224"/>
      <c r="AQ493" s="3224"/>
      <c r="AR493" s="3224"/>
      <c r="AS493" s="3224"/>
      <c r="AT493" s="3244"/>
      <c r="AU493" s="3245"/>
      <c r="AV493" s="464">
        <f t="shared" si="320"/>
        <v>0</v>
      </c>
      <c r="AW493" s="464">
        <f t="shared" si="321"/>
        <v>0</v>
      </c>
      <c r="AX493" s="464">
        <f t="shared" si="322"/>
        <v>0</v>
      </c>
      <c r="AY493" s="3261">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6">
        <f t="shared" si="318"/>
        <v>0</v>
      </c>
    </row>
    <row r="494" spans="1:72">
      <c r="A494" s="3192"/>
      <c r="B494" s="3200"/>
      <c r="C494" s="3199"/>
      <c r="D494" s="3188"/>
      <c r="E494" s="3194">
        <f t="shared" si="319"/>
        <v>0</v>
      </c>
      <c r="F494" s="3195"/>
      <c r="G494" s="3196">
        <f t="shared" si="294"/>
        <v>0</v>
      </c>
      <c r="H494" s="3197">
        <f t="shared" si="295"/>
        <v>0</v>
      </c>
      <c r="I494" s="3202"/>
      <c r="J494" s="3213"/>
      <c r="K494" s="3202"/>
      <c r="L494" s="3213"/>
      <c r="M494" s="3213"/>
      <c r="N494" s="3213"/>
      <c r="O494" s="3213"/>
      <c r="P494" s="3213"/>
      <c r="Q494" s="3213"/>
      <c r="R494" s="3213"/>
      <c r="S494" s="3213"/>
      <c r="T494" s="3213"/>
      <c r="U494" s="3213"/>
      <c r="V494" s="3213"/>
      <c r="W494" s="3213"/>
      <c r="X494" s="3213"/>
      <c r="Y494" s="3213"/>
      <c r="Z494" s="3213"/>
      <c r="AA494" s="3213"/>
      <c r="AB494" s="3213"/>
      <c r="AC494" s="3194">
        <f t="shared" si="296"/>
        <v>0</v>
      </c>
      <c r="AD494" s="3224"/>
      <c r="AE494" s="3224"/>
      <c r="AF494" s="3202"/>
      <c r="AG494" s="3224"/>
      <c r="AH494" s="3224"/>
      <c r="AI494" s="3224"/>
      <c r="AJ494" s="3224"/>
      <c r="AK494" s="3224"/>
      <c r="AL494" s="3224"/>
      <c r="AM494" s="3224"/>
      <c r="AN494" s="3224"/>
      <c r="AO494" s="3224"/>
      <c r="AP494" s="3224"/>
      <c r="AQ494" s="3224"/>
      <c r="AR494" s="3224"/>
      <c r="AS494" s="3224"/>
      <c r="AT494" s="3244"/>
      <c r="AU494" s="3245"/>
      <c r="AV494" s="464">
        <f t="shared" si="320"/>
        <v>0</v>
      </c>
      <c r="AW494" s="464">
        <f t="shared" si="321"/>
        <v>0</v>
      </c>
      <c r="AX494" s="464">
        <f t="shared" si="322"/>
        <v>0</v>
      </c>
      <c r="AY494" s="3261">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6">
        <f t="shared" si="318"/>
        <v>0</v>
      </c>
    </row>
    <row r="495" spans="1:72">
      <c r="A495" s="3192"/>
      <c r="B495" s="3200"/>
      <c r="C495" s="3199"/>
      <c r="D495" s="3188"/>
      <c r="E495" s="3194">
        <f t="shared" si="319"/>
        <v>0</v>
      </c>
      <c r="F495" s="3195"/>
      <c r="G495" s="3196">
        <f t="shared" si="294"/>
        <v>0</v>
      </c>
      <c r="H495" s="3197">
        <f t="shared" si="295"/>
        <v>0</v>
      </c>
      <c r="I495" s="3202"/>
      <c r="J495" s="3213"/>
      <c r="K495" s="3202"/>
      <c r="L495" s="3213"/>
      <c r="M495" s="3213"/>
      <c r="N495" s="3213"/>
      <c r="O495" s="3213"/>
      <c r="P495" s="3213"/>
      <c r="Q495" s="3213"/>
      <c r="R495" s="3213"/>
      <c r="S495" s="3213"/>
      <c r="T495" s="3213"/>
      <c r="U495" s="3213"/>
      <c r="V495" s="3213"/>
      <c r="W495" s="3213"/>
      <c r="X495" s="3213"/>
      <c r="Y495" s="3213"/>
      <c r="Z495" s="3213"/>
      <c r="AA495" s="3213"/>
      <c r="AB495" s="3213"/>
      <c r="AC495" s="3194">
        <f t="shared" si="296"/>
        <v>0</v>
      </c>
      <c r="AD495" s="3224"/>
      <c r="AE495" s="3224"/>
      <c r="AF495" s="3202"/>
      <c r="AG495" s="3224"/>
      <c r="AH495" s="3224"/>
      <c r="AI495" s="3224"/>
      <c r="AJ495" s="3224"/>
      <c r="AK495" s="3224"/>
      <c r="AL495" s="3224"/>
      <c r="AM495" s="3224"/>
      <c r="AN495" s="3224"/>
      <c r="AO495" s="3224"/>
      <c r="AP495" s="3224"/>
      <c r="AQ495" s="3224"/>
      <c r="AR495" s="3224"/>
      <c r="AS495" s="3224"/>
      <c r="AT495" s="3244"/>
      <c r="AU495" s="3245"/>
      <c r="AV495" s="464">
        <f t="shared" si="320"/>
        <v>0</v>
      </c>
      <c r="AW495" s="464">
        <f t="shared" si="321"/>
        <v>0</v>
      </c>
      <c r="AX495" s="464">
        <f t="shared" si="322"/>
        <v>0</v>
      </c>
      <c r="AY495" s="3261">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6">
        <f t="shared" si="318"/>
        <v>0</v>
      </c>
    </row>
    <row r="496" spans="1:72">
      <c r="A496" s="3192"/>
      <c r="B496" s="3200"/>
      <c r="C496" s="3199"/>
      <c r="D496" s="3188"/>
      <c r="E496" s="3194">
        <f t="shared" si="319"/>
        <v>0</v>
      </c>
      <c r="F496" s="3195"/>
      <c r="G496" s="3196">
        <f t="shared" si="294"/>
        <v>0</v>
      </c>
      <c r="H496" s="3197">
        <f t="shared" si="295"/>
        <v>0</v>
      </c>
      <c r="I496" s="3202"/>
      <c r="J496" s="3213"/>
      <c r="K496" s="3202"/>
      <c r="L496" s="3213"/>
      <c r="M496" s="3213"/>
      <c r="N496" s="3213"/>
      <c r="O496" s="3213"/>
      <c r="P496" s="3213"/>
      <c r="Q496" s="3213"/>
      <c r="R496" s="3213"/>
      <c r="S496" s="3213"/>
      <c r="T496" s="3213"/>
      <c r="U496" s="3213"/>
      <c r="V496" s="3213"/>
      <c r="W496" s="3213"/>
      <c r="X496" s="3213"/>
      <c r="Y496" s="3213"/>
      <c r="Z496" s="3213"/>
      <c r="AA496" s="3213"/>
      <c r="AB496" s="3213"/>
      <c r="AC496" s="3194">
        <f t="shared" si="296"/>
        <v>0</v>
      </c>
      <c r="AD496" s="3224"/>
      <c r="AE496" s="3224"/>
      <c r="AF496" s="3202"/>
      <c r="AG496" s="3224"/>
      <c r="AH496" s="3224"/>
      <c r="AI496" s="3224"/>
      <c r="AJ496" s="3224"/>
      <c r="AK496" s="3224"/>
      <c r="AL496" s="3224"/>
      <c r="AM496" s="3224"/>
      <c r="AN496" s="3224"/>
      <c r="AO496" s="3224"/>
      <c r="AP496" s="3224"/>
      <c r="AQ496" s="3224"/>
      <c r="AR496" s="3224"/>
      <c r="AS496" s="3224"/>
      <c r="AT496" s="3244"/>
      <c r="AU496" s="3245"/>
      <c r="AV496" s="464">
        <f t="shared" si="320"/>
        <v>0</v>
      </c>
      <c r="AW496" s="464">
        <f t="shared" si="321"/>
        <v>0</v>
      </c>
      <c r="AX496" s="464">
        <f t="shared" si="322"/>
        <v>0</v>
      </c>
      <c r="AY496" s="3261">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6">
        <f t="shared" si="318"/>
        <v>0</v>
      </c>
    </row>
    <row r="497" spans="1:72">
      <c r="A497" s="3192"/>
      <c r="B497" s="3200"/>
      <c r="C497" s="3199"/>
      <c r="D497" s="3188"/>
      <c r="E497" s="3194">
        <f t="shared" si="319"/>
        <v>0</v>
      </c>
      <c r="F497" s="3195"/>
      <c r="G497" s="3196">
        <f t="shared" si="294"/>
        <v>0</v>
      </c>
      <c r="H497" s="3197">
        <f t="shared" si="295"/>
        <v>0</v>
      </c>
      <c r="I497" s="3202"/>
      <c r="J497" s="3213"/>
      <c r="K497" s="3202"/>
      <c r="L497" s="3213"/>
      <c r="M497" s="3213"/>
      <c r="N497" s="3213"/>
      <c r="O497" s="3213"/>
      <c r="P497" s="3213"/>
      <c r="Q497" s="3213"/>
      <c r="R497" s="3213"/>
      <c r="S497" s="3213"/>
      <c r="T497" s="3213"/>
      <c r="U497" s="3213"/>
      <c r="V497" s="3213"/>
      <c r="W497" s="3213"/>
      <c r="X497" s="3213"/>
      <c r="Y497" s="3213"/>
      <c r="Z497" s="3213"/>
      <c r="AA497" s="3213"/>
      <c r="AB497" s="3213"/>
      <c r="AC497" s="3194">
        <f t="shared" si="296"/>
        <v>0</v>
      </c>
      <c r="AD497" s="3224"/>
      <c r="AE497" s="3224"/>
      <c r="AF497" s="3202"/>
      <c r="AG497" s="3224"/>
      <c r="AH497" s="3224"/>
      <c r="AI497" s="3224"/>
      <c r="AJ497" s="3224"/>
      <c r="AK497" s="3224"/>
      <c r="AL497" s="3224"/>
      <c r="AM497" s="3224"/>
      <c r="AN497" s="3224"/>
      <c r="AO497" s="3224"/>
      <c r="AP497" s="3224"/>
      <c r="AQ497" s="3224"/>
      <c r="AR497" s="3224"/>
      <c r="AS497" s="3224"/>
      <c r="AT497" s="3244"/>
      <c r="AU497" s="3245"/>
      <c r="AV497" s="464">
        <f t="shared" si="320"/>
        <v>0</v>
      </c>
      <c r="AW497" s="464">
        <f t="shared" si="321"/>
        <v>0</v>
      </c>
      <c r="AX497" s="464">
        <f t="shared" si="322"/>
        <v>0</v>
      </c>
      <c r="AY497" s="3261">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6">
        <f t="shared" si="318"/>
        <v>0</v>
      </c>
    </row>
    <row r="498" spans="1:72">
      <c r="A498" s="3192"/>
      <c r="B498" s="3200"/>
      <c r="C498" s="3199"/>
      <c r="D498" s="3188"/>
      <c r="E498" s="3194">
        <f t="shared" si="319"/>
        <v>0</v>
      </c>
      <c r="F498" s="3195"/>
      <c r="G498" s="3196">
        <f t="shared" si="294"/>
        <v>0</v>
      </c>
      <c r="H498" s="3197">
        <f t="shared" si="295"/>
        <v>0</v>
      </c>
      <c r="I498" s="3202"/>
      <c r="J498" s="3213"/>
      <c r="K498" s="3202"/>
      <c r="L498" s="3213"/>
      <c r="M498" s="3213"/>
      <c r="N498" s="3213"/>
      <c r="O498" s="3213"/>
      <c r="P498" s="3213"/>
      <c r="Q498" s="3213"/>
      <c r="R498" s="3213"/>
      <c r="S498" s="3213"/>
      <c r="T498" s="3213"/>
      <c r="U498" s="3213"/>
      <c r="V498" s="3213"/>
      <c r="W498" s="3213"/>
      <c r="X498" s="3213"/>
      <c r="Y498" s="3213"/>
      <c r="Z498" s="3213"/>
      <c r="AA498" s="3213"/>
      <c r="AB498" s="3213"/>
      <c r="AC498" s="3194">
        <f t="shared" si="296"/>
        <v>0</v>
      </c>
      <c r="AD498" s="3224"/>
      <c r="AE498" s="3224"/>
      <c r="AF498" s="3202"/>
      <c r="AG498" s="3224"/>
      <c r="AH498" s="3224"/>
      <c r="AI498" s="3224"/>
      <c r="AJ498" s="3224"/>
      <c r="AK498" s="3224"/>
      <c r="AL498" s="3224"/>
      <c r="AM498" s="3224"/>
      <c r="AN498" s="3224"/>
      <c r="AO498" s="3224"/>
      <c r="AP498" s="3224"/>
      <c r="AQ498" s="3224"/>
      <c r="AR498" s="3224"/>
      <c r="AS498" s="3224"/>
      <c r="AT498" s="3244"/>
      <c r="AU498" s="3245"/>
      <c r="AV498" s="464">
        <f t="shared" si="320"/>
        <v>0</v>
      </c>
      <c r="AW498" s="464">
        <f t="shared" si="321"/>
        <v>0</v>
      </c>
      <c r="AX498" s="464">
        <f t="shared" si="322"/>
        <v>0</v>
      </c>
      <c r="AY498" s="3261">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6">
        <f t="shared" si="318"/>
        <v>0</v>
      </c>
    </row>
    <row r="499" spans="1:72">
      <c r="A499" s="3192"/>
      <c r="B499" s="3200"/>
      <c r="C499" s="3199"/>
      <c r="D499" s="3188"/>
      <c r="E499" s="3194">
        <f t="shared" si="319"/>
        <v>0</v>
      </c>
      <c r="F499" s="3195"/>
      <c r="G499" s="3196">
        <f t="shared" si="294"/>
        <v>0</v>
      </c>
      <c r="H499" s="3197">
        <f t="shared" si="295"/>
        <v>0</v>
      </c>
      <c r="I499" s="3202"/>
      <c r="J499" s="3213"/>
      <c r="K499" s="3202"/>
      <c r="L499" s="3213"/>
      <c r="M499" s="3213"/>
      <c r="N499" s="3213"/>
      <c r="O499" s="3213"/>
      <c r="P499" s="3213"/>
      <c r="Q499" s="3213"/>
      <c r="R499" s="3213"/>
      <c r="S499" s="3213"/>
      <c r="T499" s="3213"/>
      <c r="U499" s="3213"/>
      <c r="V499" s="3213"/>
      <c r="W499" s="3213"/>
      <c r="X499" s="3213"/>
      <c r="Y499" s="3213"/>
      <c r="Z499" s="3213"/>
      <c r="AA499" s="3213"/>
      <c r="AB499" s="3213"/>
      <c r="AC499" s="3194">
        <f t="shared" si="296"/>
        <v>0</v>
      </c>
      <c r="AD499" s="3224"/>
      <c r="AE499" s="3224"/>
      <c r="AF499" s="3202"/>
      <c r="AG499" s="3224"/>
      <c r="AH499" s="3224"/>
      <c r="AI499" s="3224"/>
      <c r="AJ499" s="3224"/>
      <c r="AK499" s="3224"/>
      <c r="AL499" s="3224"/>
      <c r="AM499" s="3224"/>
      <c r="AN499" s="3224"/>
      <c r="AO499" s="3224"/>
      <c r="AP499" s="3224"/>
      <c r="AQ499" s="3224"/>
      <c r="AR499" s="3224"/>
      <c r="AS499" s="3224"/>
      <c r="AT499" s="3244"/>
      <c r="AU499" s="3245"/>
      <c r="AV499" s="464">
        <f t="shared" si="320"/>
        <v>0</v>
      </c>
      <c r="AW499" s="464">
        <f t="shared" si="321"/>
        <v>0</v>
      </c>
      <c r="AX499" s="464">
        <f t="shared" si="322"/>
        <v>0</v>
      </c>
      <c r="AY499" s="3261">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6">
        <f t="shared" si="318"/>
        <v>0</v>
      </c>
    </row>
    <row r="500" spans="1:72">
      <c r="A500" s="3192"/>
      <c r="B500" s="3200"/>
      <c r="C500" s="3199"/>
      <c r="D500" s="3188"/>
      <c r="E500" s="3194">
        <f t="shared" si="319"/>
        <v>0</v>
      </c>
      <c r="F500" s="3195"/>
      <c r="G500" s="3196">
        <f t="shared" si="294"/>
        <v>0</v>
      </c>
      <c r="H500" s="3197">
        <f t="shared" si="295"/>
        <v>0</v>
      </c>
      <c r="I500" s="3202"/>
      <c r="J500" s="3213"/>
      <c r="K500" s="3202"/>
      <c r="L500" s="3213"/>
      <c r="M500" s="3213"/>
      <c r="N500" s="3213"/>
      <c r="O500" s="3213"/>
      <c r="P500" s="3213"/>
      <c r="Q500" s="3213"/>
      <c r="R500" s="3213"/>
      <c r="S500" s="3213"/>
      <c r="T500" s="3213"/>
      <c r="U500" s="3213"/>
      <c r="V500" s="3213"/>
      <c r="W500" s="3213"/>
      <c r="X500" s="3213"/>
      <c r="Y500" s="3213"/>
      <c r="Z500" s="3213"/>
      <c r="AA500" s="3213"/>
      <c r="AB500" s="3213"/>
      <c r="AC500" s="3194">
        <f t="shared" si="296"/>
        <v>0</v>
      </c>
      <c r="AD500" s="3224"/>
      <c r="AE500" s="3224"/>
      <c r="AF500" s="3202"/>
      <c r="AG500" s="3224"/>
      <c r="AH500" s="3224"/>
      <c r="AI500" s="3224"/>
      <c r="AJ500" s="3224"/>
      <c r="AK500" s="3224"/>
      <c r="AL500" s="3224"/>
      <c r="AM500" s="3224"/>
      <c r="AN500" s="3224"/>
      <c r="AO500" s="3224"/>
      <c r="AP500" s="3224"/>
      <c r="AQ500" s="3224"/>
      <c r="AR500" s="3224"/>
      <c r="AS500" s="3224"/>
      <c r="AT500" s="3244"/>
      <c r="AU500" s="3245"/>
      <c r="AV500" s="464">
        <f t="shared" si="320"/>
        <v>0</v>
      </c>
      <c r="AW500" s="464">
        <f t="shared" si="321"/>
        <v>0</v>
      </c>
      <c r="AX500" s="464">
        <f t="shared" si="322"/>
        <v>0</v>
      </c>
      <c r="AY500" s="3261">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6">
        <f t="shared" si="318"/>
        <v>0</v>
      </c>
    </row>
    <row r="501" spans="1:72">
      <c r="A501" s="3192"/>
      <c r="B501" s="3200"/>
      <c r="C501" s="3199"/>
      <c r="D501" s="3188"/>
      <c r="E501" s="3194">
        <f t="shared" si="319"/>
        <v>0</v>
      </c>
      <c r="F501" s="3195"/>
      <c r="G501" s="3196">
        <f t="shared" si="294"/>
        <v>0</v>
      </c>
      <c r="H501" s="3197">
        <f t="shared" si="295"/>
        <v>0</v>
      </c>
      <c r="I501" s="3202"/>
      <c r="J501" s="3213"/>
      <c r="K501" s="3202"/>
      <c r="L501" s="3213"/>
      <c r="M501" s="3213"/>
      <c r="N501" s="3213"/>
      <c r="O501" s="3213"/>
      <c r="P501" s="3213"/>
      <c r="Q501" s="3213"/>
      <c r="R501" s="3213"/>
      <c r="S501" s="3213"/>
      <c r="T501" s="3213"/>
      <c r="U501" s="3213"/>
      <c r="V501" s="3213"/>
      <c r="W501" s="3213"/>
      <c r="X501" s="3213"/>
      <c r="Y501" s="3213"/>
      <c r="Z501" s="3213"/>
      <c r="AA501" s="3213"/>
      <c r="AB501" s="3213"/>
      <c r="AC501" s="3194">
        <f t="shared" si="296"/>
        <v>0</v>
      </c>
      <c r="AD501" s="3224"/>
      <c r="AE501" s="3224"/>
      <c r="AF501" s="3202"/>
      <c r="AG501" s="3224"/>
      <c r="AH501" s="3224"/>
      <c r="AI501" s="3224"/>
      <c r="AJ501" s="3224"/>
      <c r="AK501" s="3224"/>
      <c r="AL501" s="3224"/>
      <c r="AM501" s="3224"/>
      <c r="AN501" s="3224"/>
      <c r="AO501" s="3224"/>
      <c r="AP501" s="3224"/>
      <c r="AQ501" s="3224"/>
      <c r="AR501" s="3224"/>
      <c r="AS501" s="3224"/>
      <c r="AT501" s="3244"/>
      <c r="AU501" s="3245"/>
      <c r="AV501" s="464">
        <f t="shared" si="320"/>
        <v>0</v>
      </c>
      <c r="AW501" s="464">
        <f t="shared" si="321"/>
        <v>0</v>
      </c>
      <c r="AX501" s="464">
        <f t="shared" si="322"/>
        <v>0</v>
      </c>
      <c r="AY501" s="3261">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6">
        <f t="shared" si="318"/>
        <v>0</v>
      </c>
    </row>
    <row r="502" spans="1:72">
      <c r="A502" s="3192"/>
      <c r="B502" s="3200"/>
      <c r="C502" s="3199"/>
      <c r="D502" s="3188"/>
      <c r="E502" s="3194">
        <f t="shared" si="319"/>
        <v>0</v>
      </c>
      <c r="F502" s="3195"/>
      <c r="G502" s="3196">
        <f t="shared" si="294"/>
        <v>0</v>
      </c>
      <c r="H502" s="3197">
        <f t="shared" si="295"/>
        <v>0</v>
      </c>
      <c r="I502" s="3202"/>
      <c r="J502" s="3213"/>
      <c r="K502" s="3202"/>
      <c r="L502" s="3213"/>
      <c r="M502" s="3213"/>
      <c r="N502" s="3213"/>
      <c r="O502" s="3213"/>
      <c r="P502" s="3213"/>
      <c r="Q502" s="3213"/>
      <c r="R502" s="3213"/>
      <c r="S502" s="3213"/>
      <c r="T502" s="3213"/>
      <c r="U502" s="3213"/>
      <c r="V502" s="3213"/>
      <c r="W502" s="3213"/>
      <c r="X502" s="3213"/>
      <c r="Y502" s="3213"/>
      <c r="Z502" s="3213"/>
      <c r="AA502" s="3213"/>
      <c r="AB502" s="3213"/>
      <c r="AC502" s="3194">
        <f t="shared" si="296"/>
        <v>0</v>
      </c>
      <c r="AD502" s="3224"/>
      <c r="AE502" s="3224"/>
      <c r="AF502" s="3202"/>
      <c r="AG502" s="3224"/>
      <c r="AH502" s="3224"/>
      <c r="AI502" s="3224"/>
      <c r="AJ502" s="3224"/>
      <c r="AK502" s="3224"/>
      <c r="AL502" s="3224"/>
      <c r="AM502" s="3224"/>
      <c r="AN502" s="3224"/>
      <c r="AO502" s="3224"/>
      <c r="AP502" s="3224"/>
      <c r="AQ502" s="3224"/>
      <c r="AR502" s="3224"/>
      <c r="AS502" s="3224"/>
      <c r="AT502" s="3244"/>
      <c r="AU502" s="3245"/>
      <c r="AV502" s="464">
        <f t="shared" si="320"/>
        <v>0</v>
      </c>
      <c r="AW502" s="464">
        <f t="shared" si="321"/>
        <v>0</v>
      </c>
      <c r="AX502" s="464">
        <f t="shared" si="322"/>
        <v>0</v>
      </c>
      <c r="AY502" s="3261">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6">
        <f t="shared" si="318"/>
        <v>0</v>
      </c>
    </row>
    <row r="503" spans="1:72">
      <c r="A503" s="3192"/>
      <c r="B503" s="3200"/>
      <c r="C503" s="3199"/>
      <c r="D503" s="3188"/>
      <c r="E503" s="3194">
        <f t="shared" si="319"/>
        <v>0</v>
      </c>
      <c r="F503" s="3195"/>
      <c r="G503" s="3196">
        <f t="shared" si="294"/>
        <v>0</v>
      </c>
      <c r="H503" s="3197">
        <f t="shared" si="295"/>
        <v>0</v>
      </c>
      <c r="I503" s="3202"/>
      <c r="J503" s="3213"/>
      <c r="K503" s="3202"/>
      <c r="L503" s="3213"/>
      <c r="M503" s="3213"/>
      <c r="N503" s="3213"/>
      <c r="O503" s="3213"/>
      <c r="P503" s="3213"/>
      <c r="Q503" s="3213"/>
      <c r="R503" s="3213"/>
      <c r="S503" s="3213"/>
      <c r="T503" s="3213"/>
      <c r="U503" s="3213"/>
      <c r="V503" s="3213"/>
      <c r="W503" s="3213"/>
      <c r="X503" s="3213"/>
      <c r="Y503" s="3213"/>
      <c r="Z503" s="3213"/>
      <c r="AA503" s="3213"/>
      <c r="AB503" s="3213"/>
      <c r="AC503" s="3194">
        <f t="shared" si="296"/>
        <v>0</v>
      </c>
      <c r="AD503" s="3224"/>
      <c r="AE503" s="3224"/>
      <c r="AF503" s="3202"/>
      <c r="AG503" s="3224"/>
      <c r="AH503" s="3224"/>
      <c r="AI503" s="3224"/>
      <c r="AJ503" s="3224"/>
      <c r="AK503" s="3224"/>
      <c r="AL503" s="3224"/>
      <c r="AM503" s="3224"/>
      <c r="AN503" s="3224"/>
      <c r="AO503" s="3224"/>
      <c r="AP503" s="3224"/>
      <c r="AQ503" s="3224"/>
      <c r="AR503" s="3224"/>
      <c r="AS503" s="3224"/>
      <c r="AT503" s="3244"/>
      <c r="AU503" s="3245"/>
      <c r="AV503" s="464">
        <f t="shared" si="320"/>
        <v>0</v>
      </c>
      <c r="AW503" s="464">
        <f t="shared" si="321"/>
        <v>0</v>
      </c>
      <c r="AX503" s="464">
        <f t="shared" si="322"/>
        <v>0</v>
      </c>
      <c r="AY503" s="3261">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6">
        <f t="shared" si="318"/>
        <v>0</v>
      </c>
    </row>
    <row r="504" spans="1:72">
      <c r="A504" s="3192"/>
      <c r="B504" s="3200"/>
      <c r="C504" s="3199"/>
      <c r="D504" s="3188"/>
      <c r="E504" s="3194">
        <f t="shared" si="319"/>
        <v>0</v>
      </c>
      <c r="F504" s="3195"/>
      <c r="G504" s="3196">
        <f t="shared" si="294"/>
        <v>0</v>
      </c>
      <c r="H504" s="3197">
        <f t="shared" si="295"/>
        <v>0</v>
      </c>
      <c r="I504" s="3202"/>
      <c r="J504" s="3213"/>
      <c r="K504" s="3202"/>
      <c r="L504" s="3213"/>
      <c r="M504" s="3213"/>
      <c r="N504" s="3213"/>
      <c r="O504" s="3213"/>
      <c r="P504" s="3213"/>
      <c r="Q504" s="3213"/>
      <c r="R504" s="3213"/>
      <c r="S504" s="3213"/>
      <c r="T504" s="3213"/>
      <c r="U504" s="3213"/>
      <c r="V504" s="3213"/>
      <c r="W504" s="3213"/>
      <c r="X504" s="3213"/>
      <c r="Y504" s="3213"/>
      <c r="Z504" s="3213"/>
      <c r="AA504" s="3213"/>
      <c r="AB504" s="3213"/>
      <c r="AC504" s="3194">
        <f t="shared" si="296"/>
        <v>0</v>
      </c>
      <c r="AD504" s="3224"/>
      <c r="AE504" s="3224"/>
      <c r="AF504" s="3202"/>
      <c r="AG504" s="3224"/>
      <c r="AH504" s="3224"/>
      <c r="AI504" s="3224"/>
      <c r="AJ504" s="3224"/>
      <c r="AK504" s="3224"/>
      <c r="AL504" s="3224"/>
      <c r="AM504" s="3224"/>
      <c r="AN504" s="3224"/>
      <c r="AO504" s="3224"/>
      <c r="AP504" s="3224"/>
      <c r="AQ504" s="3224"/>
      <c r="AR504" s="3224"/>
      <c r="AS504" s="3224"/>
      <c r="AT504" s="3244"/>
      <c r="AU504" s="3245"/>
      <c r="AV504" s="464">
        <f t="shared" si="320"/>
        <v>0</v>
      </c>
      <c r="AW504" s="464">
        <f t="shared" si="321"/>
        <v>0</v>
      </c>
      <c r="AX504" s="464">
        <f t="shared" si="322"/>
        <v>0</v>
      </c>
      <c r="AY504" s="3261">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6">
        <f t="shared" si="318"/>
        <v>0</v>
      </c>
    </row>
    <row r="505" spans="1:72">
      <c r="A505" s="3192"/>
      <c r="B505" s="3200"/>
      <c r="C505" s="3199"/>
      <c r="D505" s="3188"/>
      <c r="E505" s="3194">
        <f t="shared" ref="E505:E536" si="323">IF($C$3="是",ROUND($A$3*G505/$B$3,2),ROUND($A$3*(G505-AT505)/$B$3,2))</f>
        <v>0</v>
      </c>
      <c r="F505" s="3195"/>
      <c r="G505" s="3196">
        <f t="shared" si="294"/>
        <v>0</v>
      </c>
      <c r="H505" s="3197">
        <f t="shared" si="295"/>
        <v>0</v>
      </c>
      <c r="I505" s="3202"/>
      <c r="J505" s="3213"/>
      <c r="K505" s="3202"/>
      <c r="L505" s="3213"/>
      <c r="M505" s="3213"/>
      <c r="N505" s="3213"/>
      <c r="O505" s="3213"/>
      <c r="P505" s="3213"/>
      <c r="Q505" s="3213"/>
      <c r="R505" s="3213"/>
      <c r="S505" s="3213"/>
      <c r="T505" s="3213"/>
      <c r="U505" s="3213"/>
      <c r="V505" s="3213"/>
      <c r="W505" s="3213"/>
      <c r="X505" s="3213"/>
      <c r="Y505" s="3213"/>
      <c r="Z505" s="3213"/>
      <c r="AA505" s="3213"/>
      <c r="AB505" s="3213"/>
      <c r="AC505" s="3194">
        <f t="shared" si="296"/>
        <v>0</v>
      </c>
      <c r="AD505" s="3224"/>
      <c r="AE505" s="3224"/>
      <c r="AF505" s="3202"/>
      <c r="AG505" s="3224"/>
      <c r="AH505" s="3224"/>
      <c r="AI505" s="3224"/>
      <c r="AJ505" s="3224"/>
      <c r="AK505" s="3224"/>
      <c r="AL505" s="3224"/>
      <c r="AM505" s="3224"/>
      <c r="AN505" s="3224"/>
      <c r="AO505" s="3224"/>
      <c r="AP505" s="3224"/>
      <c r="AQ505" s="3224"/>
      <c r="AR505" s="3224"/>
      <c r="AS505" s="3224"/>
      <c r="AT505" s="3244"/>
      <c r="AU505" s="3245"/>
      <c r="AV505" s="464">
        <f t="shared" si="320"/>
        <v>0</v>
      </c>
      <c r="AW505" s="464">
        <f t="shared" si="321"/>
        <v>0</v>
      </c>
      <c r="AX505" s="464">
        <f t="shared" si="322"/>
        <v>0</v>
      </c>
      <c r="AY505" s="3261">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6">
        <f t="shared" si="318"/>
        <v>0</v>
      </c>
    </row>
    <row r="506" spans="1:72">
      <c r="A506" s="3192"/>
      <c r="B506" s="3200"/>
      <c r="C506" s="3199"/>
      <c r="D506" s="3188"/>
      <c r="E506" s="3194">
        <f t="shared" si="323"/>
        <v>0</v>
      </c>
      <c r="F506" s="3195"/>
      <c r="G506" s="3196">
        <f t="shared" si="294"/>
        <v>0</v>
      </c>
      <c r="H506" s="3197">
        <f t="shared" si="295"/>
        <v>0</v>
      </c>
      <c r="I506" s="3202"/>
      <c r="J506" s="3213"/>
      <c r="K506" s="3202"/>
      <c r="L506" s="3213"/>
      <c r="M506" s="3213"/>
      <c r="N506" s="3213"/>
      <c r="O506" s="3213"/>
      <c r="P506" s="3213"/>
      <c r="Q506" s="3213"/>
      <c r="R506" s="3213"/>
      <c r="S506" s="3213"/>
      <c r="T506" s="3213"/>
      <c r="U506" s="3213"/>
      <c r="V506" s="3213"/>
      <c r="W506" s="3213"/>
      <c r="X506" s="3213"/>
      <c r="Y506" s="3213"/>
      <c r="Z506" s="3213"/>
      <c r="AA506" s="3213"/>
      <c r="AB506" s="3213"/>
      <c r="AC506" s="3194">
        <f t="shared" si="296"/>
        <v>0</v>
      </c>
      <c r="AD506" s="3224"/>
      <c r="AE506" s="3224"/>
      <c r="AF506" s="3202"/>
      <c r="AG506" s="3224"/>
      <c r="AH506" s="3224"/>
      <c r="AI506" s="3224"/>
      <c r="AJ506" s="3224"/>
      <c r="AK506" s="3224"/>
      <c r="AL506" s="3224"/>
      <c r="AM506" s="3224"/>
      <c r="AN506" s="3224"/>
      <c r="AO506" s="3224"/>
      <c r="AP506" s="3224"/>
      <c r="AQ506" s="3224"/>
      <c r="AR506" s="3224"/>
      <c r="AS506" s="3224"/>
      <c r="AT506" s="3244"/>
      <c r="AU506" s="3245"/>
      <c r="AV506" s="464">
        <f t="shared" ref="AV506:AV537" si="324">A506</f>
        <v>0</v>
      </c>
      <c r="AW506" s="464">
        <f t="shared" ref="AW506:AW537" si="325">B506</f>
        <v>0</v>
      </c>
      <c r="AX506" s="464">
        <f t="shared" ref="AX506:AX537" si="326">C506</f>
        <v>0</v>
      </c>
      <c r="AY506" s="3261">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6">
        <f t="shared" si="318"/>
        <v>0</v>
      </c>
    </row>
    <row r="507" spans="1:72">
      <c r="A507" s="3192"/>
      <c r="B507" s="3200"/>
      <c r="C507" s="3199"/>
      <c r="D507" s="3188"/>
      <c r="E507" s="3194">
        <f t="shared" si="323"/>
        <v>0</v>
      </c>
      <c r="F507" s="3195"/>
      <c r="G507" s="3196">
        <f t="shared" si="294"/>
        <v>0</v>
      </c>
      <c r="H507" s="3197">
        <f t="shared" si="295"/>
        <v>0</v>
      </c>
      <c r="I507" s="3202"/>
      <c r="J507" s="3213"/>
      <c r="K507" s="3202"/>
      <c r="L507" s="3213"/>
      <c r="M507" s="3213"/>
      <c r="N507" s="3213"/>
      <c r="O507" s="3213"/>
      <c r="P507" s="3213"/>
      <c r="Q507" s="3213"/>
      <c r="R507" s="3213"/>
      <c r="S507" s="3213"/>
      <c r="T507" s="3213"/>
      <c r="U507" s="3213"/>
      <c r="V507" s="3213"/>
      <c r="W507" s="3213"/>
      <c r="X507" s="3213"/>
      <c r="Y507" s="3213"/>
      <c r="Z507" s="3213"/>
      <c r="AA507" s="3213"/>
      <c r="AB507" s="3213"/>
      <c r="AC507" s="3194">
        <f t="shared" si="296"/>
        <v>0</v>
      </c>
      <c r="AD507" s="3224"/>
      <c r="AE507" s="3224"/>
      <c r="AF507" s="3199"/>
      <c r="AG507" s="3224"/>
      <c r="AH507" s="3224"/>
      <c r="AI507" s="3224"/>
      <c r="AJ507" s="3224"/>
      <c r="AK507" s="3224"/>
      <c r="AL507" s="3224"/>
      <c r="AM507" s="3224"/>
      <c r="AN507" s="3224"/>
      <c r="AO507" s="3224"/>
      <c r="AP507" s="3224"/>
      <c r="AQ507" s="3224"/>
      <c r="AR507" s="3224"/>
      <c r="AS507" s="3224"/>
      <c r="AT507" s="3244"/>
      <c r="AU507" s="3245"/>
      <c r="AV507" s="464">
        <f t="shared" si="324"/>
        <v>0</v>
      </c>
      <c r="AW507" s="464">
        <f t="shared" si="325"/>
        <v>0</v>
      </c>
      <c r="AX507" s="464">
        <f t="shared" si="326"/>
        <v>0</v>
      </c>
      <c r="AY507" s="3261">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6">
        <f t="shared" si="318"/>
        <v>0</v>
      </c>
    </row>
    <row r="508" spans="1:72">
      <c r="A508" s="3192"/>
      <c r="B508" s="3200"/>
      <c r="C508" s="3199"/>
      <c r="D508" s="3188"/>
      <c r="E508" s="3194">
        <f t="shared" si="323"/>
        <v>0</v>
      </c>
      <c r="F508" s="3195"/>
      <c r="G508" s="3196">
        <f t="shared" si="294"/>
        <v>0</v>
      </c>
      <c r="H508" s="3197">
        <f t="shared" si="295"/>
        <v>0</v>
      </c>
      <c r="I508" s="3199"/>
      <c r="J508" s="3213"/>
      <c r="K508" s="3199"/>
      <c r="L508" s="3213"/>
      <c r="M508" s="3213"/>
      <c r="N508" s="3213"/>
      <c r="O508" s="3213"/>
      <c r="P508" s="3213"/>
      <c r="Q508" s="3213"/>
      <c r="R508" s="3213"/>
      <c r="S508" s="3213"/>
      <c r="T508" s="3213"/>
      <c r="U508" s="3213"/>
      <c r="V508" s="3213"/>
      <c r="W508" s="3213"/>
      <c r="X508" s="3213"/>
      <c r="Y508" s="3213"/>
      <c r="Z508" s="3213"/>
      <c r="AA508" s="3213"/>
      <c r="AB508" s="3213"/>
      <c r="AC508" s="3194">
        <f t="shared" si="296"/>
        <v>0</v>
      </c>
      <c r="AD508" s="3224"/>
      <c r="AE508" s="3224"/>
      <c r="AF508" s="3199"/>
      <c r="AG508" s="3224"/>
      <c r="AH508" s="3224"/>
      <c r="AI508" s="3224"/>
      <c r="AJ508" s="3224"/>
      <c r="AK508" s="3224"/>
      <c r="AL508" s="3224"/>
      <c r="AM508" s="3224"/>
      <c r="AN508" s="3224"/>
      <c r="AO508" s="3224"/>
      <c r="AP508" s="3224"/>
      <c r="AQ508" s="3224"/>
      <c r="AR508" s="3224"/>
      <c r="AS508" s="3224"/>
      <c r="AT508" s="3244"/>
      <c r="AU508" s="3245"/>
      <c r="AV508" s="464">
        <f t="shared" si="324"/>
        <v>0</v>
      </c>
      <c r="AW508" s="464">
        <f t="shared" si="325"/>
        <v>0</v>
      </c>
      <c r="AX508" s="464">
        <f t="shared" si="326"/>
        <v>0</v>
      </c>
      <c r="AY508" s="3261">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6">
        <f t="shared" si="318"/>
        <v>0</v>
      </c>
    </row>
    <row r="509" spans="1:72">
      <c r="A509" s="3192"/>
      <c r="B509" s="3200"/>
      <c r="C509" s="3199"/>
      <c r="D509" s="3188"/>
      <c r="E509" s="3194">
        <f t="shared" si="323"/>
        <v>0</v>
      </c>
      <c r="F509" s="3195"/>
      <c r="G509" s="3196">
        <f t="shared" si="294"/>
        <v>0</v>
      </c>
      <c r="H509" s="3197">
        <f t="shared" si="295"/>
        <v>0</v>
      </c>
      <c r="I509" s="3199"/>
      <c r="J509" s="3213"/>
      <c r="K509" s="3199"/>
      <c r="L509" s="3213"/>
      <c r="M509" s="3213"/>
      <c r="N509" s="3213"/>
      <c r="O509" s="3213"/>
      <c r="P509" s="3213"/>
      <c r="Q509" s="3213"/>
      <c r="R509" s="3213"/>
      <c r="S509" s="3213"/>
      <c r="T509" s="3213"/>
      <c r="U509" s="3213"/>
      <c r="V509" s="3213"/>
      <c r="W509" s="3213"/>
      <c r="X509" s="3213"/>
      <c r="Y509" s="3213"/>
      <c r="Z509" s="3213"/>
      <c r="AA509" s="3213"/>
      <c r="AB509" s="3213"/>
      <c r="AC509" s="3194">
        <f t="shared" si="296"/>
        <v>0</v>
      </c>
      <c r="AD509" s="3224"/>
      <c r="AE509" s="3224"/>
      <c r="AF509" s="3199"/>
      <c r="AG509" s="3224"/>
      <c r="AH509" s="3224"/>
      <c r="AI509" s="3224"/>
      <c r="AJ509" s="3224"/>
      <c r="AK509" s="3224"/>
      <c r="AL509" s="3224"/>
      <c r="AM509" s="3224"/>
      <c r="AN509" s="3224"/>
      <c r="AO509" s="3224"/>
      <c r="AP509" s="3224"/>
      <c r="AQ509" s="3224"/>
      <c r="AR509" s="3224"/>
      <c r="AS509" s="3224"/>
      <c r="AT509" s="3244"/>
      <c r="AU509" s="3245"/>
      <c r="AV509" s="464">
        <f t="shared" si="324"/>
        <v>0</v>
      </c>
      <c r="AW509" s="464">
        <f t="shared" si="325"/>
        <v>0</v>
      </c>
      <c r="AX509" s="464">
        <f t="shared" si="326"/>
        <v>0</v>
      </c>
      <c r="AY509" s="3261">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6">
        <f t="shared" si="318"/>
        <v>0</v>
      </c>
    </row>
    <row r="510" spans="1:72">
      <c r="A510" s="3192"/>
      <c r="B510" s="3200"/>
      <c r="C510" s="3199"/>
      <c r="D510" s="3188"/>
      <c r="E510" s="3194">
        <f t="shared" si="323"/>
        <v>0</v>
      </c>
      <c r="F510" s="3195"/>
      <c r="G510" s="3196">
        <f t="shared" ref="G510:G537" si="327">H510+AC510+AT510</f>
        <v>0</v>
      </c>
      <c r="H510" s="3197">
        <f t="shared" ref="H510:H537" si="328">SUMIF(I$12:AB$12,"总值",I510:AB510)</f>
        <v>0</v>
      </c>
      <c r="I510" s="3199"/>
      <c r="J510" s="3213"/>
      <c r="K510" s="3199"/>
      <c r="L510" s="3213"/>
      <c r="M510" s="3213"/>
      <c r="N510" s="3213"/>
      <c r="O510" s="3213"/>
      <c r="P510" s="3213"/>
      <c r="Q510" s="3213"/>
      <c r="R510" s="3213"/>
      <c r="S510" s="3213"/>
      <c r="T510" s="3213"/>
      <c r="U510" s="3213"/>
      <c r="V510" s="3213"/>
      <c r="W510" s="3213"/>
      <c r="X510" s="3213"/>
      <c r="Y510" s="3213"/>
      <c r="Z510" s="3213"/>
      <c r="AA510" s="3213"/>
      <c r="AB510" s="3213"/>
      <c r="AC510" s="3194">
        <f t="shared" ref="AC510:AC537" si="329">SUMIF(AD$12:AS$12,"总值",AD510:AS510)</f>
        <v>0</v>
      </c>
      <c r="AD510" s="3224"/>
      <c r="AE510" s="3224"/>
      <c r="AF510" s="3199"/>
      <c r="AG510" s="3224"/>
      <c r="AH510" s="3224"/>
      <c r="AI510" s="3224"/>
      <c r="AJ510" s="3224"/>
      <c r="AK510" s="3224"/>
      <c r="AL510" s="3224"/>
      <c r="AM510" s="3224"/>
      <c r="AN510" s="3224"/>
      <c r="AO510" s="3224"/>
      <c r="AP510" s="3224"/>
      <c r="AQ510" s="3224"/>
      <c r="AR510" s="3224"/>
      <c r="AS510" s="3224"/>
      <c r="AT510" s="3244"/>
      <c r="AU510" s="3245"/>
      <c r="AV510" s="464">
        <f t="shared" si="324"/>
        <v>0</v>
      </c>
      <c r="AW510" s="464">
        <f t="shared" si="325"/>
        <v>0</v>
      </c>
      <c r="AX510" s="464">
        <f t="shared" si="326"/>
        <v>0</v>
      </c>
      <c r="AY510" s="3261">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6">
        <f t="shared" ref="BT510:BT537" si="351">IF($D510="是",AR510-AS510,0)</f>
        <v>0</v>
      </c>
    </row>
    <row r="511" spans="1:72">
      <c r="A511" s="3192"/>
      <c r="B511" s="3200"/>
      <c r="C511" s="3199"/>
      <c r="D511" s="3188"/>
      <c r="E511" s="3194">
        <f t="shared" si="323"/>
        <v>0</v>
      </c>
      <c r="F511" s="3195"/>
      <c r="G511" s="3196">
        <f t="shared" si="327"/>
        <v>0</v>
      </c>
      <c r="H511" s="3197">
        <f t="shared" si="328"/>
        <v>0</v>
      </c>
      <c r="I511" s="3199"/>
      <c r="J511" s="3213"/>
      <c r="K511" s="3199"/>
      <c r="L511" s="3213"/>
      <c r="M511" s="3213"/>
      <c r="N511" s="3213"/>
      <c r="O511" s="3213"/>
      <c r="P511" s="3213"/>
      <c r="Q511" s="3213"/>
      <c r="R511" s="3213"/>
      <c r="S511" s="3213"/>
      <c r="T511" s="3213"/>
      <c r="U511" s="3213"/>
      <c r="V511" s="3213"/>
      <c r="W511" s="3213"/>
      <c r="X511" s="3213"/>
      <c r="Y511" s="3213"/>
      <c r="Z511" s="3213"/>
      <c r="AA511" s="3213"/>
      <c r="AB511" s="3213"/>
      <c r="AC511" s="3194">
        <f t="shared" si="329"/>
        <v>0</v>
      </c>
      <c r="AD511" s="3224"/>
      <c r="AE511" s="3224"/>
      <c r="AF511" s="3199"/>
      <c r="AG511" s="3224"/>
      <c r="AH511" s="3224"/>
      <c r="AI511" s="3224"/>
      <c r="AJ511" s="3224"/>
      <c r="AK511" s="3224"/>
      <c r="AL511" s="3224"/>
      <c r="AM511" s="3224"/>
      <c r="AN511" s="3224"/>
      <c r="AO511" s="3224"/>
      <c r="AP511" s="3224"/>
      <c r="AQ511" s="3224"/>
      <c r="AR511" s="3224"/>
      <c r="AS511" s="3224"/>
      <c r="AT511" s="3244"/>
      <c r="AU511" s="3245"/>
      <c r="AV511" s="464">
        <f t="shared" si="324"/>
        <v>0</v>
      </c>
      <c r="AW511" s="464">
        <f t="shared" si="325"/>
        <v>0</v>
      </c>
      <c r="AX511" s="464">
        <f t="shared" si="326"/>
        <v>0</v>
      </c>
      <c r="AY511" s="3261">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6">
        <f t="shared" si="351"/>
        <v>0</v>
      </c>
    </row>
    <row r="512" spans="1:72">
      <c r="A512" s="3192"/>
      <c r="B512" s="3200"/>
      <c r="C512" s="3199"/>
      <c r="D512" s="3188"/>
      <c r="E512" s="3194">
        <f t="shared" si="323"/>
        <v>0</v>
      </c>
      <c r="F512" s="3195"/>
      <c r="G512" s="3196">
        <f t="shared" si="327"/>
        <v>0</v>
      </c>
      <c r="H512" s="3197">
        <f t="shared" si="328"/>
        <v>0</v>
      </c>
      <c r="I512" s="3199"/>
      <c r="J512" s="3213"/>
      <c r="K512" s="3199"/>
      <c r="L512" s="3213"/>
      <c r="M512" s="3213"/>
      <c r="N512" s="3213"/>
      <c r="O512" s="3213"/>
      <c r="P512" s="3213"/>
      <c r="Q512" s="3213"/>
      <c r="R512" s="3213"/>
      <c r="S512" s="3213"/>
      <c r="T512" s="3213"/>
      <c r="U512" s="3213"/>
      <c r="V512" s="3213"/>
      <c r="W512" s="3213"/>
      <c r="X512" s="3213"/>
      <c r="Y512" s="3213"/>
      <c r="Z512" s="3213"/>
      <c r="AA512" s="3213"/>
      <c r="AB512" s="3213"/>
      <c r="AC512" s="3194">
        <f t="shared" si="329"/>
        <v>0</v>
      </c>
      <c r="AD512" s="3224"/>
      <c r="AE512" s="3224"/>
      <c r="AF512" s="3199"/>
      <c r="AG512" s="3224"/>
      <c r="AH512" s="3224"/>
      <c r="AI512" s="3224"/>
      <c r="AJ512" s="3224"/>
      <c r="AK512" s="3224"/>
      <c r="AL512" s="3224"/>
      <c r="AM512" s="3224"/>
      <c r="AN512" s="3224"/>
      <c r="AO512" s="3224"/>
      <c r="AP512" s="3224"/>
      <c r="AQ512" s="3224"/>
      <c r="AR512" s="3224"/>
      <c r="AS512" s="3224"/>
      <c r="AT512" s="3244"/>
      <c r="AU512" s="3245"/>
      <c r="AV512" s="464">
        <f t="shared" si="324"/>
        <v>0</v>
      </c>
      <c r="AW512" s="464">
        <f t="shared" si="325"/>
        <v>0</v>
      </c>
      <c r="AX512" s="464">
        <f t="shared" si="326"/>
        <v>0</v>
      </c>
      <c r="AY512" s="3261">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6">
        <f t="shared" si="351"/>
        <v>0</v>
      </c>
    </row>
    <row r="513" spans="1:72">
      <c r="A513" s="3192"/>
      <c r="B513" s="3200"/>
      <c r="C513" s="3199"/>
      <c r="D513" s="3188"/>
      <c r="E513" s="3194">
        <f t="shared" si="323"/>
        <v>0</v>
      </c>
      <c r="F513" s="3195"/>
      <c r="G513" s="3196">
        <f t="shared" si="327"/>
        <v>0</v>
      </c>
      <c r="H513" s="3197">
        <f t="shared" si="328"/>
        <v>0</v>
      </c>
      <c r="I513" s="3199"/>
      <c r="J513" s="3213"/>
      <c r="K513" s="3199"/>
      <c r="L513" s="3213"/>
      <c r="M513" s="3213"/>
      <c r="N513" s="3213"/>
      <c r="O513" s="3213"/>
      <c r="P513" s="3213"/>
      <c r="Q513" s="3213"/>
      <c r="R513" s="3213"/>
      <c r="S513" s="3213"/>
      <c r="T513" s="3213"/>
      <c r="U513" s="3213"/>
      <c r="V513" s="3213"/>
      <c r="W513" s="3213"/>
      <c r="X513" s="3213"/>
      <c r="Y513" s="3213"/>
      <c r="Z513" s="3213"/>
      <c r="AA513" s="3213"/>
      <c r="AB513" s="3213"/>
      <c r="AC513" s="3194">
        <f t="shared" si="329"/>
        <v>0</v>
      </c>
      <c r="AD513" s="3224"/>
      <c r="AE513" s="3224"/>
      <c r="AF513" s="3199"/>
      <c r="AG513" s="3224"/>
      <c r="AH513" s="3224"/>
      <c r="AI513" s="3224"/>
      <c r="AJ513" s="3224"/>
      <c r="AK513" s="3224"/>
      <c r="AL513" s="3224"/>
      <c r="AM513" s="3224"/>
      <c r="AN513" s="3224"/>
      <c r="AO513" s="3224"/>
      <c r="AP513" s="3224"/>
      <c r="AQ513" s="3224"/>
      <c r="AR513" s="3224"/>
      <c r="AS513" s="3224"/>
      <c r="AT513" s="3244"/>
      <c r="AU513" s="3245"/>
      <c r="AV513" s="464">
        <f t="shared" si="324"/>
        <v>0</v>
      </c>
      <c r="AW513" s="464">
        <f t="shared" si="325"/>
        <v>0</v>
      </c>
      <c r="AX513" s="464">
        <f t="shared" si="326"/>
        <v>0</v>
      </c>
      <c r="AY513" s="3261">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6">
        <f t="shared" si="351"/>
        <v>0</v>
      </c>
    </row>
    <row r="514" spans="1:72">
      <c r="A514" s="3192"/>
      <c r="B514" s="3200"/>
      <c r="C514" s="3199"/>
      <c r="D514" s="3188"/>
      <c r="E514" s="3194">
        <f t="shared" si="323"/>
        <v>0</v>
      </c>
      <c r="F514" s="3195"/>
      <c r="G514" s="3196">
        <f t="shared" si="327"/>
        <v>0</v>
      </c>
      <c r="H514" s="3197">
        <f t="shared" si="328"/>
        <v>0</v>
      </c>
      <c r="I514" s="3199"/>
      <c r="J514" s="3213"/>
      <c r="K514" s="3199"/>
      <c r="L514" s="3213"/>
      <c r="M514" s="3213"/>
      <c r="N514" s="3213"/>
      <c r="O514" s="3213"/>
      <c r="P514" s="3213"/>
      <c r="Q514" s="3213"/>
      <c r="R514" s="3213"/>
      <c r="S514" s="3213"/>
      <c r="T514" s="3213"/>
      <c r="U514" s="3213"/>
      <c r="V514" s="3213"/>
      <c r="W514" s="3213"/>
      <c r="X514" s="3213"/>
      <c r="Y514" s="3213"/>
      <c r="Z514" s="3213"/>
      <c r="AA514" s="3213"/>
      <c r="AB514" s="3213"/>
      <c r="AC514" s="3194">
        <f t="shared" si="329"/>
        <v>0</v>
      </c>
      <c r="AD514" s="3224"/>
      <c r="AE514" s="3224"/>
      <c r="AF514" s="3199"/>
      <c r="AG514" s="3224"/>
      <c r="AH514" s="3224"/>
      <c r="AI514" s="3224"/>
      <c r="AJ514" s="3224"/>
      <c r="AK514" s="3224"/>
      <c r="AL514" s="3224"/>
      <c r="AM514" s="3224"/>
      <c r="AN514" s="3224"/>
      <c r="AO514" s="3224"/>
      <c r="AP514" s="3224"/>
      <c r="AQ514" s="3224"/>
      <c r="AR514" s="3224"/>
      <c r="AS514" s="3224"/>
      <c r="AT514" s="3244"/>
      <c r="AU514" s="3245"/>
      <c r="AV514" s="464">
        <f t="shared" si="324"/>
        <v>0</v>
      </c>
      <c r="AW514" s="464">
        <f t="shared" si="325"/>
        <v>0</v>
      </c>
      <c r="AX514" s="464">
        <f t="shared" si="326"/>
        <v>0</v>
      </c>
      <c r="AY514" s="3261">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6">
        <f t="shared" si="351"/>
        <v>0</v>
      </c>
    </row>
    <row r="515" spans="1:72">
      <c r="A515" s="3192"/>
      <c r="B515" s="3201"/>
      <c r="C515" s="3202"/>
      <c r="D515" s="3188"/>
      <c r="E515" s="3194">
        <f t="shared" si="323"/>
        <v>0</v>
      </c>
      <c r="F515" s="3195"/>
      <c r="G515" s="3196">
        <f t="shared" si="327"/>
        <v>0</v>
      </c>
      <c r="H515" s="3197">
        <f t="shared" si="328"/>
        <v>0</v>
      </c>
      <c r="I515" s="3199"/>
      <c r="J515" s="3213"/>
      <c r="K515" s="3199"/>
      <c r="L515" s="3213"/>
      <c r="M515" s="3199"/>
      <c r="N515" s="3213"/>
      <c r="O515" s="3213"/>
      <c r="P515" s="3213"/>
      <c r="Q515" s="3213"/>
      <c r="R515" s="3213"/>
      <c r="S515" s="3213"/>
      <c r="T515" s="3213"/>
      <c r="U515" s="3213"/>
      <c r="V515" s="3213"/>
      <c r="W515" s="3213"/>
      <c r="X515" s="3213"/>
      <c r="Y515" s="3213"/>
      <c r="Z515" s="3213"/>
      <c r="AA515" s="3213"/>
      <c r="AB515" s="3213"/>
      <c r="AC515" s="3194">
        <f t="shared" si="329"/>
        <v>0</v>
      </c>
      <c r="AD515" s="3224"/>
      <c r="AE515" s="3224"/>
      <c r="AF515" s="3199"/>
      <c r="AG515" s="3224"/>
      <c r="AH515" s="3224"/>
      <c r="AI515" s="3224"/>
      <c r="AJ515" s="3224"/>
      <c r="AK515" s="3224"/>
      <c r="AL515" s="3224"/>
      <c r="AM515" s="3224"/>
      <c r="AN515" s="3224"/>
      <c r="AO515" s="3224"/>
      <c r="AP515" s="3224"/>
      <c r="AQ515" s="3224"/>
      <c r="AR515" s="3224"/>
      <c r="AS515" s="3224"/>
      <c r="AT515" s="3244"/>
      <c r="AU515" s="3245"/>
      <c r="AV515" s="464">
        <f t="shared" si="324"/>
        <v>0</v>
      </c>
      <c r="AW515" s="464">
        <f t="shared" si="325"/>
        <v>0</v>
      </c>
      <c r="AX515" s="464">
        <f t="shared" si="326"/>
        <v>0</v>
      </c>
      <c r="AY515" s="3261">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6">
        <f t="shared" si="351"/>
        <v>0</v>
      </c>
    </row>
    <row r="516" spans="1:72">
      <c r="A516" s="3192"/>
      <c r="B516" s="3193"/>
      <c r="C516" s="3193"/>
      <c r="D516" s="3188"/>
      <c r="E516" s="3194">
        <f t="shared" si="323"/>
        <v>0</v>
      </c>
      <c r="F516" s="3195"/>
      <c r="G516" s="3196">
        <f t="shared" si="327"/>
        <v>0</v>
      </c>
      <c r="H516" s="3197">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4">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64">
        <f t="shared" si="324"/>
        <v>0</v>
      </c>
      <c r="AW516" s="464">
        <f t="shared" si="325"/>
        <v>0</v>
      </c>
      <c r="AX516" s="464">
        <f t="shared" si="326"/>
        <v>0</v>
      </c>
      <c r="AY516" s="3261">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6">
        <f t="shared" si="351"/>
        <v>0</v>
      </c>
    </row>
    <row r="517" spans="1:72">
      <c r="A517" s="3192"/>
      <c r="B517" s="3193"/>
      <c r="C517" s="3193"/>
      <c r="D517" s="3188"/>
      <c r="E517" s="3194">
        <f t="shared" si="323"/>
        <v>0</v>
      </c>
      <c r="F517" s="3195"/>
      <c r="G517" s="3196">
        <f t="shared" si="327"/>
        <v>0</v>
      </c>
      <c r="H517" s="3197">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4">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64">
        <f t="shared" si="324"/>
        <v>0</v>
      </c>
      <c r="AW517" s="464">
        <f t="shared" si="325"/>
        <v>0</v>
      </c>
      <c r="AX517" s="464">
        <f t="shared" si="326"/>
        <v>0</v>
      </c>
      <c r="AY517" s="3261">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6">
        <f t="shared" si="351"/>
        <v>0</v>
      </c>
    </row>
    <row r="518" spans="1:72">
      <c r="A518" s="3192"/>
      <c r="B518" s="3193"/>
      <c r="C518" s="3193"/>
      <c r="D518" s="3188"/>
      <c r="E518" s="3194">
        <f t="shared" si="323"/>
        <v>0</v>
      </c>
      <c r="F518" s="3195"/>
      <c r="G518" s="3196">
        <f t="shared" si="327"/>
        <v>0</v>
      </c>
      <c r="H518" s="3197">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4">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64">
        <f t="shared" si="324"/>
        <v>0</v>
      </c>
      <c r="AW518" s="464">
        <f t="shared" si="325"/>
        <v>0</v>
      </c>
      <c r="AX518" s="464">
        <f t="shared" si="326"/>
        <v>0</v>
      </c>
      <c r="AY518" s="3261">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6">
        <f t="shared" si="351"/>
        <v>0</v>
      </c>
    </row>
    <row r="519" spans="1:72">
      <c r="A519" s="3192"/>
      <c r="B519" s="3193"/>
      <c r="C519" s="3193"/>
      <c r="D519" s="3188"/>
      <c r="E519" s="3194">
        <f t="shared" si="323"/>
        <v>0</v>
      </c>
      <c r="F519" s="3195"/>
      <c r="G519" s="3196">
        <f t="shared" si="327"/>
        <v>0</v>
      </c>
      <c r="H519" s="3197">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4">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64">
        <f t="shared" si="324"/>
        <v>0</v>
      </c>
      <c r="AW519" s="464">
        <f t="shared" si="325"/>
        <v>0</v>
      </c>
      <c r="AX519" s="464">
        <f t="shared" si="326"/>
        <v>0</v>
      </c>
      <c r="AY519" s="3261">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6">
        <f t="shared" si="351"/>
        <v>0</v>
      </c>
    </row>
    <row r="520" spans="1:72">
      <c r="A520" s="3192"/>
      <c r="B520" s="3193"/>
      <c r="C520" s="3193"/>
      <c r="D520" s="3188"/>
      <c r="E520" s="3194">
        <f t="shared" si="323"/>
        <v>0</v>
      </c>
      <c r="F520" s="3195"/>
      <c r="G520" s="3196">
        <f t="shared" si="327"/>
        <v>0</v>
      </c>
      <c r="H520" s="3197">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4">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64">
        <f t="shared" si="324"/>
        <v>0</v>
      </c>
      <c r="AW520" s="464">
        <f t="shared" si="325"/>
        <v>0</v>
      </c>
      <c r="AX520" s="464">
        <f t="shared" si="326"/>
        <v>0</v>
      </c>
      <c r="AY520" s="3261">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6">
        <f t="shared" si="351"/>
        <v>0</v>
      </c>
    </row>
    <row r="521" spans="1:72">
      <c r="A521" s="3192"/>
      <c r="B521" s="3193"/>
      <c r="C521" s="3193"/>
      <c r="D521" s="3188"/>
      <c r="E521" s="3194">
        <f t="shared" si="323"/>
        <v>0</v>
      </c>
      <c r="F521" s="3195"/>
      <c r="G521" s="3196">
        <f t="shared" si="327"/>
        <v>0</v>
      </c>
      <c r="H521" s="3197">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4">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64">
        <f t="shared" si="324"/>
        <v>0</v>
      </c>
      <c r="AW521" s="464">
        <f t="shared" si="325"/>
        <v>0</v>
      </c>
      <c r="AX521" s="464">
        <f t="shared" si="326"/>
        <v>0</v>
      </c>
      <c r="AY521" s="3261">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6">
        <f t="shared" si="351"/>
        <v>0</v>
      </c>
    </row>
    <row r="522" spans="1:72">
      <c r="A522" s="3192"/>
      <c r="B522" s="3193"/>
      <c r="C522" s="3193"/>
      <c r="D522" s="3188"/>
      <c r="E522" s="3194">
        <f t="shared" si="323"/>
        <v>0</v>
      </c>
      <c r="F522" s="3195"/>
      <c r="G522" s="3196">
        <f t="shared" si="327"/>
        <v>0</v>
      </c>
      <c r="H522" s="3197">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4">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64">
        <f t="shared" si="324"/>
        <v>0</v>
      </c>
      <c r="AW522" s="464">
        <f t="shared" si="325"/>
        <v>0</v>
      </c>
      <c r="AX522" s="464">
        <f t="shared" si="326"/>
        <v>0</v>
      </c>
      <c r="AY522" s="3261">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6">
        <f t="shared" si="351"/>
        <v>0</v>
      </c>
    </row>
    <row r="523" spans="1:72">
      <c r="A523" s="3192"/>
      <c r="B523" s="3193"/>
      <c r="C523" s="3193"/>
      <c r="D523" s="3188"/>
      <c r="E523" s="3194">
        <f t="shared" si="323"/>
        <v>0</v>
      </c>
      <c r="F523" s="3195"/>
      <c r="G523" s="3196">
        <f t="shared" si="327"/>
        <v>0</v>
      </c>
      <c r="H523" s="3197">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4">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64">
        <f t="shared" si="324"/>
        <v>0</v>
      </c>
      <c r="AW523" s="464">
        <f t="shared" si="325"/>
        <v>0</v>
      </c>
      <c r="AX523" s="464">
        <f t="shared" si="326"/>
        <v>0</v>
      </c>
      <c r="AY523" s="3261">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6">
        <f t="shared" si="351"/>
        <v>0</v>
      </c>
    </row>
    <row r="524" spans="1:72">
      <c r="A524" s="3192"/>
      <c r="B524" s="3193"/>
      <c r="C524" s="3193"/>
      <c r="D524" s="3188"/>
      <c r="E524" s="3194">
        <f t="shared" si="323"/>
        <v>0</v>
      </c>
      <c r="F524" s="3195"/>
      <c r="G524" s="3196">
        <f t="shared" si="327"/>
        <v>0</v>
      </c>
      <c r="H524" s="3197">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4">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64">
        <f t="shared" si="324"/>
        <v>0</v>
      </c>
      <c r="AW524" s="464">
        <f t="shared" si="325"/>
        <v>0</v>
      </c>
      <c r="AX524" s="464">
        <f t="shared" si="326"/>
        <v>0</v>
      </c>
      <c r="AY524" s="3261">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6">
        <f t="shared" si="351"/>
        <v>0</v>
      </c>
    </row>
    <row r="525" spans="1:72">
      <c r="A525" s="3192"/>
      <c r="B525" s="3193"/>
      <c r="C525" s="3193"/>
      <c r="D525" s="3188"/>
      <c r="E525" s="3194">
        <f t="shared" si="323"/>
        <v>0</v>
      </c>
      <c r="F525" s="3195"/>
      <c r="G525" s="3196">
        <f t="shared" si="327"/>
        <v>0</v>
      </c>
      <c r="H525" s="3197">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4">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64">
        <f t="shared" si="324"/>
        <v>0</v>
      </c>
      <c r="AW525" s="464">
        <f t="shared" si="325"/>
        <v>0</v>
      </c>
      <c r="AX525" s="464">
        <f t="shared" si="326"/>
        <v>0</v>
      </c>
      <c r="AY525" s="3261">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6">
        <f t="shared" si="351"/>
        <v>0</v>
      </c>
    </row>
    <row r="526" spans="1:72">
      <c r="A526" s="3192"/>
      <c r="B526" s="3193"/>
      <c r="C526" s="3193"/>
      <c r="D526" s="3188"/>
      <c r="E526" s="3194">
        <f t="shared" si="323"/>
        <v>0</v>
      </c>
      <c r="F526" s="3195"/>
      <c r="G526" s="3196">
        <f t="shared" si="327"/>
        <v>0</v>
      </c>
      <c r="H526" s="3197">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4">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64">
        <f t="shared" si="324"/>
        <v>0</v>
      </c>
      <c r="AW526" s="464">
        <f t="shared" si="325"/>
        <v>0</v>
      </c>
      <c r="AX526" s="464">
        <f t="shared" si="326"/>
        <v>0</v>
      </c>
      <c r="AY526" s="3261">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6">
        <f t="shared" si="351"/>
        <v>0</v>
      </c>
    </row>
    <row r="527" spans="1:72">
      <c r="A527" s="3192"/>
      <c r="B527" s="3193"/>
      <c r="C527" s="3193"/>
      <c r="D527" s="3188"/>
      <c r="E527" s="3194">
        <f t="shared" si="323"/>
        <v>0</v>
      </c>
      <c r="F527" s="3195"/>
      <c r="G527" s="3196">
        <f t="shared" si="327"/>
        <v>0</v>
      </c>
      <c r="H527" s="3197">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4">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64">
        <f t="shared" si="324"/>
        <v>0</v>
      </c>
      <c r="AW527" s="464">
        <f t="shared" si="325"/>
        <v>0</v>
      </c>
      <c r="AX527" s="464">
        <f t="shared" si="326"/>
        <v>0</v>
      </c>
      <c r="AY527" s="3261">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6">
        <f t="shared" si="351"/>
        <v>0</v>
      </c>
    </row>
    <row r="528" spans="1:72">
      <c r="A528" s="3192"/>
      <c r="B528" s="3193"/>
      <c r="C528" s="3193"/>
      <c r="D528" s="3188"/>
      <c r="E528" s="3194">
        <f t="shared" si="323"/>
        <v>0</v>
      </c>
      <c r="F528" s="3195"/>
      <c r="G528" s="3196">
        <f t="shared" si="327"/>
        <v>0</v>
      </c>
      <c r="H528" s="3197">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4">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64">
        <f t="shared" si="324"/>
        <v>0</v>
      </c>
      <c r="AW528" s="464">
        <f t="shared" si="325"/>
        <v>0</v>
      </c>
      <c r="AX528" s="464">
        <f t="shared" si="326"/>
        <v>0</v>
      </c>
      <c r="AY528" s="3261">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6">
        <f t="shared" si="351"/>
        <v>0</v>
      </c>
    </row>
    <row r="529" spans="1:72">
      <c r="A529" s="3192"/>
      <c r="B529" s="3193"/>
      <c r="C529" s="3193"/>
      <c r="D529" s="3188"/>
      <c r="E529" s="3194">
        <f t="shared" si="323"/>
        <v>0</v>
      </c>
      <c r="F529" s="3195"/>
      <c r="G529" s="3196">
        <f t="shared" si="327"/>
        <v>0</v>
      </c>
      <c r="H529" s="3197">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4">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64">
        <f t="shared" si="324"/>
        <v>0</v>
      </c>
      <c r="AW529" s="464">
        <f t="shared" si="325"/>
        <v>0</v>
      </c>
      <c r="AX529" s="464">
        <f t="shared" si="326"/>
        <v>0</v>
      </c>
      <c r="AY529" s="3261">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6">
        <f t="shared" si="351"/>
        <v>0</v>
      </c>
    </row>
    <row r="530" spans="1:72">
      <c r="A530" s="3192"/>
      <c r="B530" s="3193"/>
      <c r="C530" s="3193"/>
      <c r="D530" s="3188"/>
      <c r="E530" s="3194">
        <f t="shared" si="323"/>
        <v>0</v>
      </c>
      <c r="F530" s="3195"/>
      <c r="G530" s="3196">
        <f t="shared" si="327"/>
        <v>0</v>
      </c>
      <c r="H530" s="3197">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4">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64">
        <f t="shared" si="324"/>
        <v>0</v>
      </c>
      <c r="AW530" s="464">
        <f t="shared" si="325"/>
        <v>0</v>
      </c>
      <c r="AX530" s="464">
        <f t="shared" si="326"/>
        <v>0</v>
      </c>
      <c r="AY530" s="3261">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6">
        <f t="shared" si="351"/>
        <v>0</v>
      </c>
    </row>
    <row r="531" spans="1:72">
      <c r="A531" s="3192"/>
      <c r="B531" s="3193"/>
      <c r="C531" s="3193"/>
      <c r="D531" s="3188"/>
      <c r="E531" s="3194">
        <f t="shared" si="323"/>
        <v>0</v>
      </c>
      <c r="F531" s="3195"/>
      <c r="G531" s="3196">
        <f t="shared" si="327"/>
        <v>0</v>
      </c>
      <c r="H531" s="3197">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4">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64">
        <f t="shared" si="324"/>
        <v>0</v>
      </c>
      <c r="AW531" s="464">
        <f t="shared" si="325"/>
        <v>0</v>
      </c>
      <c r="AX531" s="464">
        <f t="shared" si="326"/>
        <v>0</v>
      </c>
      <c r="AY531" s="3261">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6">
        <f t="shared" si="351"/>
        <v>0</v>
      </c>
    </row>
    <row r="532" spans="1:72">
      <c r="A532" s="3192"/>
      <c r="B532" s="3193"/>
      <c r="C532" s="3193"/>
      <c r="D532" s="3188"/>
      <c r="E532" s="3194">
        <f t="shared" si="323"/>
        <v>0</v>
      </c>
      <c r="F532" s="3195"/>
      <c r="G532" s="3196">
        <f t="shared" si="327"/>
        <v>0</v>
      </c>
      <c r="H532" s="3197">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4">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64">
        <f t="shared" si="324"/>
        <v>0</v>
      </c>
      <c r="AW532" s="464">
        <f t="shared" si="325"/>
        <v>0</v>
      </c>
      <c r="AX532" s="464">
        <f t="shared" si="326"/>
        <v>0</v>
      </c>
      <c r="AY532" s="3261">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6">
        <f t="shared" si="351"/>
        <v>0</v>
      </c>
    </row>
    <row r="533" spans="1:72">
      <c r="A533" s="3192"/>
      <c r="B533" s="3193"/>
      <c r="C533" s="3193"/>
      <c r="D533" s="3188"/>
      <c r="E533" s="3194">
        <f t="shared" si="323"/>
        <v>0</v>
      </c>
      <c r="F533" s="3195"/>
      <c r="G533" s="3196">
        <f t="shared" si="327"/>
        <v>0</v>
      </c>
      <c r="H533" s="3197">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4">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64">
        <f t="shared" si="324"/>
        <v>0</v>
      </c>
      <c r="AW533" s="464">
        <f t="shared" si="325"/>
        <v>0</v>
      </c>
      <c r="AX533" s="464">
        <f t="shared" si="326"/>
        <v>0</v>
      </c>
      <c r="AY533" s="3261">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6">
        <f t="shared" si="351"/>
        <v>0</v>
      </c>
    </row>
    <row r="534" spans="1:72">
      <c r="A534" s="3192"/>
      <c r="B534" s="3193"/>
      <c r="C534" s="3193"/>
      <c r="D534" s="3188"/>
      <c r="E534" s="3194">
        <f t="shared" si="323"/>
        <v>0</v>
      </c>
      <c r="F534" s="3195"/>
      <c r="G534" s="3196">
        <f t="shared" si="327"/>
        <v>0</v>
      </c>
      <c r="H534" s="3197">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4">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64">
        <f t="shared" si="324"/>
        <v>0</v>
      </c>
      <c r="AW534" s="464">
        <f t="shared" si="325"/>
        <v>0</v>
      </c>
      <c r="AX534" s="464">
        <f t="shared" si="326"/>
        <v>0</v>
      </c>
      <c r="AY534" s="3261">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6">
        <f t="shared" si="351"/>
        <v>0</v>
      </c>
    </row>
    <row r="535" spans="1:72">
      <c r="A535" s="3192"/>
      <c r="B535" s="3193"/>
      <c r="C535" s="3193"/>
      <c r="D535" s="3188"/>
      <c r="E535" s="3194">
        <f t="shared" si="323"/>
        <v>0</v>
      </c>
      <c r="F535" s="3195"/>
      <c r="G535" s="3196">
        <f t="shared" si="327"/>
        <v>0</v>
      </c>
      <c r="H535" s="3197">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4">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64">
        <f t="shared" si="324"/>
        <v>0</v>
      </c>
      <c r="AW535" s="464">
        <f t="shared" si="325"/>
        <v>0</v>
      </c>
      <c r="AX535" s="464">
        <f t="shared" si="326"/>
        <v>0</v>
      </c>
      <c r="AY535" s="3261">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6">
        <f t="shared" si="351"/>
        <v>0</v>
      </c>
    </row>
    <row r="536" spans="1:72">
      <c r="A536" s="3192"/>
      <c r="B536" s="3193"/>
      <c r="C536" s="3193"/>
      <c r="D536" s="3188"/>
      <c r="E536" s="3194">
        <f t="shared" si="323"/>
        <v>0</v>
      </c>
      <c r="F536" s="3195"/>
      <c r="G536" s="3196">
        <f t="shared" si="327"/>
        <v>0</v>
      </c>
      <c r="H536" s="3197">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4">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64">
        <f t="shared" si="324"/>
        <v>0</v>
      </c>
      <c r="AW536" s="464">
        <f t="shared" si="325"/>
        <v>0</v>
      </c>
      <c r="AX536" s="464">
        <f t="shared" si="326"/>
        <v>0</v>
      </c>
      <c r="AY536" s="3261">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6">
        <f t="shared" si="351"/>
        <v>0</v>
      </c>
    </row>
    <row r="537" spans="1:72">
      <c r="A537" s="3192"/>
      <c r="B537" s="3193"/>
      <c r="C537" s="3193"/>
      <c r="D537" s="3188"/>
      <c r="E537" s="3194">
        <f t="shared" ref="E537:E572" si="352">IF($C$3="是",ROUND($A$3*G537/$B$3,2),ROUND($A$3*(G537-AT537)/$B$3,2))</f>
        <v>0</v>
      </c>
      <c r="F537" s="3195"/>
      <c r="G537" s="3196">
        <f t="shared" si="327"/>
        <v>0</v>
      </c>
      <c r="H537" s="3197">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4">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64">
        <f t="shared" si="324"/>
        <v>0</v>
      </c>
      <c r="AW537" s="464">
        <f t="shared" si="325"/>
        <v>0</v>
      </c>
      <c r="AX537" s="464">
        <f t="shared" si="326"/>
        <v>0</v>
      </c>
      <c r="AY537" s="3261">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6">
        <f t="shared" si="351"/>
        <v>0</v>
      </c>
    </row>
    <row r="538" spans="1:72">
      <c r="A538" s="3192"/>
      <c r="B538" s="3193"/>
      <c r="C538" s="3193"/>
      <c r="D538" s="3188"/>
      <c r="E538" s="3194">
        <f t="shared" si="352"/>
        <v>0</v>
      </c>
      <c r="F538" s="3195"/>
      <c r="G538" s="3196">
        <f t="shared" ref="G538:G572" si="353">H538+AC538+AT538</f>
        <v>0</v>
      </c>
      <c r="H538" s="3197">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4">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64">
        <f t="shared" ref="AV538:AV572" si="356">A538</f>
        <v>0</v>
      </c>
      <c r="AW538" s="464">
        <f t="shared" ref="AW538:AW572" si="357">B538</f>
        <v>0</v>
      </c>
      <c r="AX538" s="464">
        <f t="shared" ref="AX538:AX572" si="358">C538</f>
        <v>0</v>
      </c>
      <c r="AY538" s="3261">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6">
        <f t="shared" ref="BT538:BT572" si="380">IF($D538="是",AR538-AS538,0)</f>
        <v>0</v>
      </c>
    </row>
    <row r="539" spans="1:72">
      <c r="A539" s="3192"/>
      <c r="B539" s="3193"/>
      <c r="C539" s="3193"/>
      <c r="D539" s="3188"/>
      <c r="E539" s="3194">
        <f t="shared" si="352"/>
        <v>0</v>
      </c>
      <c r="F539" s="3195"/>
      <c r="G539" s="3196">
        <f t="shared" si="353"/>
        <v>0</v>
      </c>
      <c r="H539" s="3197">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4">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64">
        <f t="shared" si="356"/>
        <v>0</v>
      </c>
      <c r="AW539" s="464">
        <f t="shared" si="357"/>
        <v>0</v>
      </c>
      <c r="AX539" s="464">
        <f t="shared" si="358"/>
        <v>0</v>
      </c>
      <c r="AY539" s="3261">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6">
        <f t="shared" si="380"/>
        <v>0</v>
      </c>
    </row>
    <row r="540" spans="1:72">
      <c r="A540" s="3192"/>
      <c r="B540" s="3193"/>
      <c r="C540" s="3193"/>
      <c r="D540" s="3188"/>
      <c r="E540" s="3194">
        <f t="shared" si="352"/>
        <v>0</v>
      </c>
      <c r="F540" s="3195"/>
      <c r="G540" s="3196">
        <f t="shared" si="353"/>
        <v>0</v>
      </c>
      <c r="H540" s="3197">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4">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64">
        <f t="shared" si="356"/>
        <v>0</v>
      </c>
      <c r="AW540" s="464">
        <f t="shared" si="357"/>
        <v>0</v>
      </c>
      <c r="AX540" s="464">
        <f t="shared" si="358"/>
        <v>0</v>
      </c>
      <c r="AY540" s="3261">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6">
        <f t="shared" si="380"/>
        <v>0</v>
      </c>
    </row>
    <row r="541" spans="1:72">
      <c r="A541" s="3192"/>
      <c r="B541" s="3193"/>
      <c r="C541" s="3193"/>
      <c r="D541" s="3188"/>
      <c r="E541" s="3194">
        <f t="shared" si="352"/>
        <v>0</v>
      </c>
      <c r="F541" s="3195"/>
      <c r="G541" s="3196">
        <f t="shared" si="353"/>
        <v>0</v>
      </c>
      <c r="H541" s="3197">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4">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64">
        <f t="shared" si="356"/>
        <v>0</v>
      </c>
      <c r="AW541" s="464">
        <f t="shared" si="357"/>
        <v>0</v>
      </c>
      <c r="AX541" s="464">
        <f t="shared" si="358"/>
        <v>0</v>
      </c>
      <c r="AY541" s="3261">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6">
        <f t="shared" si="380"/>
        <v>0</v>
      </c>
    </row>
    <row r="542" spans="1:72">
      <c r="A542" s="3192"/>
      <c r="B542" s="3193"/>
      <c r="C542" s="3193"/>
      <c r="D542" s="3188"/>
      <c r="E542" s="3194">
        <f t="shared" si="352"/>
        <v>0</v>
      </c>
      <c r="F542" s="3195"/>
      <c r="G542" s="3196">
        <f t="shared" si="353"/>
        <v>0</v>
      </c>
      <c r="H542" s="3197">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4">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64">
        <f t="shared" si="356"/>
        <v>0</v>
      </c>
      <c r="AW542" s="464">
        <f t="shared" si="357"/>
        <v>0</v>
      </c>
      <c r="AX542" s="464">
        <f t="shared" si="358"/>
        <v>0</v>
      </c>
      <c r="AY542" s="3261">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6">
        <f t="shared" si="380"/>
        <v>0</v>
      </c>
    </row>
    <row r="543" spans="1:72">
      <c r="A543" s="3192"/>
      <c r="B543" s="3193"/>
      <c r="C543" s="3193"/>
      <c r="D543" s="3188"/>
      <c r="E543" s="3194">
        <f t="shared" si="352"/>
        <v>0</v>
      </c>
      <c r="F543" s="3195"/>
      <c r="G543" s="3196">
        <f t="shared" si="353"/>
        <v>0</v>
      </c>
      <c r="H543" s="3197">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4">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64">
        <f t="shared" si="356"/>
        <v>0</v>
      </c>
      <c r="AW543" s="464">
        <f t="shared" si="357"/>
        <v>0</v>
      </c>
      <c r="AX543" s="464">
        <f t="shared" si="358"/>
        <v>0</v>
      </c>
      <c r="AY543" s="3261">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6">
        <f t="shared" si="380"/>
        <v>0</v>
      </c>
    </row>
    <row r="544" spans="1:72">
      <c r="A544" s="3192"/>
      <c r="B544" s="3193"/>
      <c r="C544" s="3193"/>
      <c r="D544" s="3188"/>
      <c r="E544" s="3194">
        <f t="shared" si="352"/>
        <v>0</v>
      </c>
      <c r="F544" s="3195"/>
      <c r="G544" s="3196">
        <f t="shared" si="353"/>
        <v>0</v>
      </c>
      <c r="H544" s="3197">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4">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64">
        <f t="shared" si="356"/>
        <v>0</v>
      </c>
      <c r="AW544" s="464">
        <f t="shared" si="357"/>
        <v>0</v>
      </c>
      <c r="AX544" s="464">
        <f t="shared" si="358"/>
        <v>0</v>
      </c>
      <c r="AY544" s="3261">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6">
        <f t="shared" si="380"/>
        <v>0</v>
      </c>
    </row>
    <row r="545" spans="1:72">
      <c r="A545" s="3192"/>
      <c r="B545" s="3193"/>
      <c r="C545" s="3193"/>
      <c r="D545" s="3188"/>
      <c r="E545" s="3194">
        <f t="shared" si="352"/>
        <v>0</v>
      </c>
      <c r="F545" s="3195"/>
      <c r="G545" s="3196">
        <f t="shared" si="353"/>
        <v>0</v>
      </c>
      <c r="H545" s="3197">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4">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64">
        <f t="shared" si="356"/>
        <v>0</v>
      </c>
      <c r="AW545" s="464">
        <f t="shared" si="357"/>
        <v>0</v>
      </c>
      <c r="AX545" s="464">
        <f t="shared" si="358"/>
        <v>0</v>
      </c>
      <c r="AY545" s="3261">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6">
        <f t="shared" si="380"/>
        <v>0</v>
      </c>
    </row>
    <row r="546" spans="1:72">
      <c r="A546" s="3192"/>
      <c r="B546" s="3193"/>
      <c r="C546" s="3193"/>
      <c r="D546" s="3188"/>
      <c r="E546" s="3194">
        <f t="shared" si="352"/>
        <v>0</v>
      </c>
      <c r="F546" s="3195"/>
      <c r="G546" s="3196">
        <f t="shared" si="353"/>
        <v>0</v>
      </c>
      <c r="H546" s="3197">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4">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64">
        <f t="shared" si="356"/>
        <v>0</v>
      </c>
      <c r="AW546" s="464">
        <f t="shared" si="357"/>
        <v>0</v>
      </c>
      <c r="AX546" s="464">
        <f t="shared" si="358"/>
        <v>0</v>
      </c>
      <c r="AY546" s="3261">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6">
        <f t="shared" si="380"/>
        <v>0</v>
      </c>
    </row>
    <row r="547" spans="1:72">
      <c r="A547" s="3192"/>
      <c r="B547" s="3193"/>
      <c r="C547" s="3193"/>
      <c r="D547" s="3188"/>
      <c r="E547" s="3194">
        <f t="shared" si="352"/>
        <v>0</v>
      </c>
      <c r="F547" s="3195"/>
      <c r="G547" s="3196">
        <f t="shared" si="353"/>
        <v>0</v>
      </c>
      <c r="H547" s="3197">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4">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64">
        <f t="shared" si="356"/>
        <v>0</v>
      </c>
      <c r="AW547" s="464">
        <f t="shared" si="357"/>
        <v>0</v>
      </c>
      <c r="AX547" s="464">
        <f t="shared" si="358"/>
        <v>0</v>
      </c>
      <c r="AY547" s="3261">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6">
        <f t="shared" si="380"/>
        <v>0</v>
      </c>
    </row>
    <row r="548" spans="1:72">
      <c r="A548" s="3192"/>
      <c r="B548" s="3193"/>
      <c r="C548" s="3193"/>
      <c r="D548" s="3188"/>
      <c r="E548" s="3194">
        <f t="shared" si="352"/>
        <v>0</v>
      </c>
      <c r="F548" s="3195"/>
      <c r="G548" s="3196">
        <f t="shared" si="353"/>
        <v>0</v>
      </c>
      <c r="H548" s="3197">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4">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64">
        <f t="shared" si="356"/>
        <v>0</v>
      </c>
      <c r="AW548" s="464">
        <f t="shared" si="357"/>
        <v>0</v>
      </c>
      <c r="AX548" s="464">
        <f t="shared" si="358"/>
        <v>0</v>
      </c>
      <c r="AY548" s="3261">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6">
        <f t="shared" si="380"/>
        <v>0</v>
      </c>
    </row>
    <row r="549" spans="1:72">
      <c r="A549" s="3192"/>
      <c r="B549" s="3193"/>
      <c r="C549" s="3193"/>
      <c r="D549" s="3188"/>
      <c r="E549" s="3194">
        <f t="shared" si="352"/>
        <v>0</v>
      </c>
      <c r="F549" s="3195"/>
      <c r="G549" s="3196">
        <f t="shared" si="353"/>
        <v>0</v>
      </c>
      <c r="H549" s="3197">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4">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64">
        <f t="shared" si="356"/>
        <v>0</v>
      </c>
      <c r="AW549" s="464">
        <f t="shared" si="357"/>
        <v>0</v>
      </c>
      <c r="AX549" s="464">
        <f t="shared" si="358"/>
        <v>0</v>
      </c>
      <c r="AY549" s="3261">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6">
        <f t="shared" si="380"/>
        <v>0</v>
      </c>
    </row>
    <row r="550" spans="1:72">
      <c r="A550" s="3192"/>
      <c r="B550" s="3193"/>
      <c r="C550" s="3193"/>
      <c r="D550" s="3188"/>
      <c r="E550" s="3194">
        <f t="shared" si="352"/>
        <v>0</v>
      </c>
      <c r="F550" s="3195"/>
      <c r="G550" s="3196">
        <f t="shared" si="353"/>
        <v>0</v>
      </c>
      <c r="H550" s="3197">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4">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64">
        <f t="shared" si="356"/>
        <v>0</v>
      </c>
      <c r="AW550" s="464">
        <f t="shared" si="357"/>
        <v>0</v>
      </c>
      <c r="AX550" s="464">
        <f t="shared" si="358"/>
        <v>0</v>
      </c>
      <c r="AY550" s="3261">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6">
        <f t="shared" si="380"/>
        <v>0</v>
      </c>
    </row>
    <row r="551" spans="1:72">
      <c r="A551" s="3192"/>
      <c r="B551" s="3193"/>
      <c r="C551" s="3193"/>
      <c r="D551" s="3188"/>
      <c r="E551" s="3194">
        <f t="shared" si="352"/>
        <v>0</v>
      </c>
      <c r="F551" s="3195"/>
      <c r="G551" s="3196">
        <f t="shared" si="353"/>
        <v>0</v>
      </c>
      <c r="H551" s="3197">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4">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64">
        <f t="shared" si="356"/>
        <v>0</v>
      </c>
      <c r="AW551" s="464">
        <f t="shared" si="357"/>
        <v>0</v>
      </c>
      <c r="AX551" s="464">
        <f t="shared" si="358"/>
        <v>0</v>
      </c>
      <c r="AY551" s="3261">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6">
        <f t="shared" si="380"/>
        <v>0</v>
      </c>
    </row>
    <row r="552" spans="1:72">
      <c r="A552" s="3192"/>
      <c r="B552" s="3193"/>
      <c r="C552" s="3193"/>
      <c r="D552" s="3188"/>
      <c r="E552" s="3194">
        <f t="shared" si="352"/>
        <v>0</v>
      </c>
      <c r="F552" s="3195"/>
      <c r="G552" s="3196">
        <f t="shared" si="353"/>
        <v>0</v>
      </c>
      <c r="H552" s="3197">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4">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64">
        <f t="shared" si="356"/>
        <v>0</v>
      </c>
      <c r="AW552" s="464">
        <f t="shared" si="357"/>
        <v>0</v>
      </c>
      <c r="AX552" s="464">
        <f t="shared" si="358"/>
        <v>0</v>
      </c>
      <c r="AY552" s="3261">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6">
        <f t="shared" si="380"/>
        <v>0</v>
      </c>
    </row>
    <row r="553" spans="1:72">
      <c r="A553" s="3192"/>
      <c r="B553" s="3193"/>
      <c r="C553" s="3193"/>
      <c r="D553" s="3188"/>
      <c r="E553" s="3194">
        <f t="shared" si="352"/>
        <v>0</v>
      </c>
      <c r="F553" s="3195"/>
      <c r="G553" s="3196">
        <f t="shared" si="353"/>
        <v>0</v>
      </c>
      <c r="H553" s="3197">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4">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64">
        <f t="shared" si="356"/>
        <v>0</v>
      </c>
      <c r="AW553" s="464">
        <f t="shared" si="357"/>
        <v>0</v>
      </c>
      <c r="AX553" s="464">
        <f t="shared" si="358"/>
        <v>0</v>
      </c>
      <c r="AY553" s="3261">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6">
        <f t="shared" si="380"/>
        <v>0</v>
      </c>
    </row>
    <row r="554" spans="1:72">
      <c r="A554" s="3192"/>
      <c r="B554" s="3193"/>
      <c r="C554" s="3193"/>
      <c r="D554" s="3188"/>
      <c r="E554" s="3194">
        <f t="shared" si="352"/>
        <v>0</v>
      </c>
      <c r="F554" s="3195"/>
      <c r="G554" s="3196">
        <f t="shared" si="353"/>
        <v>0</v>
      </c>
      <c r="H554" s="3197">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4">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64">
        <f t="shared" si="356"/>
        <v>0</v>
      </c>
      <c r="AW554" s="464">
        <f t="shared" si="357"/>
        <v>0</v>
      </c>
      <c r="AX554" s="464">
        <f t="shared" si="358"/>
        <v>0</v>
      </c>
      <c r="AY554" s="3261">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6">
        <f t="shared" si="380"/>
        <v>0</v>
      </c>
    </row>
    <row r="555" spans="1:72">
      <c r="A555" s="3192"/>
      <c r="B555" s="3193"/>
      <c r="C555" s="3193"/>
      <c r="D555" s="3188"/>
      <c r="E555" s="3194">
        <f t="shared" si="352"/>
        <v>0</v>
      </c>
      <c r="F555" s="3195"/>
      <c r="G555" s="3196">
        <f t="shared" si="353"/>
        <v>0</v>
      </c>
      <c r="H555" s="3197">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4">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64">
        <f t="shared" si="356"/>
        <v>0</v>
      </c>
      <c r="AW555" s="464">
        <f t="shared" si="357"/>
        <v>0</v>
      </c>
      <c r="AX555" s="464">
        <f t="shared" si="358"/>
        <v>0</v>
      </c>
      <c r="AY555" s="3261">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6">
        <f t="shared" si="380"/>
        <v>0</v>
      </c>
    </row>
    <row r="556" spans="1:72">
      <c r="A556" s="3192"/>
      <c r="B556" s="3193"/>
      <c r="C556" s="3193"/>
      <c r="D556" s="3188"/>
      <c r="E556" s="3194">
        <f t="shared" si="352"/>
        <v>0</v>
      </c>
      <c r="F556" s="3195"/>
      <c r="G556" s="3196">
        <f t="shared" si="353"/>
        <v>0</v>
      </c>
      <c r="H556" s="3197">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4">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64">
        <f t="shared" si="356"/>
        <v>0</v>
      </c>
      <c r="AW556" s="464">
        <f t="shared" si="357"/>
        <v>0</v>
      </c>
      <c r="AX556" s="464">
        <f t="shared" si="358"/>
        <v>0</v>
      </c>
      <c r="AY556" s="3261">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6">
        <f t="shared" si="380"/>
        <v>0</v>
      </c>
    </row>
    <row r="557" spans="1:72">
      <c r="A557" s="3192"/>
      <c r="B557" s="3193"/>
      <c r="C557" s="3193"/>
      <c r="D557" s="3188"/>
      <c r="E557" s="3194">
        <f t="shared" si="352"/>
        <v>0</v>
      </c>
      <c r="F557" s="3195"/>
      <c r="G557" s="3196">
        <f t="shared" si="353"/>
        <v>0</v>
      </c>
      <c r="H557" s="3197">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4">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64">
        <f t="shared" si="356"/>
        <v>0</v>
      </c>
      <c r="AW557" s="464">
        <f t="shared" si="357"/>
        <v>0</v>
      </c>
      <c r="AX557" s="464">
        <f t="shared" si="358"/>
        <v>0</v>
      </c>
      <c r="AY557" s="3261">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6">
        <f t="shared" si="380"/>
        <v>0</v>
      </c>
    </row>
    <row r="558" spans="1:72">
      <c r="A558" s="3192"/>
      <c r="B558" s="3193"/>
      <c r="C558" s="3193"/>
      <c r="D558" s="3188"/>
      <c r="E558" s="3194">
        <f t="shared" si="352"/>
        <v>0</v>
      </c>
      <c r="F558" s="3195"/>
      <c r="G558" s="3196">
        <f t="shared" si="353"/>
        <v>0</v>
      </c>
      <c r="H558" s="3197">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4">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64">
        <f t="shared" si="356"/>
        <v>0</v>
      </c>
      <c r="AW558" s="464">
        <f t="shared" si="357"/>
        <v>0</v>
      </c>
      <c r="AX558" s="464">
        <f t="shared" si="358"/>
        <v>0</v>
      </c>
      <c r="AY558" s="3261">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6">
        <f t="shared" si="380"/>
        <v>0</v>
      </c>
    </row>
    <row r="559" spans="1:72">
      <c r="A559" s="3192"/>
      <c r="B559" s="3193"/>
      <c r="C559" s="3193"/>
      <c r="D559" s="3188"/>
      <c r="E559" s="3194">
        <f t="shared" si="352"/>
        <v>0</v>
      </c>
      <c r="F559" s="3195"/>
      <c r="G559" s="3196">
        <f t="shared" si="353"/>
        <v>0</v>
      </c>
      <c r="H559" s="3197">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4">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64">
        <f t="shared" si="356"/>
        <v>0</v>
      </c>
      <c r="AW559" s="464">
        <f t="shared" si="357"/>
        <v>0</v>
      </c>
      <c r="AX559" s="464">
        <f t="shared" si="358"/>
        <v>0</v>
      </c>
      <c r="AY559" s="3261">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6">
        <f t="shared" si="380"/>
        <v>0</v>
      </c>
    </row>
    <row r="560" spans="1:72">
      <c r="A560" s="3192"/>
      <c r="B560" s="3193"/>
      <c r="C560" s="3193"/>
      <c r="D560" s="3188"/>
      <c r="E560" s="3194">
        <f t="shared" si="352"/>
        <v>0</v>
      </c>
      <c r="F560" s="3195"/>
      <c r="G560" s="3196">
        <f t="shared" si="353"/>
        <v>0</v>
      </c>
      <c r="H560" s="3197">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4">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64">
        <f t="shared" si="356"/>
        <v>0</v>
      </c>
      <c r="AW560" s="464">
        <f t="shared" si="357"/>
        <v>0</v>
      </c>
      <c r="AX560" s="464">
        <f t="shared" si="358"/>
        <v>0</v>
      </c>
      <c r="AY560" s="3261">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6">
        <f t="shared" si="380"/>
        <v>0</v>
      </c>
    </row>
    <row r="561" spans="1:72">
      <c r="A561" s="3192"/>
      <c r="B561" s="3193"/>
      <c r="C561" s="3193"/>
      <c r="D561" s="3188"/>
      <c r="E561" s="3194">
        <f t="shared" si="352"/>
        <v>0</v>
      </c>
      <c r="F561" s="3195"/>
      <c r="G561" s="3196">
        <f t="shared" si="353"/>
        <v>0</v>
      </c>
      <c r="H561" s="3197">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4">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64">
        <f t="shared" si="356"/>
        <v>0</v>
      </c>
      <c r="AW561" s="464">
        <f t="shared" si="357"/>
        <v>0</v>
      </c>
      <c r="AX561" s="464">
        <f t="shared" si="358"/>
        <v>0</v>
      </c>
      <c r="AY561" s="3261">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6">
        <f t="shared" si="380"/>
        <v>0</v>
      </c>
    </row>
    <row r="562" spans="1:72">
      <c r="A562" s="3192"/>
      <c r="B562" s="3193"/>
      <c r="C562" s="3193"/>
      <c r="D562" s="3188"/>
      <c r="E562" s="3194">
        <f t="shared" si="352"/>
        <v>0</v>
      </c>
      <c r="F562" s="3195"/>
      <c r="G562" s="3196">
        <f t="shared" si="353"/>
        <v>0</v>
      </c>
      <c r="H562" s="3197">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4">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64">
        <f t="shared" si="356"/>
        <v>0</v>
      </c>
      <c r="AW562" s="464">
        <f t="shared" si="357"/>
        <v>0</v>
      </c>
      <c r="AX562" s="464">
        <f t="shared" si="358"/>
        <v>0</v>
      </c>
      <c r="AY562" s="3261">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6">
        <f t="shared" si="380"/>
        <v>0</v>
      </c>
    </row>
    <row r="563" spans="1:72">
      <c r="A563" s="3192"/>
      <c r="B563" s="3193"/>
      <c r="C563" s="3193"/>
      <c r="D563" s="3188"/>
      <c r="E563" s="3194">
        <f t="shared" si="352"/>
        <v>0</v>
      </c>
      <c r="F563" s="3195"/>
      <c r="G563" s="3196">
        <f t="shared" si="353"/>
        <v>0</v>
      </c>
      <c r="H563" s="3197">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4">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64">
        <f t="shared" si="356"/>
        <v>0</v>
      </c>
      <c r="AW563" s="464">
        <f t="shared" si="357"/>
        <v>0</v>
      </c>
      <c r="AX563" s="464">
        <f t="shared" si="358"/>
        <v>0</v>
      </c>
      <c r="AY563" s="3261">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6">
        <f t="shared" si="380"/>
        <v>0</v>
      </c>
    </row>
    <row r="564" spans="1:72">
      <c r="A564" s="3192"/>
      <c r="B564" s="3193"/>
      <c r="C564" s="3193"/>
      <c r="D564" s="3188"/>
      <c r="E564" s="3194">
        <f t="shared" si="352"/>
        <v>0</v>
      </c>
      <c r="F564" s="3195"/>
      <c r="G564" s="3196">
        <f t="shared" si="353"/>
        <v>0</v>
      </c>
      <c r="H564" s="3197">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4">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64">
        <f t="shared" si="356"/>
        <v>0</v>
      </c>
      <c r="AW564" s="464">
        <f t="shared" si="357"/>
        <v>0</v>
      </c>
      <c r="AX564" s="464">
        <f t="shared" si="358"/>
        <v>0</v>
      </c>
      <c r="AY564" s="3261">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6">
        <f t="shared" si="380"/>
        <v>0</v>
      </c>
    </row>
    <row r="565" spans="1:72">
      <c r="A565" s="3192"/>
      <c r="B565" s="3193"/>
      <c r="C565" s="3193"/>
      <c r="D565" s="3188"/>
      <c r="E565" s="3194">
        <f t="shared" si="352"/>
        <v>0</v>
      </c>
      <c r="F565" s="3195"/>
      <c r="G565" s="3196">
        <f t="shared" si="353"/>
        <v>0</v>
      </c>
      <c r="H565" s="3197">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4">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64">
        <f t="shared" si="356"/>
        <v>0</v>
      </c>
      <c r="AW565" s="464">
        <f t="shared" si="357"/>
        <v>0</v>
      </c>
      <c r="AX565" s="464">
        <f t="shared" si="358"/>
        <v>0</v>
      </c>
      <c r="AY565" s="3261">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6">
        <f t="shared" si="380"/>
        <v>0</v>
      </c>
    </row>
    <row r="566" spans="1:72">
      <c r="A566" s="3192"/>
      <c r="B566" s="3193"/>
      <c r="C566" s="3193"/>
      <c r="D566" s="3188"/>
      <c r="E566" s="3194">
        <f t="shared" si="352"/>
        <v>0</v>
      </c>
      <c r="F566" s="3195"/>
      <c r="G566" s="3196">
        <f t="shared" si="353"/>
        <v>0</v>
      </c>
      <c r="H566" s="3197">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4">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64">
        <f t="shared" si="356"/>
        <v>0</v>
      </c>
      <c r="AW566" s="464">
        <f t="shared" si="357"/>
        <v>0</v>
      </c>
      <c r="AX566" s="464">
        <f t="shared" si="358"/>
        <v>0</v>
      </c>
      <c r="AY566" s="3261">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6">
        <f t="shared" si="380"/>
        <v>0</v>
      </c>
    </row>
    <row r="567" spans="1:72">
      <c r="A567" s="3192"/>
      <c r="B567" s="3193"/>
      <c r="C567" s="3193"/>
      <c r="D567" s="3188"/>
      <c r="E567" s="3194">
        <f t="shared" si="352"/>
        <v>0</v>
      </c>
      <c r="F567" s="3195"/>
      <c r="G567" s="3196">
        <f t="shared" si="353"/>
        <v>0</v>
      </c>
      <c r="H567" s="3197">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4">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64">
        <f t="shared" si="356"/>
        <v>0</v>
      </c>
      <c r="AW567" s="464">
        <f t="shared" si="357"/>
        <v>0</v>
      </c>
      <c r="AX567" s="464">
        <f t="shared" si="358"/>
        <v>0</v>
      </c>
      <c r="AY567" s="3261">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6">
        <f t="shared" si="380"/>
        <v>0</v>
      </c>
    </row>
    <row r="568" spans="1:72">
      <c r="A568" s="3192"/>
      <c r="B568" s="3193"/>
      <c r="C568" s="3193"/>
      <c r="D568" s="3188"/>
      <c r="E568" s="3194">
        <f t="shared" si="352"/>
        <v>0</v>
      </c>
      <c r="F568" s="3195"/>
      <c r="G568" s="3196">
        <f t="shared" si="353"/>
        <v>0</v>
      </c>
      <c r="H568" s="3197">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4">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64">
        <f t="shared" si="356"/>
        <v>0</v>
      </c>
      <c r="AW568" s="464">
        <f t="shared" si="357"/>
        <v>0</v>
      </c>
      <c r="AX568" s="464">
        <f t="shared" si="358"/>
        <v>0</v>
      </c>
      <c r="AY568" s="3261">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6">
        <f t="shared" si="380"/>
        <v>0</v>
      </c>
    </row>
    <row r="569" spans="1:72">
      <c r="A569" s="3192"/>
      <c r="B569" s="3193"/>
      <c r="C569" s="3193"/>
      <c r="D569" s="3188"/>
      <c r="E569" s="3194">
        <f t="shared" si="352"/>
        <v>0</v>
      </c>
      <c r="F569" s="3195"/>
      <c r="G569" s="3196">
        <f t="shared" si="353"/>
        <v>0</v>
      </c>
      <c r="H569" s="3197">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4">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64">
        <f t="shared" si="356"/>
        <v>0</v>
      </c>
      <c r="AW569" s="464">
        <f t="shared" si="357"/>
        <v>0</v>
      </c>
      <c r="AX569" s="464">
        <f t="shared" si="358"/>
        <v>0</v>
      </c>
      <c r="AY569" s="3261">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6">
        <f t="shared" si="380"/>
        <v>0</v>
      </c>
    </row>
    <row r="570" spans="1:72">
      <c r="A570" s="3192"/>
      <c r="B570" s="3192"/>
      <c r="C570" s="3192"/>
      <c r="D570" s="3188"/>
      <c r="E570" s="3194">
        <f t="shared" si="352"/>
        <v>0</v>
      </c>
      <c r="F570" s="3267"/>
      <c r="G570" s="3196">
        <f t="shared" si="353"/>
        <v>0</v>
      </c>
      <c r="H570" s="3197">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4">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64">
        <f t="shared" si="356"/>
        <v>0</v>
      </c>
      <c r="AW570" s="464">
        <f t="shared" si="357"/>
        <v>0</v>
      </c>
      <c r="AX570" s="464">
        <f t="shared" si="358"/>
        <v>0</v>
      </c>
      <c r="AY570" s="3261">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6">
        <f t="shared" si="380"/>
        <v>0</v>
      </c>
    </row>
    <row r="571" spans="1:72">
      <c r="A571" s="3192"/>
      <c r="B571" s="3192"/>
      <c r="C571" s="3192"/>
      <c r="D571" s="3188"/>
      <c r="E571" s="3194">
        <f t="shared" si="352"/>
        <v>0</v>
      </c>
      <c r="F571" s="3267"/>
      <c r="G571" s="3196">
        <f t="shared" si="353"/>
        <v>0</v>
      </c>
      <c r="H571" s="3197">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4">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64">
        <f t="shared" si="356"/>
        <v>0</v>
      </c>
      <c r="AW571" s="464">
        <f t="shared" si="357"/>
        <v>0</v>
      </c>
      <c r="AX571" s="464">
        <f t="shared" si="358"/>
        <v>0</v>
      </c>
      <c r="AY571" s="3261">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6">
        <f t="shared" si="380"/>
        <v>0</v>
      </c>
    </row>
    <row r="572" spans="1:72">
      <c r="A572" s="3192"/>
      <c r="B572" s="3192"/>
      <c r="C572" s="3192"/>
      <c r="D572" s="3188"/>
      <c r="E572" s="3194">
        <f t="shared" si="352"/>
        <v>0</v>
      </c>
      <c r="F572" s="3267"/>
      <c r="G572" s="3196">
        <f t="shared" si="353"/>
        <v>0</v>
      </c>
      <c r="H572" s="3197">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4">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64">
        <f t="shared" si="356"/>
        <v>0</v>
      </c>
      <c r="AW572" s="464">
        <f t="shared" si="357"/>
        <v>0</v>
      </c>
      <c r="AX572" s="464">
        <f t="shared" si="358"/>
        <v>0</v>
      </c>
      <c r="AY572" s="3261">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6">
        <f t="shared" si="380"/>
        <v>0</v>
      </c>
    </row>
    <row r="573" spans="1:72" s="3161" customFormat="1">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pans="1:72" s="3162" customFormat="1">
      <c r="C574" s="3272"/>
      <c r="D574" s="3272"/>
    </row>
    <row r="575" spans="1:72" s="3162" customFormat="1">
      <c r="C575" s="3272"/>
      <c r="D575" s="3272"/>
    </row>
    <row r="578" spans="2:2">
      <c r="B578" s="3272"/>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E9" sqref="E9"/>
    </sheetView>
  </sheetViews>
  <sheetFormatPr defaultColWidth="9.25" defaultRowHeight="14.25"/>
  <cols>
    <col min="1" max="1" width="8.25" style="3071" customWidth="1"/>
    <col min="2" max="2" width="10.25" style="3071" customWidth="1"/>
    <col min="3" max="3" width="18.5" style="3071" customWidth="1"/>
    <col min="4" max="4" width="11.125" style="3071" customWidth="1"/>
    <col min="5" max="5" width="13.375" style="3071" customWidth="1"/>
    <col min="6" max="8" width="11.5" style="3071" customWidth="1"/>
    <col min="9" max="9" width="10.375" style="3071" customWidth="1"/>
    <col min="10" max="10" width="3.125" style="3071" customWidth="1"/>
    <col min="11" max="16" width="11.625" style="3071" customWidth="1"/>
    <col min="17" max="17" width="3.375" style="3071" customWidth="1"/>
    <col min="18" max="16384" width="9.25" style="3071"/>
  </cols>
  <sheetData>
    <row r="1" spans="1:16" ht="18.75">
      <c r="A1" s="2530" t="s">
        <v>542</v>
      </c>
      <c r="B1" s="3072"/>
      <c r="C1" s="3072"/>
      <c r="D1" s="3072"/>
      <c r="E1" s="3072"/>
      <c r="F1" s="3072"/>
      <c r="G1" s="3072"/>
      <c r="H1" s="3072"/>
      <c r="I1" s="3072"/>
      <c r="J1" s="3072"/>
      <c r="K1" s="3072"/>
      <c r="L1" s="3072"/>
      <c r="M1" s="3072"/>
      <c r="N1" s="3072"/>
      <c r="O1" s="3072"/>
      <c r="P1" s="3072"/>
    </row>
    <row r="2" spans="1:16" ht="15">
      <c r="A2" s="3753" t="s">
        <v>543</v>
      </c>
      <c r="B2" s="3753"/>
      <c r="C2" s="3753"/>
      <c r="D2" s="1021" t="s">
        <v>544</v>
      </c>
      <c r="E2" s="3073" t="s">
        <v>545</v>
      </c>
      <c r="F2" s="3074"/>
      <c r="G2" s="3075"/>
      <c r="H2" s="3076"/>
      <c r="I2" s="3133" t="s">
        <v>546</v>
      </c>
      <c r="J2" s="3074"/>
      <c r="K2" s="3074"/>
      <c r="L2" s="3074"/>
      <c r="M2" s="3074"/>
      <c r="N2" s="3074"/>
      <c r="O2" s="3074"/>
      <c r="P2" s="3074"/>
    </row>
    <row r="3" spans="1:16" ht="15">
      <c r="A3" s="3754" t="s">
        <v>547</v>
      </c>
      <c r="B3" s="3754"/>
      <c r="C3" s="3754"/>
      <c r="D3" s="3077">
        <f>'数据-基础表'!AY6</f>
        <v>51570.87</v>
      </c>
      <c r="E3" s="3077">
        <f>'数据-基础表'!AZ5</f>
        <v>173827.12999999998</v>
      </c>
      <c r="F3" s="3074"/>
      <c r="G3" s="2477" t="s">
        <v>548</v>
      </c>
      <c r="H3" s="2473" t="s">
        <v>549</v>
      </c>
      <c r="I3" s="481">
        <f>ROUND('数据-基础表'!B3/'数据-基础表'!A3,2)</f>
        <v>3.37</v>
      </c>
      <c r="J3" s="3074"/>
      <c r="K3" s="3074"/>
      <c r="L3" s="3074"/>
      <c r="M3" s="3074"/>
      <c r="N3" s="3074"/>
      <c r="O3" s="3074"/>
      <c r="P3" s="3074"/>
    </row>
    <row r="4" spans="1:16" ht="15">
      <c r="A4" s="3755"/>
      <c r="B4" s="3756"/>
      <c r="C4" s="3757"/>
      <c r="D4" s="3078" t="s">
        <v>544</v>
      </c>
      <c r="E4" s="3079" t="s">
        <v>545</v>
      </c>
      <c r="F4" s="3074"/>
      <c r="G4" s="3080"/>
      <c r="H4" s="2473" t="s">
        <v>550</v>
      </c>
      <c r="I4" s="481">
        <f>ROUND(SUMIF('数据-基础表'!I9:AS9,"地上",'数据-基础表'!I5:AS5)/'数据-基础表'!A3,2)</f>
        <v>2.2000000000000002</v>
      </c>
      <c r="J4" s="3074"/>
      <c r="K4" s="3074"/>
      <c r="L4" s="3074"/>
      <c r="M4" s="3074"/>
      <c r="N4" s="3074"/>
      <c r="O4" s="3074"/>
      <c r="P4" s="3074"/>
    </row>
    <row r="5" spans="1:16">
      <c r="A5" s="3081" t="s">
        <v>551</v>
      </c>
      <c r="B5" s="3758" t="s">
        <v>241</v>
      </c>
      <c r="C5" s="3758"/>
      <c r="D5" s="3082">
        <f>ROUND($D$3*E5/$E$3,2)</f>
        <v>35360.839999999997</v>
      </c>
      <c r="E5" s="3083">
        <f>SUMIF('数据-基础表'!$11:$11,"住宅",'数据-基础表'!$5:$5)</f>
        <v>119188.85</v>
      </c>
      <c r="F5" s="3074"/>
      <c r="G5" s="2477" t="s">
        <v>552</v>
      </c>
      <c r="H5" s="2473" t="s">
        <v>549</v>
      </c>
      <c r="I5" s="481">
        <f>ROUND(E31/D31,2)</f>
        <v>3.37</v>
      </c>
      <c r="J5" s="3074"/>
      <c r="K5" s="3074"/>
      <c r="L5" s="3074"/>
      <c r="M5" s="3074"/>
      <c r="N5" s="3074"/>
      <c r="O5" s="3074"/>
      <c r="P5" s="3074"/>
    </row>
    <row r="6" spans="1:16">
      <c r="A6" s="3084"/>
      <c r="B6" s="3758" t="s">
        <v>553</v>
      </c>
      <c r="C6" s="3758"/>
      <c r="D6" s="3082">
        <f>ROUND($D$3*E6/$E$3,2)</f>
        <v>16210.03</v>
      </c>
      <c r="E6" s="3083">
        <f>E3-E5</f>
        <v>54638.27999999997</v>
      </c>
      <c r="F6" s="3074"/>
      <c r="G6" s="3080"/>
      <c r="H6" s="2473" t="s">
        <v>550</v>
      </c>
      <c r="I6" s="481">
        <f>ROUND(F31/D31,2)</f>
        <v>2.37</v>
      </c>
      <c r="J6" s="3074"/>
      <c r="K6" s="3074"/>
      <c r="L6" s="3074"/>
      <c r="M6" s="3074"/>
      <c r="N6" s="3074"/>
      <c r="O6" s="3074"/>
      <c r="P6" s="3074"/>
    </row>
    <row r="7" spans="1:16" ht="15">
      <c r="A7" s="3744"/>
      <c r="B7" s="3745"/>
      <c r="C7" s="3746"/>
      <c r="D7" s="3078" t="s">
        <v>544</v>
      </c>
      <c r="E7" s="3085" t="s">
        <v>554</v>
      </c>
      <c r="F7" s="3074"/>
      <c r="G7" s="3086" t="s">
        <v>555</v>
      </c>
      <c r="H7" s="3087"/>
      <c r="I7" s="3134">
        <f>I4</f>
        <v>2.2000000000000002</v>
      </c>
      <c r="J7" s="3074"/>
      <c r="K7" s="3074"/>
      <c r="L7" s="3074"/>
      <c r="M7" s="3074"/>
      <c r="N7" s="3074"/>
      <c r="O7" s="3074"/>
      <c r="P7" s="3074"/>
    </row>
    <row r="8" spans="1:16">
      <c r="A8" s="3081" t="s">
        <v>556</v>
      </c>
      <c r="B8" s="3088" t="s">
        <v>557</v>
      </c>
      <c r="C8" s="3082" t="s">
        <v>558</v>
      </c>
      <c r="D8" s="3082">
        <f t="shared" ref="D8:D15" si="0">ROUND($D$3*E8/$E$3,2)</f>
        <v>35360.839999999997</v>
      </c>
      <c r="E8" s="3089">
        <f>SUMIF('数据-基础表'!BB10:BK10,"地上",'数据-基础表'!BB5:BK5)</f>
        <v>119188.85</v>
      </c>
      <c r="F8" s="3074"/>
      <c r="G8" s="3090"/>
      <c r="H8" s="3090"/>
      <c r="I8" s="3074"/>
      <c r="J8" s="3074"/>
      <c r="K8" s="3074"/>
      <c r="L8" s="3074"/>
      <c r="M8" s="3074"/>
      <c r="N8" s="3074"/>
      <c r="O8" s="3074"/>
      <c r="P8" s="3074"/>
    </row>
    <row r="9" spans="1:16">
      <c r="A9" s="3091"/>
      <c r="B9" s="3092"/>
      <c r="C9" s="3082" t="s">
        <v>559</v>
      </c>
      <c r="D9" s="3082">
        <f t="shared" si="0"/>
        <v>29.79</v>
      </c>
      <c r="E9" s="3093">
        <v>100.4</v>
      </c>
      <c r="F9" s="3074"/>
      <c r="G9" s="3090"/>
      <c r="H9" s="3090"/>
      <c r="I9" s="3074"/>
      <c r="J9" s="3074"/>
      <c r="K9" s="3074"/>
      <c r="L9" s="3074"/>
      <c r="M9" s="3074"/>
      <c r="N9" s="3074"/>
      <c r="O9" s="3074"/>
      <c r="P9" s="3074"/>
    </row>
    <row r="10" spans="1:16">
      <c r="A10" s="3091"/>
      <c r="B10" s="3092"/>
      <c r="C10" s="3082" t="s">
        <v>560</v>
      </c>
      <c r="D10" s="3082">
        <f t="shared" si="0"/>
        <v>0</v>
      </c>
      <c r="E10" s="3089">
        <f>SUMPRODUCT(('数据-基础表'!BB10:BK10="地下")*('数据-基础表'!BB11:BK11="商业")*('数据-基础表'!BB5:BK5))</f>
        <v>0</v>
      </c>
      <c r="F10" s="3074"/>
      <c r="G10" s="3090"/>
      <c r="H10" s="3090"/>
      <c r="I10" s="3074"/>
      <c r="J10" s="3074"/>
      <c r="K10" s="3074"/>
      <c r="L10" s="3074"/>
      <c r="M10" s="3074"/>
      <c r="N10" s="3074"/>
      <c r="O10" s="3074"/>
      <c r="P10" s="3074"/>
    </row>
    <row r="11" spans="1:16">
      <c r="A11" s="3091"/>
      <c r="B11" s="3092"/>
      <c r="C11" s="3094" t="s">
        <v>561</v>
      </c>
      <c r="D11" s="3082">
        <f t="shared" si="0"/>
        <v>17.28</v>
      </c>
      <c r="E11" s="3089">
        <f>SUMPRODUCT(('数据-基础表'!BB10:BK10="地下")*('数据-基础表'!BB11:BK11="办公")*('数据-基础表'!BB5:BK5))+'数据-基础表'!AJ5</f>
        <v>58.24</v>
      </c>
      <c r="F11" s="3074"/>
      <c r="G11" s="3090"/>
      <c r="H11" s="3090"/>
      <c r="I11" s="3074"/>
      <c r="J11" s="3074"/>
      <c r="K11" s="3074"/>
      <c r="L11" s="3074"/>
      <c r="M11" s="3074"/>
      <c r="N11" s="3074"/>
      <c r="O11" s="3074"/>
      <c r="P11" s="3074"/>
    </row>
    <row r="12" spans="1:16">
      <c r="A12" s="3091"/>
      <c r="B12" s="3092"/>
      <c r="C12" s="3082" t="s">
        <v>562</v>
      </c>
      <c r="D12" s="3082">
        <f t="shared" si="0"/>
        <v>0</v>
      </c>
      <c r="E12" s="3089">
        <f>SUMPRODUCT(('数据-基础表'!BB10:BK10="地下")*('数据-基础表'!BB11:BK11="仓储")*('数据-基础表'!BB5:BK5))</f>
        <v>0</v>
      </c>
      <c r="F12" s="3074"/>
      <c r="G12" s="3090"/>
      <c r="H12" s="3090"/>
      <c r="I12" s="3074"/>
      <c r="J12" s="3074"/>
      <c r="K12" s="3074"/>
      <c r="L12" s="3074"/>
      <c r="M12" s="3074"/>
      <c r="N12" s="3074"/>
      <c r="O12" s="3074"/>
      <c r="P12" s="3074"/>
    </row>
    <row r="13" spans="1:16">
      <c r="A13" s="3091"/>
      <c r="B13" s="3092"/>
      <c r="C13" s="3094" t="s">
        <v>563</v>
      </c>
      <c r="D13" s="3082">
        <f t="shared" si="0"/>
        <v>13796.46</v>
      </c>
      <c r="E13" s="3089">
        <f>SUMPRODUCT(('数据-基础表'!BB10:BK10="地下")*('数据-基础表'!BB11:BK11="车库")*('数据-基础表'!BB5:BK5))</f>
        <v>46502.98</v>
      </c>
      <c r="F13" s="3074"/>
      <c r="G13" s="3090"/>
      <c r="H13" s="3090"/>
      <c r="I13" s="3074"/>
      <c r="J13" s="3074"/>
      <c r="K13" s="3074"/>
      <c r="L13" s="3074"/>
      <c r="M13" s="3074"/>
      <c r="N13" s="3074"/>
      <c r="O13" s="3074"/>
      <c r="P13" s="3074"/>
    </row>
    <row r="14" spans="1:16">
      <c r="A14" s="3091"/>
      <c r="B14" s="3092"/>
      <c r="C14" s="3082" t="s">
        <v>564</v>
      </c>
      <c r="D14" s="3082">
        <f t="shared" si="0"/>
        <v>0</v>
      </c>
      <c r="E14" s="3089">
        <f>SUMPRODUCT(('数据-基础表'!BB10:BK10="地下")*('数据-基础表'!BB11:BK11="车库—商业")*('数据-基础表'!BB5:BK5))</f>
        <v>0</v>
      </c>
      <c r="F14" s="3074"/>
      <c r="G14" s="3090"/>
      <c r="H14" s="3090"/>
      <c r="I14" s="3074"/>
      <c r="J14" s="3074"/>
      <c r="K14" s="3074"/>
      <c r="L14" s="3074"/>
      <c r="M14" s="3074"/>
      <c r="N14" s="3074"/>
      <c r="O14" s="3074"/>
      <c r="P14" s="3074"/>
    </row>
    <row r="15" spans="1:16">
      <c r="A15" s="3091"/>
      <c r="B15" s="3092"/>
      <c r="C15" s="3082" t="s">
        <v>565</v>
      </c>
      <c r="D15" s="3082">
        <f t="shared" si="0"/>
        <v>0</v>
      </c>
      <c r="E15" s="3089">
        <f>SUMPRODUCT(('数据-基础表'!BB10:BK10="地下")*('数据-基础表'!BB11:BK11="车库—办公")*('数据-基础表'!BB5:BK5))</f>
        <v>0</v>
      </c>
      <c r="F15" s="3074"/>
      <c r="G15" s="3090"/>
      <c r="H15" s="3090"/>
      <c r="I15" s="3074"/>
      <c r="J15" s="3074"/>
      <c r="K15" s="3074"/>
      <c r="L15" s="3074"/>
      <c r="M15" s="3074"/>
      <c r="N15" s="3074"/>
      <c r="O15" s="3074"/>
      <c r="P15" s="3074"/>
    </row>
    <row r="16" spans="1:16" ht="15">
      <c r="A16" s="3084"/>
      <c r="B16" s="3092"/>
      <c r="C16" s="3088" t="s">
        <v>566</v>
      </c>
      <c r="D16" s="3088">
        <f>SUM(D8:D15)</f>
        <v>49204.369999999995</v>
      </c>
      <c r="E16" s="3095">
        <f>SUM(E8:E15)</f>
        <v>165850.47</v>
      </c>
      <c r="F16" s="3074"/>
      <c r="G16" s="3090"/>
      <c r="H16" s="3096" t="s">
        <v>567</v>
      </c>
      <c r="I16" s="3135"/>
      <c r="J16" s="3072"/>
      <c r="K16" s="3747" t="s">
        <v>568</v>
      </c>
      <c r="L16" s="3748"/>
      <c r="M16" s="3748"/>
      <c r="N16" s="3748"/>
      <c r="O16" s="3748"/>
      <c r="P16" s="3749"/>
    </row>
    <row r="17" spans="1:19" ht="15">
      <c r="A17" s="3039" t="s">
        <v>569</v>
      </c>
      <c r="B17" s="3097" t="s">
        <v>222</v>
      </c>
      <c r="C17" s="3098" t="s">
        <v>464</v>
      </c>
      <c r="D17" s="3078" t="s">
        <v>544</v>
      </c>
      <c r="E17" s="3099" t="s">
        <v>545</v>
      </c>
      <c r="F17" s="3100"/>
      <c r="G17" s="3101"/>
      <c r="H17" s="3102" t="s">
        <v>570</v>
      </c>
      <c r="I17" s="3136" t="s">
        <v>571</v>
      </c>
      <c r="J17" s="3072"/>
      <c r="K17" s="3750" t="s">
        <v>572</v>
      </c>
      <c r="L17" s="3751"/>
      <c r="M17" s="3752"/>
      <c r="N17" s="3750" t="s">
        <v>573</v>
      </c>
      <c r="O17" s="3751"/>
      <c r="P17" s="3752"/>
      <c r="R17" s="3155" t="s">
        <v>574</v>
      </c>
      <c r="S17" s="2461"/>
    </row>
    <row r="18" spans="1:19" ht="15">
      <c r="A18" s="3091"/>
      <c r="B18" s="3103"/>
      <c r="C18" s="3104"/>
      <c r="D18" s="1021"/>
      <c r="E18" s="3105" t="s">
        <v>575</v>
      </c>
      <c r="F18" s="3106" t="s">
        <v>240</v>
      </c>
      <c r="G18" s="3107" t="s">
        <v>264</v>
      </c>
      <c r="H18" s="3046" t="s">
        <v>576</v>
      </c>
      <c r="I18" s="3137" t="s">
        <v>577</v>
      </c>
      <c r="J18" s="3072"/>
      <c r="K18" s="3138" t="s">
        <v>578</v>
      </c>
      <c r="L18" s="3139" t="s">
        <v>579</v>
      </c>
      <c r="M18" s="3140" t="s">
        <v>580</v>
      </c>
      <c r="N18" s="3138" t="s">
        <v>578</v>
      </c>
      <c r="O18" s="3139" t="s">
        <v>579</v>
      </c>
      <c r="P18" s="3140" t="s">
        <v>580</v>
      </c>
      <c r="R18" s="3156" t="s">
        <v>447</v>
      </c>
      <c r="S18" s="3156" t="s">
        <v>444</v>
      </c>
    </row>
    <row r="19" spans="1:19">
      <c r="A19" s="3108"/>
      <c r="B19" s="3088" t="s">
        <v>243</v>
      </c>
      <c r="C19" s="3109" t="s">
        <v>402</v>
      </c>
      <c r="D19" s="3082">
        <f t="shared" ref="D19:D26" si="1">ROUND($D$3*E19/$E$3,2)</f>
        <v>35360.839999999997</v>
      </c>
      <c r="E19" s="3110">
        <f t="shared" ref="E19:E26" si="2">SUM(F19:G19)</f>
        <v>119188.85</v>
      </c>
      <c r="F19" s="3111">
        <f>'数据-基础表'!I13</f>
        <v>119188.85</v>
      </c>
      <c r="G19" s="3112"/>
      <c r="H19" s="3029">
        <f>ROUND($D$3*I19/$E$3,2)</f>
        <v>2095.88</v>
      </c>
      <c r="I19" s="3089">
        <f>IF($I$17="自定义",P19,M19)</f>
        <v>7064.46</v>
      </c>
      <c r="J19" s="3072"/>
      <c r="K19" s="3141">
        <f t="shared" ref="K19:K26" si="3">ROUND(E$28*E19/E$27,2)</f>
        <v>2744.62</v>
      </c>
      <c r="L19" s="2473">
        <f t="shared" ref="L19:L26" si="4">ROUND(IF(COUNTIF(C19,"*住宅*")&gt;0,E$29*E19/E$32,0),2)</f>
        <v>4319.84</v>
      </c>
      <c r="M19" s="3142">
        <f>K19+L19</f>
        <v>7064.46</v>
      </c>
      <c r="N19" s="3143"/>
      <c r="O19" s="3144"/>
      <c r="P19" s="3145">
        <f>N19+O19</f>
        <v>0</v>
      </c>
      <c r="R19" s="2473">
        <f t="shared" ref="R19:S26" si="5">D19+H19</f>
        <v>37456.719999999994</v>
      </c>
      <c r="S19" s="3157">
        <f t="shared" si="5"/>
        <v>126253.31000000001</v>
      </c>
    </row>
    <row r="20" spans="1:19">
      <c r="A20" s="3113"/>
      <c r="B20" s="3088" t="s">
        <v>243</v>
      </c>
      <c r="C20" s="3109" t="s">
        <v>437</v>
      </c>
      <c r="D20" s="3082">
        <f t="shared" si="1"/>
        <v>13796.46</v>
      </c>
      <c r="E20" s="3110">
        <f t="shared" si="2"/>
        <v>46502.98</v>
      </c>
      <c r="F20" s="3111"/>
      <c r="G20" s="3112">
        <f>'数据-基础表'!K13</f>
        <v>46502.98</v>
      </c>
      <c r="H20" s="3029">
        <f t="shared" ref="H20:H26" si="6">ROUND($D$3*I20/$E$3,2)</f>
        <v>317.7</v>
      </c>
      <c r="I20" s="3089">
        <f t="shared" ref="I20:I26" si="7">IF($I$17="自定义",P20,M20)</f>
        <v>1070.8399999999999</v>
      </c>
      <c r="J20" s="3072"/>
      <c r="K20" s="3141">
        <f t="shared" si="3"/>
        <v>1070.8399999999999</v>
      </c>
      <c r="L20" s="2473">
        <f t="shared" si="4"/>
        <v>0</v>
      </c>
      <c r="M20" s="3142">
        <f t="shared" ref="M20:M26" si="8">K20+L20</f>
        <v>1070.8399999999999</v>
      </c>
      <c r="N20" s="3143"/>
      <c r="O20" s="3144"/>
      <c r="P20" s="3145">
        <f t="shared" ref="P20:P26" si="9">N20+O20</f>
        <v>0</v>
      </c>
      <c r="R20" s="2473">
        <f t="shared" si="5"/>
        <v>14114.16</v>
      </c>
      <c r="S20" s="3157">
        <f t="shared" si="5"/>
        <v>47573.82</v>
      </c>
    </row>
    <row r="21" spans="1:19">
      <c r="A21" s="3113"/>
      <c r="B21" s="3088" t="s">
        <v>243</v>
      </c>
      <c r="C21" s="3109"/>
      <c r="D21" s="3082">
        <f t="shared" si="1"/>
        <v>0</v>
      </c>
      <c r="E21" s="3110">
        <f t="shared" si="2"/>
        <v>0</v>
      </c>
      <c r="F21" s="3111"/>
      <c r="G21" s="3112"/>
      <c r="H21" s="3029">
        <f t="shared" si="6"/>
        <v>0</v>
      </c>
      <c r="I21" s="3089">
        <f t="shared" si="7"/>
        <v>0</v>
      </c>
      <c r="J21" s="3072"/>
      <c r="K21" s="3141">
        <f t="shared" si="3"/>
        <v>0</v>
      </c>
      <c r="L21" s="2473">
        <f t="shared" si="4"/>
        <v>0</v>
      </c>
      <c r="M21" s="3142">
        <f t="shared" si="8"/>
        <v>0</v>
      </c>
      <c r="N21" s="3143"/>
      <c r="O21" s="3144"/>
      <c r="P21" s="3145">
        <f t="shared" si="9"/>
        <v>0</v>
      </c>
      <c r="R21" s="2473">
        <f t="shared" si="5"/>
        <v>0</v>
      </c>
      <c r="S21" s="3157">
        <f t="shared" si="5"/>
        <v>0</v>
      </c>
    </row>
    <row r="22" spans="1:19">
      <c r="A22" s="3113"/>
      <c r="B22" s="3088" t="s">
        <v>243</v>
      </c>
      <c r="C22" s="3114"/>
      <c r="D22" s="3082">
        <f t="shared" si="1"/>
        <v>0</v>
      </c>
      <c r="E22" s="3110">
        <f t="shared" si="2"/>
        <v>0</v>
      </c>
      <c r="F22" s="3115"/>
      <c r="G22" s="3116"/>
      <c r="H22" s="3029">
        <f t="shared" si="6"/>
        <v>0</v>
      </c>
      <c r="I22" s="3089">
        <f t="shared" si="7"/>
        <v>0</v>
      </c>
      <c r="J22" s="3072"/>
      <c r="K22" s="3141">
        <f t="shared" si="3"/>
        <v>0</v>
      </c>
      <c r="L22" s="2473">
        <f t="shared" si="4"/>
        <v>0</v>
      </c>
      <c r="M22" s="3142">
        <f t="shared" si="8"/>
        <v>0</v>
      </c>
      <c r="N22" s="3143"/>
      <c r="O22" s="3144"/>
      <c r="P22" s="3145">
        <f t="shared" si="9"/>
        <v>0</v>
      </c>
      <c r="R22" s="2473">
        <f t="shared" si="5"/>
        <v>0</v>
      </c>
      <c r="S22" s="3157">
        <f t="shared" si="5"/>
        <v>0</v>
      </c>
    </row>
    <row r="23" spans="1:19">
      <c r="A23" s="3113"/>
      <c r="B23" s="3088" t="s">
        <v>243</v>
      </c>
      <c r="C23" s="3114"/>
      <c r="D23" s="3082">
        <f t="shared" si="1"/>
        <v>0</v>
      </c>
      <c r="E23" s="3110">
        <f t="shared" si="2"/>
        <v>0</v>
      </c>
      <c r="F23" s="3115"/>
      <c r="G23" s="3116"/>
      <c r="H23" s="3029">
        <f t="shared" si="6"/>
        <v>0</v>
      </c>
      <c r="I23" s="3089">
        <f t="shared" si="7"/>
        <v>0</v>
      </c>
      <c r="J23" s="3072"/>
      <c r="K23" s="3141">
        <f t="shared" si="3"/>
        <v>0</v>
      </c>
      <c r="L23" s="2473">
        <f t="shared" si="4"/>
        <v>0</v>
      </c>
      <c r="M23" s="3142">
        <f t="shared" si="8"/>
        <v>0</v>
      </c>
      <c r="N23" s="3143"/>
      <c r="O23" s="3144"/>
      <c r="P23" s="3145">
        <f t="shared" si="9"/>
        <v>0</v>
      </c>
      <c r="R23" s="2473">
        <f t="shared" si="5"/>
        <v>0</v>
      </c>
      <c r="S23" s="3157">
        <f t="shared" si="5"/>
        <v>0</v>
      </c>
    </row>
    <row r="24" spans="1:19">
      <c r="A24" s="3113"/>
      <c r="B24" s="3088" t="s">
        <v>243</v>
      </c>
      <c r="C24" s="3114"/>
      <c r="D24" s="3082">
        <f t="shared" si="1"/>
        <v>0</v>
      </c>
      <c r="E24" s="3110">
        <f t="shared" si="2"/>
        <v>0</v>
      </c>
      <c r="F24" s="3115"/>
      <c r="G24" s="3116"/>
      <c r="H24" s="3029">
        <f t="shared" si="6"/>
        <v>0</v>
      </c>
      <c r="I24" s="3089">
        <f t="shared" si="7"/>
        <v>0</v>
      </c>
      <c r="J24" s="3072"/>
      <c r="K24" s="3141">
        <f t="shared" si="3"/>
        <v>0</v>
      </c>
      <c r="L24" s="2473">
        <f t="shared" si="4"/>
        <v>0</v>
      </c>
      <c r="M24" s="3142">
        <f t="shared" si="8"/>
        <v>0</v>
      </c>
      <c r="N24" s="3143"/>
      <c r="O24" s="3144"/>
      <c r="P24" s="3145">
        <f t="shared" si="9"/>
        <v>0</v>
      </c>
      <c r="R24" s="2473">
        <f t="shared" si="5"/>
        <v>0</v>
      </c>
      <c r="S24" s="3157">
        <f t="shared" si="5"/>
        <v>0</v>
      </c>
    </row>
    <row r="25" spans="1:19">
      <c r="A25" s="3113"/>
      <c r="B25" s="3088" t="s">
        <v>243</v>
      </c>
      <c r="C25" s="3114"/>
      <c r="D25" s="3082">
        <f t="shared" si="1"/>
        <v>0</v>
      </c>
      <c r="E25" s="3110">
        <f t="shared" si="2"/>
        <v>0</v>
      </c>
      <c r="F25" s="3115"/>
      <c r="G25" s="3116"/>
      <c r="H25" s="3081">
        <f t="shared" si="6"/>
        <v>0</v>
      </c>
      <c r="I25" s="3089">
        <f t="shared" si="7"/>
        <v>0</v>
      </c>
      <c r="J25" s="3072"/>
      <c r="K25" s="3141">
        <f t="shared" si="3"/>
        <v>0</v>
      </c>
      <c r="L25" s="2473">
        <f t="shared" si="4"/>
        <v>0</v>
      </c>
      <c r="M25" s="3142">
        <f t="shared" si="8"/>
        <v>0</v>
      </c>
      <c r="N25" s="3143"/>
      <c r="O25" s="3144"/>
      <c r="P25" s="3145">
        <f t="shared" si="9"/>
        <v>0</v>
      </c>
      <c r="R25" s="2473">
        <f t="shared" si="5"/>
        <v>0</v>
      </c>
      <c r="S25" s="3157">
        <f t="shared" si="5"/>
        <v>0</v>
      </c>
    </row>
    <row r="26" spans="1:19">
      <c r="A26" s="3113"/>
      <c r="B26" s="3088" t="s">
        <v>243</v>
      </c>
      <c r="C26" s="3117"/>
      <c r="D26" s="3082">
        <f t="shared" si="1"/>
        <v>0</v>
      </c>
      <c r="E26" s="3110">
        <f t="shared" si="2"/>
        <v>0</v>
      </c>
      <c r="F26" s="3115"/>
      <c r="G26" s="3116"/>
      <c r="H26" s="3081">
        <f t="shared" si="6"/>
        <v>0</v>
      </c>
      <c r="I26" s="3089">
        <f t="shared" si="7"/>
        <v>0</v>
      </c>
      <c r="J26" s="3072"/>
      <c r="K26" s="3146">
        <f t="shared" si="3"/>
        <v>0</v>
      </c>
      <c r="L26" s="2477">
        <f t="shared" si="4"/>
        <v>0</v>
      </c>
      <c r="M26" s="3122">
        <f t="shared" si="8"/>
        <v>0</v>
      </c>
      <c r="N26" s="3147"/>
      <c r="O26" s="3148"/>
      <c r="P26" s="3149">
        <f t="shared" si="9"/>
        <v>0</v>
      </c>
      <c r="R26" s="2473">
        <f t="shared" si="5"/>
        <v>0</v>
      </c>
      <c r="S26" s="3157">
        <f t="shared" si="5"/>
        <v>0</v>
      </c>
    </row>
    <row r="27" spans="1:19" ht="28.5">
      <c r="A27" s="3113"/>
      <c r="B27" s="3082"/>
      <c r="C27" s="2513" t="s">
        <v>566</v>
      </c>
      <c r="D27" s="3110">
        <f>SUM(D19:D26)</f>
        <v>49157.299999999996</v>
      </c>
      <c r="E27" s="3118">
        <f>IF(SUM(E19:E26)='数据-基础表'!BA5,SUM(E19:E26),IF(F27="地上面积有误","面积有误","地下面积有误"))</f>
        <v>165691.82999999999</v>
      </c>
      <c r="F27" s="3110">
        <f>IF(SUM(F19:F26)=E8,SUM(F19:F26),"地上面积有误")</f>
        <v>119188.85</v>
      </c>
      <c r="G27" s="3083">
        <f>SUM(G19:G26)</f>
        <v>46502.98</v>
      </c>
      <c r="H27" s="3119">
        <f>SUM(H19:H26)</f>
        <v>2413.58</v>
      </c>
      <c r="I27" s="3150">
        <f>SUM(I19:I26)</f>
        <v>8135.3</v>
      </c>
      <c r="J27" s="3072"/>
      <c r="K27" s="3151">
        <f t="shared" ref="K27:P27" si="10">SUM(K19:K26)</f>
        <v>3815.46</v>
      </c>
      <c r="L27" s="3152">
        <f t="shared" si="10"/>
        <v>4319.84</v>
      </c>
      <c r="M27" s="3153">
        <f t="shared" si="10"/>
        <v>8135.3</v>
      </c>
      <c r="N27" s="3151">
        <f t="shared" si="10"/>
        <v>0</v>
      </c>
      <c r="O27" s="3152">
        <f t="shared" si="10"/>
        <v>0</v>
      </c>
      <c r="P27" s="3154">
        <f t="shared" si="10"/>
        <v>0</v>
      </c>
      <c r="R27" s="3158" t="str">
        <f>IF(SUM(R19:R26)=$D$3,SUM(R19:R26),SUM(R19:R26)&amp;"误差"&amp;ROUND(SUM(R19:R26)-$D$3,2))</f>
        <v>51570.88误差0.01</v>
      </c>
      <c r="S27" s="2473">
        <f>IF(SUM(S19:S26)=$E$3,SUM(S19:S26),SUM(S19:S26)&amp;"误差"&amp;ROUND(SUM(S19:S26)-E3,2))</f>
        <v>173827.13</v>
      </c>
    </row>
    <row r="28" spans="1:19">
      <c r="A28" s="3113"/>
      <c r="B28" s="3088" t="s">
        <v>255</v>
      </c>
      <c r="C28" s="3049" t="s">
        <v>581</v>
      </c>
      <c r="D28" s="3082">
        <f>ROUND($D$3*E28/$E$3,2)</f>
        <v>1131.97</v>
      </c>
      <c r="E28" s="3110">
        <f>SUM(F28:G28)</f>
        <v>3815.46</v>
      </c>
      <c r="F28" s="2461">
        <f>'数据-基础表'!BQ5+'数据-基础表'!BS5</f>
        <v>91.63</v>
      </c>
      <c r="G28" s="3120">
        <f>'数据-基础表'!BR5+'数据-基础表'!BT5</f>
        <v>3723.83</v>
      </c>
      <c r="H28" s="3074"/>
      <c r="I28" s="3074"/>
      <c r="J28" s="3074"/>
      <c r="K28" s="3074"/>
      <c r="L28" s="3074"/>
      <c r="M28" s="3074"/>
      <c r="N28" s="3074"/>
      <c r="O28" s="3074"/>
      <c r="P28" s="3074"/>
    </row>
    <row r="29" spans="1:19">
      <c r="A29" s="3113"/>
      <c r="B29" s="3088" t="s">
        <v>255</v>
      </c>
      <c r="C29" s="3121" t="s">
        <v>582</v>
      </c>
      <c r="D29" s="3082">
        <f>ROUND($D$3*E29/$E$3,2)</f>
        <v>1281.6099999999999</v>
      </c>
      <c r="E29" s="3110">
        <f>SUM(F29:G29)</f>
        <v>4319.84</v>
      </c>
      <c r="F29" s="2461">
        <f>'数据-基础表'!BM5+'数据-基础表'!BO5</f>
        <v>2846.36</v>
      </c>
      <c r="G29" s="3122">
        <f>'数据-基础表'!BN5+'数据-基础表'!BP5</f>
        <v>1473.48</v>
      </c>
      <c r="H29" s="3074"/>
      <c r="I29" s="3074"/>
      <c r="J29" s="3074"/>
      <c r="K29" s="3074"/>
      <c r="L29" s="3074"/>
      <c r="M29" s="3074"/>
      <c r="N29" s="3074"/>
      <c r="O29" s="3074"/>
      <c r="P29" s="3074"/>
    </row>
    <row r="30" spans="1:19">
      <c r="A30" s="3113"/>
      <c r="B30" s="3082"/>
      <c r="C30" s="3123" t="s">
        <v>566</v>
      </c>
      <c r="D30" s="3110">
        <f>SUM(D28:D29)</f>
        <v>2413.58</v>
      </c>
      <c r="E30" s="3110">
        <f>SUM(E28:E29)</f>
        <v>8135.3</v>
      </c>
      <c r="F30" s="3110">
        <f>SUM(F28:F29)</f>
        <v>2937.9900000000002</v>
      </c>
      <c r="G30" s="3083">
        <f>SUM(G28:G29)</f>
        <v>5197.3099999999995</v>
      </c>
      <c r="H30" s="3074"/>
      <c r="I30" s="3074"/>
      <c r="J30" s="3074"/>
      <c r="K30" s="3074"/>
      <c r="L30" s="3074"/>
      <c r="M30" s="3074"/>
      <c r="N30" s="3074"/>
      <c r="O30" s="3074"/>
      <c r="P30" s="3074"/>
    </row>
    <row r="31" spans="1:19" ht="32.25" customHeight="1">
      <c r="A31" s="3124"/>
      <c r="B31" s="3125" t="s">
        <v>583</v>
      </c>
      <c r="C31" s="3126" t="s">
        <v>584</v>
      </c>
      <c r="D31" s="3127">
        <f>D27+D30</f>
        <v>51570.879999999997</v>
      </c>
      <c r="E31" s="3127">
        <f>E27+E30</f>
        <v>173827.12999999998</v>
      </c>
      <c r="F31" s="3128">
        <f>F27+F30</f>
        <v>122126.84000000001</v>
      </c>
      <c r="G31" s="3129">
        <f>G27+G30</f>
        <v>51700.29</v>
      </c>
      <c r="H31" s="3074"/>
      <c r="I31" s="3074"/>
      <c r="J31" s="3074"/>
      <c r="K31" s="3074"/>
      <c r="L31" s="3074"/>
      <c r="M31" s="3074"/>
      <c r="N31" s="3074"/>
      <c r="O31" s="3074"/>
      <c r="P31" s="3074"/>
    </row>
    <row r="32" spans="1:19">
      <c r="A32" s="3072"/>
      <c r="B32" s="3130" t="s">
        <v>585</v>
      </c>
      <c r="C32" s="3131"/>
      <c r="D32" s="3080"/>
      <c r="E32" s="3080">
        <f>SUMIF(C19:C26,"*住宅*",E19:E26)</f>
        <v>119188.85</v>
      </c>
      <c r="F32" s="3080"/>
      <c r="G32" s="3080"/>
      <c r="H32" s="3074"/>
      <c r="I32" s="3074"/>
      <c r="J32" s="3074"/>
      <c r="K32" s="3074"/>
      <c r="L32" s="3074"/>
      <c r="M32" s="3074"/>
      <c r="N32" s="3074"/>
      <c r="O32" s="3074"/>
      <c r="P32" s="3074"/>
    </row>
    <row r="33" spans="4:4">
      <c r="D33" s="31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5:AD29"/>
  <sheetViews>
    <sheetView topLeftCell="V7" zoomScale="90" zoomScaleNormal="90" workbookViewId="0">
      <selection activeCell="AD29" sqref="AD29"/>
    </sheetView>
  </sheetViews>
  <sheetFormatPr defaultColWidth="9" defaultRowHeight="13.5"/>
  <cols>
    <col min="15" max="15" width="12.625"/>
    <col min="30" max="30" width="12.625"/>
  </cols>
  <sheetData>
    <row r="25" spans="15:30">
      <c r="O25">
        <f>(1520000000-1344204600)/120514.436+1344204600/122254.44</f>
        <v>12453.847550734499</v>
      </c>
    </row>
    <row r="27" spans="15:30">
      <c r="AD27">
        <f>58355.71/1534</f>
        <v>38.04153194263364</v>
      </c>
    </row>
    <row r="29" spans="15:30">
      <c r="AD29">
        <f>46502.98/38</f>
        <v>1223.7626315789475</v>
      </c>
    </row>
  </sheetData>
  <phoneticPr fontId="248"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C6" activePane="bottomRight" state="frozen"/>
      <selection pane="topRight"/>
      <selection pane="bottomLeft"/>
      <selection pane="bottomRight" activeCell="J30" sqref="J30"/>
    </sheetView>
  </sheetViews>
  <sheetFormatPr defaultColWidth="13.75" defaultRowHeight="12.75"/>
  <cols>
    <col min="1" max="1" width="20.875" style="2876" customWidth="1"/>
    <col min="2" max="3" width="12" style="2877" customWidth="1"/>
    <col min="4" max="4" width="9.125" style="2878" customWidth="1"/>
    <col min="5" max="5" width="15" style="2877" customWidth="1"/>
    <col min="6" max="10" width="8.875" style="2877" customWidth="1"/>
    <col min="11" max="12" width="12.375" style="82" customWidth="1"/>
    <col min="13" max="13" width="8.625" style="2877" customWidth="1"/>
    <col min="14" max="14" width="9.75" style="2877" customWidth="1"/>
    <col min="15" max="16" width="9.625" style="2877" customWidth="1"/>
    <col min="17" max="17" width="10.875" style="2877" customWidth="1"/>
    <col min="18" max="19" width="12.5" style="2877" customWidth="1"/>
    <col min="20" max="20" width="12.125" style="2877" customWidth="1"/>
    <col min="21" max="21" width="7.5" style="2877" customWidth="1"/>
    <col min="22" max="22" width="6.375" style="2877" customWidth="1"/>
    <col min="23" max="24" width="6.75" style="2877" customWidth="1"/>
    <col min="25" max="25" width="8.125" style="2877" customWidth="1"/>
    <col min="26" max="30" width="6.75" style="2877" customWidth="1"/>
    <col min="31" max="31" width="6.5" style="2877" customWidth="1"/>
    <col min="32" max="34" width="7.25" style="2877" customWidth="1"/>
    <col min="35" max="39" width="8" style="2877" customWidth="1"/>
    <col min="40" max="41" width="13.75" style="2875"/>
    <col min="42" max="42" width="13.75" style="2875" customWidth="1"/>
    <col min="43" max="83" width="13.75" style="2875"/>
    <col min="84" max="16384" width="13.75" style="2877"/>
  </cols>
  <sheetData>
    <row r="1" spans="1:83" ht="18.75">
      <c r="A1" s="2879" t="s">
        <v>586</v>
      </c>
      <c r="B1" s="2880"/>
      <c r="C1" s="747"/>
      <c r="D1" s="2881"/>
      <c r="E1" s="747"/>
      <c r="F1" s="747"/>
      <c r="G1" s="747"/>
      <c r="H1" s="747"/>
      <c r="I1" s="747"/>
      <c r="J1" s="747"/>
      <c r="K1" s="123"/>
      <c r="L1" s="123"/>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2920"/>
      <c r="AO1" s="2920"/>
      <c r="AP1" s="2920"/>
      <c r="AQ1" s="2920"/>
      <c r="AR1" s="2920"/>
      <c r="AS1" s="2920"/>
      <c r="AT1" s="2920"/>
      <c r="AU1" s="2920"/>
      <c r="AV1" s="2920"/>
      <c r="AW1" s="2920"/>
      <c r="AX1" s="2920"/>
      <c r="AY1" s="2920"/>
      <c r="AZ1" s="2920"/>
    </row>
    <row r="2" spans="1:83" s="2872" customFormat="1" ht="15">
      <c r="A2" s="2882" t="s">
        <v>587</v>
      </c>
      <c r="B2" s="2883">
        <f>项目基本情况!D3</f>
        <v>45271</v>
      </c>
      <c r="C2" s="2884"/>
      <c r="D2" s="2885"/>
      <c r="E2" s="2884"/>
      <c r="F2" s="2884"/>
      <c r="G2" s="2884"/>
      <c r="H2" s="2884"/>
      <c r="I2" s="2884"/>
      <c r="J2" s="2884"/>
      <c r="K2" s="473"/>
      <c r="L2" s="473"/>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22"/>
      <c r="AO2" s="2922"/>
      <c r="AP2" s="2922"/>
      <c r="AQ2" s="2922"/>
      <c r="AR2" s="2922"/>
      <c r="AS2" s="2922"/>
      <c r="AT2" s="2922"/>
      <c r="AU2" s="2922"/>
      <c r="AV2" s="2922"/>
      <c r="AW2" s="2922"/>
      <c r="AX2" s="2922"/>
      <c r="AY2" s="2922"/>
      <c r="AZ2" s="2922"/>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pans="1:83" s="2872" customFormat="1" ht="14.25">
      <c r="A3" s="2886"/>
      <c r="B3" s="2887"/>
      <c r="C3" s="2884"/>
      <c r="D3" s="2885"/>
      <c r="E3" s="2884"/>
      <c r="F3" s="2884"/>
      <c r="G3" s="2884"/>
      <c r="H3" s="2884"/>
      <c r="I3" s="2884"/>
      <c r="J3" s="2884"/>
      <c r="K3" s="473"/>
      <c r="L3" s="473"/>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22"/>
      <c r="AO3" s="2922"/>
      <c r="AP3" s="2922"/>
      <c r="AQ3" s="2922"/>
      <c r="AR3" s="2922"/>
      <c r="AS3" s="2922"/>
      <c r="AT3" s="2922"/>
      <c r="AU3" s="2922"/>
      <c r="AV3" s="2922"/>
      <c r="AW3" s="2922"/>
      <c r="AX3" s="2922"/>
      <c r="AY3" s="2922"/>
      <c r="AZ3" s="2922"/>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pans="1:83" s="2872" customFormat="1" ht="14.25">
      <c r="A4" s="2888" t="s">
        <v>588</v>
      </c>
      <c r="B4" s="2889"/>
      <c r="C4" s="2890"/>
      <c r="D4" s="2891"/>
      <c r="E4" s="2892" t="s">
        <v>589</v>
      </c>
      <c r="F4" s="2890"/>
      <c r="G4" s="2890"/>
      <c r="H4" s="2890"/>
      <c r="I4" s="2890"/>
      <c r="J4" s="2988"/>
      <c r="K4" s="2989"/>
      <c r="L4" s="2990"/>
      <c r="M4" s="2890"/>
      <c r="N4" s="2892" t="s">
        <v>590</v>
      </c>
      <c r="O4" s="2890"/>
      <c r="P4" s="2890"/>
      <c r="Q4" s="2890"/>
      <c r="R4" s="2890"/>
      <c r="S4" s="2988"/>
      <c r="T4" s="3012" t="str">
        <f>'数据-汇总表'!I17</f>
        <v>按面积比例</v>
      </c>
      <c r="U4" s="2889" t="s">
        <v>591</v>
      </c>
      <c r="V4" s="2890"/>
      <c r="W4" s="2890"/>
      <c r="X4" s="2890"/>
      <c r="Y4" s="2988"/>
      <c r="Z4" s="3038" t="s">
        <v>592</v>
      </c>
      <c r="AA4" s="3038"/>
      <c r="AB4" s="3038"/>
      <c r="AC4" s="3038"/>
      <c r="AD4" s="3038"/>
      <c r="AE4" s="3039" t="s">
        <v>593</v>
      </c>
      <c r="AF4" s="3038"/>
      <c r="AG4" s="3053"/>
      <c r="AH4" s="2889"/>
      <c r="AI4" s="2890"/>
      <c r="AJ4" s="2890"/>
      <c r="AK4" s="2890"/>
      <c r="AL4" s="2890"/>
      <c r="AM4" s="2988"/>
      <c r="AN4" s="2922"/>
      <c r="AO4" s="2922"/>
      <c r="AP4" s="2922"/>
      <c r="AQ4" s="2922"/>
      <c r="AR4" s="2922"/>
      <c r="AS4" s="2922"/>
      <c r="AT4" s="2922"/>
      <c r="AU4" s="2922"/>
      <c r="AV4" s="2922"/>
      <c r="AW4" s="2922"/>
      <c r="AX4" s="2922"/>
      <c r="AY4" s="2922"/>
      <c r="AZ4" s="2922"/>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pans="1:83" s="2873" customFormat="1" ht="40.5">
      <c r="A5" s="2893" t="s">
        <v>464</v>
      </c>
      <c r="B5" s="2894" t="s">
        <v>594</v>
      </c>
      <c r="C5" s="2895" t="s">
        <v>595</v>
      </c>
      <c r="D5" s="2896" t="s">
        <v>596</v>
      </c>
      <c r="E5" s="2897" t="s">
        <v>597</v>
      </c>
      <c r="F5" s="2898" t="s">
        <v>598</v>
      </c>
      <c r="G5" s="2897" t="s">
        <v>599</v>
      </c>
      <c r="H5" s="2897" t="s">
        <v>600</v>
      </c>
      <c r="I5" s="2897" t="s">
        <v>601</v>
      </c>
      <c r="J5" s="2991" t="s">
        <v>602</v>
      </c>
      <c r="K5" s="2992" t="s">
        <v>603</v>
      </c>
      <c r="L5" s="2993" t="s">
        <v>604</v>
      </c>
      <c r="M5" s="2994" t="s">
        <v>605</v>
      </c>
      <c r="N5" s="2995" t="s">
        <v>606</v>
      </c>
      <c r="O5" s="2993" t="s">
        <v>607</v>
      </c>
      <c r="P5" s="2996" t="s">
        <v>608</v>
      </c>
      <c r="Q5" s="258" t="s">
        <v>609</v>
      </c>
      <c r="R5" s="3013" t="s">
        <v>610</v>
      </c>
      <c r="S5" s="3014" t="s">
        <v>611</v>
      </c>
      <c r="T5" s="3015" t="s">
        <v>612</v>
      </c>
      <c r="U5" s="3016" t="s">
        <v>613</v>
      </c>
      <c r="V5" s="2897" t="s">
        <v>614</v>
      </c>
      <c r="W5" s="2897" t="s">
        <v>615</v>
      </c>
      <c r="X5" s="3017"/>
      <c r="Y5" s="603" t="s">
        <v>616</v>
      </c>
      <c r="Z5" s="3040" t="s">
        <v>613</v>
      </c>
      <c r="AA5" s="2897" t="s">
        <v>614</v>
      </c>
      <c r="AB5" s="2897" t="s">
        <v>615</v>
      </c>
      <c r="AC5" s="3041"/>
      <c r="AD5" s="293" t="s">
        <v>616</v>
      </c>
      <c r="AE5" s="3042" t="s">
        <v>617</v>
      </c>
      <c r="AF5" s="2897" t="s">
        <v>618</v>
      </c>
      <c r="AG5" s="603" t="s">
        <v>619</v>
      </c>
      <c r="AH5" s="3041" t="s">
        <v>620</v>
      </c>
      <c r="AI5" s="3040" t="s">
        <v>621</v>
      </c>
      <c r="AJ5" s="3040" t="s">
        <v>622</v>
      </c>
      <c r="AK5" s="2897" t="s">
        <v>623</v>
      </c>
      <c r="AL5" s="2897" t="s">
        <v>624</v>
      </c>
      <c r="AM5" s="293" t="s">
        <v>625</v>
      </c>
      <c r="AN5" s="3054" t="s">
        <v>626</v>
      </c>
      <c r="AO5" s="3066"/>
      <c r="AP5" s="3067" t="s">
        <v>627</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pans="1:83" s="2872" customFormat="1" ht="14.25">
      <c r="A6" s="2899" t="str">
        <f>'数据-汇总表'!C19</f>
        <v>住宅</v>
      </c>
      <c r="B6" s="2900" t="str">
        <f>IF(A6=0,"","经营性")</f>
        <v>经营性</v>
      </c>
      <c r="C6" s="2901" t="s">
        <v>402</v>
      </c>
      <c r="D6" s="2902">
        <f>SUMIF(项目基本情况!C$15:I$15,C6,项目基本情况!C$18:I$18)</f>
        <v>70</v>
      </c>
      <c r="E6" s="2903">
        <f>IF(B6="","",SUMIF(项目基本情况!C$15:I$15,C6,项目基本情况!C$17:I$17))</f>
        <v>70397</v>
      </c>
      <c r="F6" s="2904">
        <f>SUMIF(项目基本情况!C$15:I$15,C6,项目基本情况!C$19:I$19)</f>
        <v>68.83</v>
      </c>
      <c r="G6" s="2905">
        <f t="shared" ref="G6:G13" si="0">IF(ISERROR(ROUND(POWER(1+H6,D6-F6)*(POWER(1+H6,F6)-1)/(POWER(1+H6,D6)-1),3)),0,ROUND(POWER(1+H6,D6-F6)*(POWER(1+H6,F6)-1)/(POWER(1+H6,D6)-1),3))</f>
        <v>0.997</v>
      </c>
      <c r="H6" s="2906">
        <v>0.04</v>
      </c>
      <c r="I6" s="2906">
        <v>4.4999999999999998E-2</v>
      </c>
      <c r="J6" s="2907">
        <v>7.0000000000000007E-2</v>
      </c>
      <c r="K6" s="2997">
        <f>SUMIF('数据-汇总表'!C$19:C$33,'数据-取费表'!A6,'数据-汇总表'!E$19:E$33)</f>
        <v>119188.85</v>
      </c>
      <c r="L6" s="2998">
        <v>5500</v>
      </c>
      <c r="M6" s="2999">
        <f t="shared" ref="M6:M14" si="1">ROUND(K6*L6/10000,0)</f>
        <v>65554</v>
      </c>
      <c r="N6" s="3000">
        <v>0</v>
      </c>
      <c r="O6" s="2999">
        <f>IF($N$5="成新度","——",ROUND(M6*N6,0))</f>
        <v>0</v>
      </c>
      <c r="P6" s="3001">
        <f>IF($N$5="成新度","——",M6-O6)</f>
        <v>65554</v>
      </c>
      <c r="Q6" s="3018">
        <v>0.15</v>
      </c>
      <c r="R6" s="2997">
        <f>SUMIF('数据-汇总表'!C$19:C$33,A6,'数据-汇总表'!R$19:R$33)</f>
        <v>37456.719999999994</v>
      </c>
      <c r="S6" s="3019">
        <f>IF('数据-汇总表'!$I$17="按面积比例",SUMIF('数据-汇总表'!C$19:C$33,A6,'数据-汇总表'!K$19:K$33),SUMIF('数据-汇总表'!C$19:C$33,A6,'数据-汇总表'!N$19:N$33))</f>
        <v>2744.62</v>
      </c>
      <c r="T6" s="3020">
        <f>IF($T$4="按面积比例",IF(ISERROR(ROUND($M$14*S6/S$16,0)),"0",ROUND($M$14*S6/S$16,0)),"需自行计算录入")</f>
        <v>1098</v>
      </c>
      <c r="U6" s="3021"/>
      <c r="V6" s="3022"/>
      <c r="W6" s="3022"/>
      <c r="X6" s="3023"/>
      <c r="Y6" s="3043"/>
      <c r="Z6" s="3044"/>
      <c r="AA6" s="2907"/>
      <c r="AB6" s="2907"/>
      <c r="AC6" s="3026"/>
      <c r="AD6" s="3045"/>
      <c r="AE6" s="3046">
        <f ca="1">IF(AN6="",0,SUMIF(INDIRECT("'"&amp;AN6&amp;"'"&amp;"!E:E"),$AE$5,INDIRECT("'"&amp;AN6&amp;"'"&amp;"!F:F")))</f>
        <v>0</v>
      </c>
      <c r="AF6" s="2458"/>
      <c r="AG6" s="3055">
        <f>IF(AF6="",0,AE6-AF6)</f>
        <v>0</v>
      </c>
      <c r="AH6" s="2458"/>
      <c r="AI6" s="3056"/>
      <c r="AJ6" s="3057"/>
      <c r="AK6" s="3058"/>
      <c r="AL6" s="3059"/>
      <c r="AM6" s="3060"/>
      <c r="AN6" s="3061"/>
      <c r="AO6" s="2922"/>
      <c r="AP6" s="2887">
        <f>ROUND(1-1/(1+H6)^F6,3)</f>
        <v>0.93300000000000005</v>
      </c>
      <c r="AQ6" s="2922"/>
      <c r="AR6" s="2922"/>
      <c r="AS6" s="2922"/>
      <c r="AT6" s="2922"/>
      <c r="AU6" s="2922"/>
      <c r="AV6" s="2922"/>
      <c r="AW6" s="2922"/>
      <c r="AX6" s="2922"/>
      <c r="AY6" s="2922"/>
      <c r="AZ6" s="2922"/>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pans="1:83" s="2872" customFormat="1" ht="14.25">
      <c r="A7" s="2899" t="str">
        <f>'数据-汇总表'!C20</f>
        <v>车库</v>
      </c>
      <c r="B7" s="2900" t="str">
        <f t="shared" ref="B7:B13" si="2">IF(A7=0,"","经营性")</f>
        <v>经营性</v>
      </c>
      <c r="C7" s="2901" t="s">
        <v>437</v>
      </c>
      <c r="D7" s="2902">
        <f>SUMIF(项目基本情况!C$15:I$15,C7,项目基本情况!C$18:I$18)</f>
        <v>50</v>
      </c>
      <c r="E7" s="2903">
        <f>IF(B7="","",SUMIF(项目基本情况!C$15:I$15,C7,项目基本情况!C$17:I$17))</f>
        <v>63092</v>
      </c>
      <c r="F7" s="2904">
        <f>SUMIF(项目基本情况!C$15:I$15,C7,项目基本情况!C$19:I$19)</f>
        <v>48.82</v>
      </c>
      <c r="G7" s="2905">
        <f t="shared" si="0"/>
        <v>0.99299999999999999</v>
      </c>
      <c r="H7" s="2906">
        <v>4.4999999999999998E-2</v>
      </c>
      <c r="I7" s="2906">
        <v>0.05</v>
      </c>
      <c r="J7" s="2907">
        <v>7.0000000000000007E-2</v>
      </c>
      <c r="K7" s="2997">
        <f>SUMIF('数据-汇总表'!C$19:C$33,'数据-取费表'!A7,'数据-汇总表'!E$19:E$33)</f>
        <v>46502.98</v>
      </c>
      <c r="L7" s="2998">
        <v>4000</v>
      </c>
      <c r="M7" s="2999">
        <f t="shared" si="1"/>
        <v>18601</v>
      </c>
      <c r="N7" s="3000">
        <v>0</v>
      </c>
      <c r="O7" s="2999">
        <f t="shared" ref="O7:O14" si="3">IF($N$5="成新度","——",ROUND(M7*N7,0))</f>
        <v>0</v>
      </c>
      <c r="P7" s="3001">
        <f t="shared" ref="P7:P14" si="4">IF($N$5="成新度","——",M7-O7)</f>
        <v>18601</v>
      </c>
      <c r="Q7" s="3018">
        <v>0.05</v>
      </c>
      <c r="R7" s="2997">
        <f>SUMIF('数据-汇总表'!C$19:C$33,A7,'数据-汇总表'!R$19:R$33)</f>
        <v>14114.16</v>
      </c>
      <c r="S7" s="3019">
        <f>IF('数据-汇总表'!$I$17="按面积比例",SUMIF('数据-汇总表'!C$19:C$33,A7,'数据-汇总表'!K$19:K$33),SUMIF('数据-汇总表'!C$19:C$33,A7,'数据-汇总表'!N$19:N$33))</f>
        <v>1070.8399999999999</v>
      </c>
      <c r="T7" s="3020">
        <f t="shared" ref="T7:T13" si="5">IF($T$4="按面积比例",IF(ISERROR(ROUND($M$14*S7/S$16,0)),"0",ROUND($M$14*S7/S$16,0)),"需自行计算录入")</f>
        <v>428</v>
      </c>
      <c r="U7" s="3021"/>
      <c r="V7" s="3022">
        <v>1.4999999999999999E-2</v>
      </c>
      <c r="W7" s="3022">
        <v>0.1</v>
      </c>
      <c r="X7" s="3023"/>
      <c r="Y7" s="3043">
        <v>1</v>
      </c>
      <c r="Z7" s="3044"/>
      <c r="AA7" s="2907"/>
      <c r="AB7" s="2907"/>
      <c r="AC7" s="3026"/>
      <c r="AD7" s="3045"/>
      <c r="AE7" s="3046">
        <f t="shared" ref="AE7:AE13" ca="1" si="6">IF(AN7="",0,SUMIF(INDIRECT("'"&amp;AN7&amp;"'"&amp;"!E:E"),$AE$5,INDIRECT("'"&amp;AN7&amp;"'"&amp;"!F:F")))</f>
        <v>48.82</v>
      </c>
      <c r="AF7" s="2458"/>
      <c r="AG7" s="3055">
        <f t="shared" ref="AG7:AG13" si="7">IF(AF7="",0,AE7-AF7)</f>
        <v>0</v>
      </c>
      <c r="AH7" s="2458">
        <v>1223</v>
      </c>
      <c r="AI7" s="3056">
        <v>12</v>
      </c>
      <c r="AJ7" s="3057"/>
      <c r="AK7" s="3058">
        <v>5.0000000000000001E-3</v>
      </c>
      <c r="AL7" s="3059">
        <v>1.5E-3</v>
      </c>
      <c r="AM7" s="3060">
        <v>0.01</v>
      </c>
      <c r="AN7" s="3061" t="s">
        <v>628</v>
      </c>
      <c r="AO7" s="2922"/>
      <c r="AP7" s="2887">
        <f t="shared" ref="AP7:AP13" si="8">ROUND(1-1/(1+H7)^F7,3)</f>
        <v>0.88300000000000001</v>
      </c>
      <c r="AQ7" s="2922"/>
      <c r="AR7" s="2922"/>
      <c r="AS7" s="2922"/>
      <c r="AT7" s="2922"/>
      <c r="AU7" s="2922"/>
      <c r="AV7" s="2922"/>
      <c r="AW7" s="2922"/>
      <c r="AX7" s="2922"/>
      <c r="AY7" s="2922"/>
      <c r="AZ7" s="2922"/>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pans="1:83" s="2872" customFormat="1" ht="14.25">
      <c r="A8" s="2899">
        <f>'数据-汇总表'!C21</f>
        <v>0</v>
      </c>
      <c r="B8" s="2900" t="str">
        <f t="shared" si="2"/>
        <v/>
      </c>
      <c r="C8" s="2901"/>
      <c r="D8" s="2902">
        <f>SUMIF(项目基本情况!C$15:I$15,C8,项目基本情况!C$18:I$18)</f>
        <v>0</v>
      </c>
      <c r="E8" s="2903" t="str">
        <f>IF(B8="","",SUMIF(项目基本情况!C$15:I$15,C8,项目基本情况!C$17:I$17))</f>
        <v/>
      </c>
      <c r="F8" s="2904">
        <f>SUMIF(项目基本情况!C$15:I$15,C8,项目基本情况!C$19:I$19)</f>
        <v>0</v>
      </c>
      <c r="G8" s="2905">
        <f t="shared" si="0"/>
        <v>0</v>
      </c>
      <c r="H8" s="2906"/>
      <c r="I8" s="2906"/>
      <c r="J8" s="2907"/>
      <c r="K8" s="2997">
        <f>SUMIF('数据-汇总表'!C$19:C$33,'数据-取费表'!A8,'数据-汇总表'!E$19:E$33)</f>
        <v>0</v>
      </c>
      <c r="L8" s="2998"/>
      <c r="M8" s="2999">
        <f t="shared" si="1"/>
        <v>0</v>
      </c>
      <c r="N8" s="3000"/>
      <c r="O8" s="2999">
        <f t="shared" si="3"/>
        <v>0</v>
      </c>
      <c r="P8" s="3001">
        <f t="shared" si="4"/>
        <v>0</v>
      </c>
      <c r="Q8" s="3018"/>
      <c r="R8" s="2997">
        <f>SUMIF('数据-汇总表'!C$19:C$33,A8,'数据-汇总表'!R$19:R$33)</f>
        <v>0</v>
      </c>
      <c r="S8" s="3019">
        <f>IF('数据-汇总表'!$I$17="按面积比例",SUMIF('数据-汇总表'!C$19:C$33,A8,'数据-汇总表'!K$19:K$33),SUMIF('数据-汇总表'!C$19:C$33,A8,'数据-汇总表'!N$19:N$33))</f>
        <v>0</v>
      </c>
      <c r="T8" s="3020">
        <f t="shared" si="5"/>
        <v>0</v>
      </c>
      <c r="U8" s="3021"/>
      <c r="V8" s="3022"/>
      <c r="W8" s="3022"/>
      <c r="X8" s="3023"/>
      <c r="Y8" s="3043"/>
      <c r="Z8" s="3044"/>
      <c r="AA8" s="2907"/>
      <c r="AB8" s="2907"/>
      <c r="AC8" s="3026"/>
      <c r="AD8" s="3045"/>
      <c r="AE8" s="3046">
        <f t="shared" ca="1" si="6"/>
        <v>0</v>
      </c>
      <c r="AF8" s="2458"/>
      <c r="AG8" s="3055">
        <f t="shared" si="7"/>
        <v>0</v>
      </c>
      <c r="AH8" s="2458"/>
      <c r="AI8" s="3056"/>
      <c r="AJ8" s="3057"/>
      <c r="AK8" s="3058"/>
      <c r="AL8" s="3059"/>
      <c r="AM8" s="3060"/>
      <c r="AN8" s="3061"/>
      <c r="AO8" s="2922"/>
      <c r="AP8" s="2887">
        <f t="shared" si="8"/>
        <v>0</v>
      </c>
      <c r="AQ8" s="2922"/>
      <c r="AR8" s="2922"/>
      <c r="AS8" s="2922"/>
      <c r="AT8" s="2922"/>
      <c r="AU8" s="2922"/>
      <c r="AV8" s="2922"/>
      <c r="AW8" s="2922"/>
      <c r="AX8" s="2922"/>
      <c r="AY8" s="2922"/>
      <c r="AZ8" s="2922"/>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pans="1:83" s="2872" customFormat="1" ht="14.25">
      <c r="A9" s="2899">
        <f>'数据-汇总表'!C22</f>
        <v>0</v>
      </c>
      <c r="B9" s="2900" t="str">
        <f t="shared" si="2"/>
        <v/>
      </c>
      <c r="C9" s="2901"/>
      <c r="D9" s="2902">
        <f>SUMIF(项目基本情况!C$15:I$15,C9,项目基本情况!C$18:I$18)</f>
        <v>0</v>
      </c>
      <c r="E9" s="2903" t="str">
        <f>IF(B9="","",SUMIF(项目基本情况!C$15:I$15,C9,项目基本情况!C$17:I$17))</f>
        <v/>
      </c>
      <c r="F9" s="2904">
        <f>SUMIF(项目基本情况!C$15:I$15,C9,项目基本情况!C$19:I$19)</f>
        <v>0</v>
      </c>
      <c r="G9" s="2905">
        <f t="shared" si="0"/>
        <v>0</v>
      </c>
      <c r="H9" s="2907"/>
      <c r="I9" s="2907"/>
      <c r="J9" s="2907"/>
      <c r="K9" s="2997">
        <f>SUMIF('数据-汇总表'!C$19:C$33,'数据-取费表'!A9,'数据-汇总表'!E$19:E$33)</f>
        <v>0</v>
      </c>
      <c r="L9" s="2998"/>
      <c r="M9" s="2999">
        <f t="shared" si="1"/>
        <v>0</v>
      </c>
      <c r="N9" s="3000"/>
      <c r="O9" s="2999">
        <f t="shared" si="3"/>
        <v>0</v>
      </c>
      <c r="P9" s="3001">
        <f t="shared" si="4"/>
        <v>0</v>
      </c>
      <c r="Q9" s="3024"/>
      <c r="R9" s="2997">
        <f>SUMIF('数据-汇总表'!C$19:C$33,A9,'数据-汇总表'!R$19:R$33)</f>
        <v>0</v>
      </c>
      <c r="S9" s="3019">
        <f>IF('数据-汇总表'!$I$17="按面积比例",SUMIF('数据-汇总表'!C$19:C$33,A9,'数据-汇总表'!K$19:K$33),SUMIF('数据-汇总表'!C$19:C$33,A9,'数据-汇总表'!N$19:N$33))</f>
        <v>0</v>
      </c>
      <c r="T9" s="3020">
        <f t="shared" si="5"/>
        <v>0</v>
      </c>
      <c r="U9" s="3021"/>
      <c r="V9" s="3022"/>
      <c r="W9" s="3022"/>
      <c r="X9" s="3023"/>
      <c r="Y9" s="3043"/>
      <c r="Z9" s="3044"/>
      <c r="AA9" s="2907"/>
      <c r="AB9" s="2907"/>
      <c r="AC9" s="3026"/>
      <c r="AD9" s="3045"/>
      <c r="AE9" s="3046">
        <f t="shared" ca="1" si="6"/>
        <v>0</v>
      </c>
      <c r="AF9" s="2458"/>
      <c r="AG9" s="3055">
        <f t="shared" si="7"/>
        <v>0</v>
      </c>
      <c r="AH9" s="2458"/>
      <c r="AI9" s="3056"/>
      <c r="AJ9" s="3057"/>
      <c r="AK9" s="3058"/>
      <c r="AL9" s="3059"/>
      <c r="AM9" s="3060"/>
      <c r="AN9" s="3061"/>
      <c r="AO9" s="2922"/>
      <c r="AP9" s="2887">
        <f t="shared" si="8"/>
        <v>0</v>
      </c>
      <c r="AQ9" s="2922"/>
      <c r="AR9" s="2922"/>
      <c r="AS9" s="2922"/>
      <c r="AT9" s="2922"/>
      <c r="AU9" s="2922"/>
      <c r="AV9" s="2922"/>
      <c r="AW9" s="2922"/>
      <c r="AX9" s="2922"/>
      <c r="AY9" s="2922"/>
      <c r="AZ9" s="2922"/>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pans="1:83" s="2872" customFormat="1" ht="14.25">
      <c r="A10" s="2899">
        <f>'数据-汇总表'!C23</f>
        <v>0</v>
      </c>
      <c r="B10" s="2900" t="str">
        <f t="shared" si="2"/>
        <v/>
      </c>
      <c r="C10" s="2901"/>
      <c r="D10" s="2902">
        <f>SUMIF(项目基本情况!C$15:I$15,C10,项目基本情况!C$18:I$18)</f>
        <v>0</v>
      </c>
      <c r="E10" s="2903" t="str">
        <f>IF(B10="","",SUMIF(项目基本情况!C$15:I$15,C10,项目基本情况!C$17:I$17))</f>
        <v/>
      </c>
      <c r="F10" s="2904">
        <f>SUMIF(项目基本情况!C$15:I$15,C10,项目基本情况!C$19:I$19)</f>
        <v>0</v>
      </c>
      <c r="G10" s="2905">
        <f t="shared" si="0"/>
        <v>0</v>
      </c>
      <c r="H10" s="2907"/>
      <c r="I10" s="2907"/>
      <c r="J10" s="2907"/>
      <c r="K10" s="2997">
        <f>SUMIF('数据-汇总表'!C$19:C$33,'数据-取费表'!A10,'数据-汇总表'!E$19:E$33)</f>
        <v>0</v>
      </c>
      <c r="L10" s="2998"/>
      <c r="M10" s="2999">
        <f t="shared" si="1"/>
        <v>0</v>
      </c>
      <c r="N10" s="3000"/>
      <c r="O10" s="2999">
        <f t="shared" si="3"/>
        <v>0</v>
      </c>
      <c r="P10" s="3001">
        <f t="shared" si="4"/>
        <v>0</v>
      </c>
      <c r="Q10" s="3024"/>
      <c r="R10" s="2997">
        <f>SUMIF('数据-汇总表'!C$19:C$33,A10,'数据-汇总表'!R$19:R$33)</f>
        <v>0</v>
      </c>
      <c r="S10" s="3019">
        <f>IF('数据-汇总表'!$I$17="按面积比例",SUMIF('数据-汇总表'!C$19:C$33,A10,'数据-汇总表'!K$19:K$33),SUMIF('数据-汇总表'!C$19:C$33,A10,'数据-汇总表'!N$19:N$33))</f>
        <v>0</v>
      </c>
      <c r="T10" s="3020">
        <f t="shared" si="5"/>
        <v>0</v>
      </c>
      <c r="U10" s="3021"/>
      <c r="V10" s="3022"/>
      <c r="W10" s="3022"/>
      <c r="X10" s="3023"/>
      <c r="Y10" s="3043"/>
      <c r="Z10" s="3044"/>
      <c r="AA10" s="2907"/>
      <c r="AB10" s="2907"/>
      <c r="AC10" s="3026"/>
      <c r="AD10" s="3045"/>
      <c r="AE10" s="3046">
        <f t="shared" ca="1" si="6"/>
        <v>0</v>
      </c>
      <c r="AF10" s="2458"/>
      <c r="AG10" s="3055">
        <f t="shared" si="7"/>
        <v>0</v>
      </c>
      <c r="AH10" s="2458"/>
      <c r="AI10" s="3056"/>
      <c r="AJ10" s="3057"/>
      <c r="AK10" s="3058"/>
      <c r="AL10" s="3059"/>
      <c r="AM10" s="3060"/>
      <c r="AN10" s="3061"/>
      <c r="AO10" s="2922"/>
      <c r="AP10" s="2887">
        <f t="shared" si="8"/>
        <v>0</v>
      </c>
      <c r="AQ10" s="2922"/>
      <c r="AR10" s="2922"/>
      <c r="AS10" s="2922"/>
      <c r="AT10" s="2922"/>
      <c r="AU10" s="2922"/>
      <c r="AV10" s="2922"/>
      <c r="AW10" s="2922"/>
      <c r="AX10" s="2922"/>
      <c r="AY10" s="2922"/>
      <c r="AZ10" s="2922"/>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pans="1:83" s="2872" customFormat="1" ht="14.25">
      <c r="A11" s="2899">
        <f>'数据-汇总表'!C24</f>
        <v>0</v>
      </c>
      <c r="B11" s="2900" t="str">
        <f t="shared" si="2"/>
        <v/>
      </c>
      <c r="C11" s="2901"/>
      <c r="D11" s="2902">
        <f>SUMIF(项目基本情况!C$15:I$15,C11,项目基本情况!C$18:I$18)</f>
        <v>0</v>
      </c>
      <c r="E11" s="2903" t="str">
        <f>IF(B11="","",SUMIF(项目基本情况!C$15:I$15,C11,项目基本情况!C$17:I$17))</f>
        <v/>
      </c>
      <c r="F11" s="2904">
        <f>SUMIF(项目基本情况!C$15:I$15,C11,项目基本情况!C$19:I$19)</f>
        <v>0</v>
      </c>
      <c r="G11" s="2905">
        <f t="shared" si="0"/>
        <v>0</v>
      </c>
      <c r="H11" s="2907"/>
      <c r="I11" s="2907"/>
      <c r="J11" s="2907"/>
      <c r="K11" s="2997">
        <f>SUMIF('数据-汇总表'!C$19:C$33,'数据-取费表'!A11,'数据-汇总表'!E$19:E$33)</f>
        <v>0</v>
      </c>
      <c r="L11" s="2998"/>
      <c r="M11" s="2999">
        <f t="shared" si="1"/>
        <v>0</v>
      </c>
      <c r="N11" s="3000"/>
      <c r="O11" s="2999">
        <f t="shared" si="3"/>
        <v>0</v>
      </c>
      <c r="P11" s="3001">
        <f t="shared" si="4"/>
        <v>0</v>
      </c>
      <c r="Q11" s="3024"/>
      <c r="R11" s="2997">
        <f>SUMIF('数据-汇总表'!C$19:C$33,A11,'数据-汇总表'!R$19:R$33)</f>
        <v>0</v>
      </c>
      <c r="S11" s="3019">
        <f>IF('数据-汇总表'!$I$17="按面积比例",SUMIF('数据-汇总表'!C$19:C$33,A11,'数据-汇总表'!K$19:K$33),SUMIF('数据-汇总表'!C$19:C$33,A11,'数据-汇总表'!N$19:N$33))</f>
        <v>0</v>
      </c>
      <c r="T11" s="3020">
        <f t="shared" si="5"/>
        <v>0</v>
      </c>
      <c r="U11" s="3025"/>
      <c r="V11" s="3022"/>
      <c r="W11" s="2907"/>
      <c r="X11" s="3026"/>
      <c r="Y11" s="3043"/>
      <c r="Z11" s="3047"/>
      <c r="AA11" s="2907"/>
      <c r="AB11" s="2907"/>
      <c r="AC11" s="3026"/>
      <c r="AD11" s="3045"/>
      <c r="AE11" s="3046">
        <f t="shared" ca="1" si="6"/>
        <v>0</v>
      </c>
      <c r="AF11" s="2458"/>
      <c r="AG11" s="3055">
        <f t="shared" si="7"/>
        <v>0</v>
      </c>
      <c r="AH11" s="2458"/>
      <c r="AI11" s="3056"/>
      <c r="AJ11" s="3057"/>
      <c r="AK11" s="3058"/>
      <c r="AL11" s="3059"/>
      <c r="AM11" s="3060"/>
      <c r="AN11" s="3061"/>
      <c r="AO11" s="2922"/>
      <c r="AP11" s="2887">
        <f t="shared" si="8"/>
        <v>0</v>
      </c>
      <c r="AQ11" s="2922"/>
      <c r="AR11" s="2922"/>
      <c r="AS11" s="2922"/>
      <c r="AT11" s="2922"/>
      <c r="AU11" s="2922"/>
      <c r="AV11" s="2922"/>
      <c r="AW11" s="2922"/>
      <c r="AX11" s="2922"/>
      <c r="AY11" s="2922"/>
      <c r="AZ11" s="2922"/>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pans="1:83" s="2872" customFormat="1" ht="14.25">
      <c r="A12" s="2899">
        <f>'数据-汇总表'!C25</f>
        <v>0</v>
      </c>
      <c r="B12" s="2900" t="str">
        <f t="shared" si="2"/>
        <v/>
      </c>
      <c r="C12" s="2901"/>
      <c r="D12" s="2902">
        <f>SUMIF(项目基本情况!C$15:I$15,C12,项目基本情况!C$18:I$18)</f>
        <v>0</v>
      </c>
      <c r="E12" s="2903" t="str">
        <f>IF(B12="","",SUMIF(项目基本情况!C$15:I$15,C12,项目基本情况!C$17:I$17))</f>
        <v/>
      </c>
      <c r="F12" s="2904">
        <f>SUMIF(项目基本情况!C$15:I$15,C12,项目基本情况!C$19:I$19)</f>
        <v>0</v>
      </c>
      <c r="G12" s="2905">
        <f t="shared" si="0"/>
        <v>0</v>
      </c>
      <c r="H12" s="2907"/>
      <c r="I12" s="2907"/>
      <c r="J12" s="2907"/>
      <c r="K12" s="2997">
        <f>SUMIF('数据-汇总表'!C$19:C$33,'数据-取费表'!A12,'数据-汇总表'!E$19:E$33)</f>
        <v>0</v>
      </c>
      <c r="L12" s="2998"/>
      <c r="M12" s="2999">
        <f t="shared" si="1"/>
        <v>0</v>
      </c>
      <c r="N12" s="3000"/>
      <c r="O12" s="2999">
        <f t="shared" si="3"/>
        <v>0</v>
      </c>
      <c r="P12" s="3001">
        <f t="shared" si="4"/>
        <v>0</v>
      </c>
      <c r="Q12" s="3024"/>
      <c r="R12" s="2997">
        <f>SUMIF('数据-汇总表'!C$19:C$33,A12,'数据-汇总表'!R$19:R$33)</f>
        <v>0</v>
      </c>
      <c r="S12" s="3019">
        <f>IF('数据-汇总表'!$I$17="按面积比例",SUMIF('数据-汇总表'!C$19:C$33,A12,'数据-汇总表'!K$19:K$33),SUMIF('数据-汇总表'!C$19:C$33,A12,'数据-汇总表'!N$19:N$33))</f>
        <v>0</v>
      </c>
      <c r="T12" s="3020">
        <f t="shared" si="5"/>
        <v>0</v>
      </c>
      <c r="U12" s="3025"/>
      <c r="V12" s="3022"/>
      <c r="W12" s="2907"/>
      <c r="X12" s="3026"/>
      <c r="Y12" s="3043"/>
      <c r="Z12" s="3047"/>
      <c r="AA12" s="2907"/>
      <c r="AB12" s="2907"/>
      <c r="AC12" s="3026"/>
      <c r="AD12" s="3045"/>
      <c r="AE12" s="3046">
        <f t="shared" ca="1" si="6"/>
        <v>0</v>
      </c>
      <c r="AF12" s="2458"/>
      <c r="AG12" s="3055">
        <f t="shared" si="7"/>
        <v>0</v>
      </c>
      <c r="AH12" s="2458"/>
      <c r="AI12" s="3056"/>
      <c r="AJ12" s="3057"/>
      <c r="AK12" s="3058"/>
      <c r="AL12" s="3059"/>
      <c r="AM12" s="3060"/>
      <c r="AN12" s="3061"/>
      <c r="AO12" s="2922"/>
      <c r="AP12" s="2887">
        <f t="shared" si="8"/>
        <v>0</v>
      </c>
      <c r="AQ12" s="2922"/>
      <c r="AR12" s="2922"/>
      <c r="AS12" s="2922"/>
      <c r="AT12" s="2922"/>
      <c r="AU12" s="2922"/>
      <c r="AV12" s="2922"/>
      <c r="AW12" s="2922"/>
      <c r="AX12" s="2922"/>
      <c r="AY12" s="2922"/>
      <c r="AZ12" s="2922"/>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pans="1:83" s="2872" customFormat="1" ht="14.25">
      <c r="A13" s="2899">
        <f>'数据-汇总表'!C26</f>
        <v>0</v>
      </c>
      <c r="B13" s="2900" t="str">
        <f t="shared" si="2"/>
        <v/>
      </c>
      <c r="C13" s="2901"/>
      <c r="D13" s="2902">
        <f>SUMIF(项目基本情况!C$15:I$15,C13,项目基本情况!C$18:I$18)</f>
        <v>0</v>
      </c>
      <c r="E13" s="2903" t="str">
        <f>IF(B13="","",SUMIF(项目基本情况!C$15:I$15,C13,项目基本情况!C$17:I$17))</f>
        <v/>
      </c>
      <c r="F13" s="2904">
        <f>SUMIF(项目基本情况!C$15:I$15,C13,项目基本情况!C$19:I$19)</f>
        <v>0</v>
      </c>
      <c r="G13" s="2905">
        <f t="shared" si="0"/>
        <v>0</v>
      </c>
      <c r="H13" s="2907"/>
      <c r="I13" s="2907"/>
      <c r="J13" s="2907"/>
      <c r="K13" s="2997">
        <f>SUMIF('数据-汇总表'!C$19:C$33,'数据-取费表'!A13,'数据-汇总表'!E$19:E$33)</f>
        <v>0</v>
      </c>
      <c r="L13" s="3002"/>
      <c r="M13" s="2999">
        <f t="shared" si="1"/>
        <v>0</v>
      </c>
      <c r="N13" s="3003"/>
      <c r="O13" s="2999">
        <f t="shared" si="3"/>
        <v>0</v>
      </c>
      <c r="P13" s="3001">
        <f t="shared" si="4"/>
        <v>0</v>
      </c>
      <c r="Q13" s="3024"/>
      <c r="R13" s="2997">
        <f>SUMIF('数据-汇总表'!C$19:C$33,A13,'数据-汇总表'!R$19:R$33)</f>
        <v>0</v>
      </c>
      <c r="S13" s="3019">
        <f>IF('数据-汇总表'!$I$17="按面积比例",SUMIF('数据-汇总表'!C$19:C$33,A13,'数据-汇总表'!K$19:K$33),SUMIF('数据-汇总表'!C$19:C$33,A13,'数据-汇总表'!N$19:N$33))</f>
        <v>0</v>
      </c>
      <c r="T13" s="3020">
        <f t="shared" si="5"/>
        <v>0</v>
      </c>
      <c r="U13" s="3021"/>
      <c r="V13" s="3022"/>
      <c r="W13" s="3022"/>
      <c r="X13" s="3023"/>
      <c r="Y13" s="3043"/>
      <c r="Z13" s="3044"/>
      <c r="AA13" s="2907"/>
      <c r="AB13" s="2907"/>
      <c r="AC13" s="3026"/>
      <c r="AD13" s="3045"/>
      <c r="AE13" s="3046">
        <f t="shared" ca="1" si="6"/>
        <v>0</v>
      </c>
      <c r="AF13" s="2458"/>
      <c r="AG13" s="3055">
        <f t="shared" si="7"/>
        <v>0</v>
      </c>
      <c r="AH13" s="2458"/>
      <c r="AI13" s="3056"/>
      <c r="AJ13" s="3057"/>
      <c r="AK13" s="3058"/>
      <c r="AL13" s="3059"/>
      <c r="AM13" s="3062"/>
      <c r="AN13" s="3061"/>
      <c r="AO13" s="2922"/>
      <c r="AP13" s="2887">
        <f t="shared" si="8"/>
        <v>0</v>
      </c>
      <c r="AQ13" s="2922"/>
      <c r="AR13" s="2922"/>
      <c r="AS13" s="2922"/>
      <c r="AT13" s="2922"/>
      <c r="AU13" s="2922"/>
      <c r="AV13" s="2922"/>
      <c r="AW13" s="2922"/>
      <c r="AX13" s="2922"/>
      <c r="AY13" s="2922"/>
      <c r="AZ13" s="2922"/>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pans="1:83" s="2872" customFormat="1" ht="14.25">
      <c r="A14" s="2908" t="s">
        <v>533</v>
      </c>
      <c r="B14" s="2909" t="s">
        <v>629</v>
      </c>
      <c r="C14" s="2910" t="s">
        <v>533</v>
      </c>
      <c r="D14" s="2902"/>
      <c r="E14" s="2903"/>
      <c r="F14" s="2904"/>
      <c r="G14" s="2905"/>
      <c r="H14" s="2911"/>
      <c r="I14" s="2911"/>
      <c r="J14" s="2911"/>
      <c r="K14" s="2997">
        <f>SUMIF('数据-汇总表'!C$19:C$33,'数据-取费表'!A14,'数据-汇总表'!E$19:E$33)</f>
        <v>3815.46</v>
      </c>
      <c r="L14" s="3002">
        <v>4000</v>
      </c>
      <c r="M14" s="2999">
        <f t="shared" si="1"/>
        <v>1526</v>
      </c>
      <c r="N14" s="3003">
        <v>0</v>
      </c>
      <c r="O14" s="2999">
        <f t="shared" si="3"/>
        <v>0</v>
      </c>
      <c r="P14" s="3001">
        <f t="shared" si="4"/>
        <v>1526</v>
      </c>
      <c r="Q14" s="3027"/>
      <c r="R14" s="2997"/>
      <c r="S14" s="3019"/>
      <c r="T14" s="3028"/>
      <c r="U14" s="3029"/>
      <c r="V14" s="3030"/>
      <c r="W14" s="3030"/>
      <c r="X14" s="3023"/>
      <c r="Y14" s="3048"/>
      <c r="Z14" s="3049"/>
      <c r="AA14" s="3050"/>
      <c r="AB14" s="3050"/>
      <c r="AC14" s="3026"/>
      <c r="AD14" s="3023"/>
      <c r="AE14" s="3046"/>
      <c r="AF14" s="481"/>
      <c r="AG14" s="3055"/>
      <c r="AH14" s="481"/>
      <c r="AI14" s="480"/>
      <c r="AJ14" s="480"/>
      <c r="AK14" s="3063"/>
      <c r="AL14" s="3064"/>
      <c r="AM14" s="3065"/>
      <c r="AN14" s="2922"/>
      <c r="AO14" s="2922"/>
      <c r="AP14" s="2922"/>
      <c r="AQ14" s="2922"/>
      <c r="AR14" s="2922"/>
      <c r="AS14" s="2922"/>
      <c r="AT14" s="2922"/>
      <c r="AU14" s="2922"/>
      <c r="AV14" s="2922"/>
      <c r="AW14" s="2922"/>
      <c r="AX14" s="2922"/>
      <c r="AY14" s="2922"/>
      <c r="AZ14" s="2922"/>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pans="1:83" s="2872" customFormat="1" ht="27">
      <c r="A15" s="2912" t="s">
        <v>582</v>
      </c>
      <c r="B15" s="2909" t="s">
        <v>629</v>
      </c>
      <c r="C15" s="2910" t="s">
        <v>630</v>
      </c>
      <c r="D15" s="2902"/>
      <c r="E15" s="2903"/>
      <c r="F15" s="2904"/>
      <c r="G15" s="2905"/>
      <c r="H15" s="2911"/>
      <c r="I15" s="2911"/>
      <c r="J15" s="2911"/>
      <c r="K15" s="2997">
        <f>SUMIF('数据-汇总表'!C$19:C$33,'数据-取费表'!A15,'数据-汇总表'!E$19:E$33)</f>
        <v>4319.84</v>
      </c>
      <c r="L15" s="3004"/>
      <c r="M15" s="2999"/>
      <c r="N15" s="3005"/>
      <c r="O15" s="2999"/>
      <c r="P15" s="3001"/>
      <c r="Q15" s="3027"/>
      <c r="R15" s="2997"/>
      <c r="S15" s="3019"/>
      <c r="T15" s="3028"/>
      <c r="U15" s="3029"/>
      <c r="V15" s="3030"/>
      <c r="W15" s="3030"/>
      <c r="X15" s="3023"/>
      <c r="Y15" s="3048"/>
      <c r="Z15" s="3049"/>
      <c r="AA15" s="3050"/>
      <c r="AB15" s="3050"/>
      <c r="AC15" s="3026"/>
      <c r="AD15" s="3023"/>
      <c r="AE15" s="3046"/>
      <c r="AF15" s="481"/>
      <c r="AG15" s="3055"/>
      <c r="AH15" s="481"/>
      <c r="AI15" s="480"/>
      <c r="AJ15" s="480"/>
      <c r="AK15" s="3063"/>
      <c r="AL15" s="3064"/>
      <c r="AM15" s="3065"/>
      <c r="AN15" s="2922"/>
      <c r="AO15" s="2922"/>
      <c r="AP15" s="2922"/>
      <c r="AQ15" s="2922"/>
      <c r="AR15" s="2922"/>
      <c r="AS15" s="2922"/>
      <c r="AT15" s="2922"/>
      <c r="AU15" s="2922"/>
      <c r="AV15" s="2922"/>
      <c r="AW15" s="2922"/>
      <c r="AX15" s="2922"/>
      <c r="AY15" s="2922"/>
      <c r="AZ15" s="2922"/>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pans="1:83" s="2872" customFormat="1" ht="15">
      <c r="A16" s="2913" t="s">
        <v>631</v>
      </c>
      <c r="B16" s="2914"/>
      <c r="C16" s="2915"/>
      <c r="D16" s="2916"/>
      <c r="E16" s="2914"/>
      <c r="F16" s="2914"/>
      <c r="G16" s="2917">
        <f>ROUND(SUMPRODUCT(G6:G13,K6:K13)/SUMPRODUCT((G6:G13&gt;0)*(K6:K13)),3)</f>
        <v>0.996</v>
      </c>
      <c r="H16" s="2918">
        <f>ROUND(SUMPRODUCT(H6:H13,K6:K13)/SUMPRODUCT((H6:H13&gt;0)*(K6:K13)),3)</f>
        <v>4.1000000000000002E-2</v>
      </c>
      <c r="I16" s="3006"/>
      <c r="J16" s="3006"/>
      <c r="K16" s="3007">
        <f>SUM(K6:K15)</f>
        <v>173827.13</v>
      </c>
      <c r="L16" s="3008">
        <f>ROUND(M16*10000/SUM(K6:K14),0)</f>
        <v>5055</v>
      </c>
      <c r="M16" s="3008">
        <f>SUM(M6:M14)</f>
        <v>85681</v>
      </c>
      <c r="N16" s="3009">
        <f>ROUND(SUMPRODUCT(M6:M14,N6:N14)/M16,3)</f>
        <v>0</v>
      </c>
      <c r="O16" s="3008">
        <f>SUM(O6:O14)</f>
        <v>0</v>
      </c>
      <c r="P16" s="3008">
        <f>SUM(P6:P14)</f>
        <v>85681</v>
      </c>
      <c r="Q16" s="3031">
        <f>ROUND(SUMPRODUCT(Q6:Q13,K6:K13)/SUMPRODUCT((Q6:Q13&gt;0)*(K6:K13)),2)</f>
        <v>0.12</v>
      </c>
      <c r="R16" s="3032">
        <f>SUM(R6:R13)</f>
        <v>51570.87999999999</v>
      </c>
      <c r="S16" s="3033">
        <f>SUM(S6:S13)</f>
        <v>3815.46</v>
      </c>
      <c r="T16" s="3034">
        <f>IF(SUMIF(T6:T13,"&lt;9E307")=M14,SUMIF(T6:T13,"&lt;9E307"),"有误，请检查")</f>
        <v>1526</v>
      </c>
      <c r="U16" s="3035"/>
      <c r="V16" s="3036"/>
      <c r="W16" s="3036"/>
      <c r="X16" s="3037"/>
      <c r="Y16" s="3051"/>
      <c r="Z16" s="3052"/>
      <c r="AA16" s="3036"/>
      <c r="AB16" s="3036"/>
      <c r="AC16" s="3037"/>
      <c r="AD16" s="3037"/>
      <c r="AE16" s="3035"/>
      <c r="AF16" s="3036"/>
      <c r="AG16" s="3051"/>
      <c r="AH16" s="3036"/>
      <c r="AI16" s="3052"/>
      <c r="AJ16" s="3052"/>
      <c r="AK16" s="3036"/>
      <c r="AL16" s="3036"/>
      <c r="AM16" s="3051"/>
      <c r="AN16" s="2922"/>
      <c r="AO16" s="2922"/>
      <c r="AP16" s="2887">
        <f>ROUND(SUMPRODUCT(AP6:AP13,K6:K13)/SUMPRODUCT((AP6:AP13&gt;0)*(K6:K13)),3)</f>
        <v>0.91900000000000004</v>
      </c>
      <c r="AQ16" s="2922"/>
      <c r="AR16" s="2922"/>
      <c r="AS16" s="2922"/>
      <c r="AT16" s="2922"/>
      <c r="AU16" s="2922"/>
      <c r="AV16" s="2922"/>
      <c r="AW16" s="2922"/>
      <c r="AX16" s="2922"/>
      <c r="AY16" s="2922"/>
      <c r="AZ16" s="2922"/>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spans="1:83">
      <c r="A17" s="2919"/>
      <c r="B17" s="2920"/>
      <c r="C17" s="2920"/>
      <c r="D17" s="2921"/>
      <c r="E17" s="2921"/>
      <c r="F17" s="2920"/>
      <c r="G17" s="2920"/>
      <c r="H17" s="2920"/>
      <c r="I17" s="2920"/>
      <c r="J17" s="2920"/>
      <c r="K17" s="3010"/>
      <c r="L17" s="301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0"/>
      <c r="AJ17" s="2920"/>
      <c r="AK17" s="2920"/>
      <c r="AL17" s="2920"/>
      <c r="AM17" s="2920"/>
      <c r="AN17" s="2920"/>
      <c r="AO17" s="2920"/>
      <c r="AP17" s="2920"/>
      <c r="AQ17" s="2920"/>
      <c r="AR17" s="2920"/>
      <c r="AS17" s="2920"/>
      <c r="AT17" s="2920"/>
      <c r="AU17" s="2920"/>
      <c r="AV17" s="2920"/>
      <c r="AW17" s="2920"/>
      <c r="AX17" s="2920"/>
      <c r="AY17" s="2920"/>
      <c r="AZ17" s="2920"/>
    </row>
    <row r="18" spans="1:83" ht="14.25">
      <c r="A18" s="2888" t="s">
        <v>632</v>
      </c>
      <c r="B18" s="2922"/>
      <c r="C18" s="2922"/>
      <c r="D18" s="2923"/>
      <c r="E18" s="2922"/>
      <c r="F18" s="2922"/>
      <c r="G18" s="2922"/>
      <c r="H18" s="2922"/>
      <c r="I18" s="2922"/>
      <c r="J18" s="2922"/>
      <c r="K18" s="3010"/>
      <c r="L18" s="301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0"/>
      <c r="AS18" s="2920"/>
      <c r="AT18" s="2920"/>
      <c r="AU18" s="2920"/>
      <c r="AV18" s="2920"/>
      <c r="AW18" s="2920"/>
      <c r="AX18" s="2920"/>
      <c r="AY18" s="2920"/>
      <c r="AZ18" s="2920"/>
    </row>
    <row r="19" spans="1:83" ht="14.25">
      <c r="A19" s="2924" t="s">
        <v>633</v>
      </c>
      <c r="B19" s="2925">
        <v>0</v>
      </c>
      <c r="C19" s="2926" t="s">
        <v>634</v>
      </c>
      <c r="D19" s="2923"/>
      <c r="E19" s="2922"/>
      <c r="F19" s="2922"/>
      <c r="G19" s="2922"/>
      <c r="H19" s="2922"/>
      <c r="I19" s="2922"/>
      <c r="J19" s="2922"/>
      <c r="K19" s="3010">
        <f>K15*5000/10000</f>
        <v>2159.92</v>
      </c>
      <c r="L19" s="3010"/>
      <c r="M19" s="2920"/>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c r="AI19" s="2920"/>
      <c r="AJ19" s="2920"/>
      <c r="AK19" s="2920"/>
      <c r="AL19" s="2920"/>
      <c r="AM19" s="2920"/>
      <c r="AN19" s="2920"/>
      <c r="AO19" s="2920"/>
      <c r="AP19" s="2920"/>
      <c r="AQ19" s="2920"/>
      <c r="AR19" s="2920"/>
      <c r="AS19" s="2920"/>
      <c r="AT19" s="2920"/>
      <c r="AU19" s="2920"/>
      <c r="AV19" s="2920"/>
      <c r="AW19" s="2920"/>
      <c r="AX19" s="2920"/>
      <c r="AY19" s="2920"/>
      <c r="AZ19" s="2920"/>
    </row>
    <row r="20" spans="1:83" ht="14.25">
      <c r="A20" s="2927" t="s">
        <v>635</v>
      </c>
      <c r="B20" s="2928">
        <v>2</v>
      </c>
      <c r="C20" s="2926" t="s">
        <v>636</v>
      </c>
      <c r="D20" s="2923"/>
      <c r="E20" s="2922"/>
      <c r="F20" s="2922"/>
      <c r="G20" s="2922"/>
      <c r="H20" s="2922"/>
      <c r="I20" s="2922"/>
      <c r="J20" s="2922"/>
      <c r="K20" s="3010"/>
      <c r="L20" s="3010"/>
      <c r="M20" s="2920"/>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c r="AI20" s="2920"/>
      <c r="AJ20" s="2920"/>
      <c r="AK20" s="2920"/>
      <c r="AL20" s="2920"/>
      <c r="AM20" s="2920"/>
      <c r="AN20" s="2920"/>
      <c r="AO20" s="2920"/>
      <c r="AP20" s="2920"/>
      <c r="AQ20" s="2920"/>
      <c r="AR20" s="2920"/>
      <c r="AS20" s="2920"/>
      <c r="AT20" s="2920"/>
      <c r="AU20" s="2920"/>
      <c r="AV20" s="2920"/>
      <c r="AW20" s="2920"/>
      <c r="AX20" s="2920"/>
      <c r="AY20" s="2920"/>
      <c r="AZ20" s="2920"/>
    </row>
    <row r="21" spans="1:83" ht="14.25">
      <c r="A21" s="2929" t="s">
        <v>637</v>
      </c>
      <c r="B21" s="2928">
        <v>0</v>
      </c>
      <c r="C21" s="2922"/>
      <c r="D21" s="2923"/>
      <c r="E21" s="2922"/>
      <c r="F21" s="2922"/>
      <c r="G21" s="2922"/>
      <c r="H21" s="2922"/>
      <c r="I21" s="2922"/>
      <c r="J21" s="2922"/>
      <c r="K21" s="3010"/>
      <c r="L21" s="3010"/>
      <c r="M21" s="2920"/>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c r="AI21" s="2920"/>
      <c r="AJ21" s="2920"/>
      <c r="AK21" s="2920"/>
      <c r="AL21" s="2920"/>
      <c r="AM21" s="2920"/>
      <c r="AN21" s="2920"/>
      <c r="AO21" s="2920"/>
      <c r="AP21" s="2920"/>
      <c r="AQ21" s="2920"/>
      <c r="AR21" s="2920"/>
      <c r="AS21" s="2920"/>
      <c r="AT21" s="2920"/>
      <c r="AU21" s="2920"/>
      <c r="AV21" s="2920"/>
      <c r="AW21" s="2920"/>
      <c r="AX21" s="2920"/>
      <c r="AY21" s="2920"/>
      <c r="AZ21" s="2920"/>
    </row>
    <row r="22" spans="1:83" ht="14.25">
      <c r="A22" s="2927" t="s">
        <v>638</v>
      </c>
      <c r="B22" s="2930">
        <f>B19+B20</f>
        <v>2</v>
      </c>
      <c r="C22" s="2922"/>
      <c r="D22" s="2923"/>
      <c r="E22" s="2922"/>
      <c r="F22" s="2922"/>
      <c r="G22" s="2922"/>
      <c r="H22" s="2922"/>
      <c r="I22" s="2922"/>
      <c r="J22" s="2922"/>
      <c r="K22" s="3010"/>
      <c r="L22" s="3010"/>
      <c r="M22" s="2920"/>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c r="AI22" s="2920"/>
      <c r="AJ22" s="2920"/>
      <c r="AK22" s="2920"/>
      <c r="AL22" s="2920"/>
      <c r="AM22" s="2920"/>
      <c r="AN22" s="2920"/>
      <c r="AO22" s="2920"/>
      <c r="AP22" s="2920"/>
      <c r="AQ22" s="2920"/>
      <c r="AR22" s="2920"/>
      <c r="AS22" s="2920"/>
      <c r="AT22" s="2920"/>
      <c r="AU22" s="2920"/>
      <c r="AV22" s="2920"/>
      <c r="AW22" s="2920"/>
      <c r="AX22" s="2920"/>
      <c r="AY22" s="2920"/>
      <c r="AZ22" s="2920"/>
    </row>
    <row r="23" spans="1:83" ht="14.25">
      <c r="A23" s="2929" t="s">
        <v>639</v>
      </c>
      <c r="B23" s="2930">
        <f>B19+B21</f>
        <v>0</v>
      </c>
      <c r="C23" s="2922"/>
      <c r="D23" s="2923"/>
      <c r="E23" s="2922"/>
      <c r="F23" s="2922"/>
      <c r="G23" s="2922"/>
      <c r="H23" s="2922"/>
      <c r="I23" s="2922"/>
      <c r="J23" s="2922"/>
      <c r="K23" s="3010"/>
      <c r="L23" s="3010"/>
      <c r="M23" s="2920"/>
      <c r="N23" s="2920"/>
      <c r="O23" s="2920"/>
      <c r="P23" s="2920"/>
      <c r="Q23" s="2920"/>
      <c r="R23" s="2920"/>
      <c r="S23" s="2920"/>
      <c r="T23" s="2920"/>
      <c r="U23" s="2920"/>
      <c r="V23" s="2920"/>
      <c r="W23" s="2920"/>
      <c r="X23" s="2920"/>
      <c r="Y23" s="2920"/>
      <c r="Z23" s="2920"/>
      <c r="AA23" s="2920"/>
      <c r="AB23" s="2920"/>
      <c r="AC23" s="2920"/>
      <c r="AD23" s="2920"/>
      <c r="AE23" s="2920"/>
      <c r="AF23" s="2920"/>
      <c r="AG23" s="2920"/>
      <c r="AH23" s="2920"/>
      <c r="AI23" s="2920"/>
      <c r="AJ23" s="2920"/>
      <c r="AK23" s="2920"/>
      <c r="AL23" s="2920"/>
      <c r="AM23" s="2920"/>
      <c r="AN23" s="2920"/>
      <c r="AO23" s="2920"/>
      <c r="AP23" s="2920"/>
      <c r="AQ23" s="2920"/>
      <c r="AR23" s="2920"/>
      <c r="AS23" s="2920"/>
      <c r="AT23" s="2920"/>
      <c r="AU23" s="2920"/>
      <c r="AV23" s="2920"/>
      <c r="AW23" s="2920"/>
      <c r="AX23" s="2920"/>
      <c r="AY23" s="2920"/>
      <c r="AZ23" s="2920"/>
    </row>
    <row r="24" spans="1:83" ht="14.25">
      <c r="A24" s="2931" t="s">
        <v>640</v>
      </c>
      <c r="B24" s="2932">
        <f>B20-B21</f>
        <v>2</v>
      </c>
      <c r="C24" s="2922"/>
      <c r="D24" s="2923"/>
      <c r="E24" s="2922"/>
      <c r="F24" s="2922"/>
      <c r="G24" s="2922"/>
      <c r="H24" s="2922"/>
      <c r="I24" s="2922"/>
      <c r="J24" s="2922"/>
      <c r="K24" s="3010"/>
      <c r="L24" s="3010"/>
      <c r="M24" s="2920"/>
      <c r="N24" s="2920"/>
      <c r="O24" s="2920"/>
      <c r="P24" s="2920"/>
      <c r="Q24" s="2920"/>
      <c r="R24" s="2920"/>
      <c r="S24" s="2920"/>
      <c r="T24" s="2920"/>
      <c r="U24" s="2920"/>
      <c r="V24" s="2920"/>
      <c r="W24" s="2920"/>
      <c r="X24" s="2920"/>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c r="AT24" s="2920"/>
      <c r="AU24" s="2920"/>
      <c r="AV24" s="2920"/>
      <c r="AW24" s="2920"/>
      <c r="AX24" s="2920"/>
      <c r="AY24" s="2920"/>
      <c r="AZ24" s="2920"/>
    </row>
    <row r="25" spans="1:83" ht="14.25">
      <c r="A25" s="2886"/>
      <c r="B25" s="2887"/>
      <c r="C25" s="2922"/>
      <c r="D25" s="2923"/>
      <c r="E25" s="2922"/>
      <c r="F25" s="2922"/>
      <c r="G25" s="2922"/>
      <c r="H25" s="2922"/>
      <c r="I25" s="2922"/>
      <c r="J25" s="2922"/>
      <c r="K25" s="3010"/>
      <c r="L25" s="3010"/>
      <c r="M25" s="2920"/>
      <c r="N25" s="2920"/>
      <c r="O25" s="2920"/>
      <c r="P25" s="2920"/>
      <c r="Q25" s="2920"/>
      <c r="R25" s="2920"/>
      <c r="S25" s="2920"/>
      <c r="T25" s="2920"/>
      <c r="U25" s="2920"/>
      <c r="V25" s="2920"/>
      <c r="W25" s="2920"/>
      <c r="X25" s="2920"/>
      <c r="Y25" s="2920"/>
      <c r="Z25" s="2920"/>
      <c r="AA25" s="2920"/>
      <c r="AB25" s="2920"/>
      <c r="AC25" s="2920"/>
      <c r="AD25" s="2920"/>
      <c r="AE25" s="2920"/>
      <c r="AF25" s="2920"/>
      <c r="AG25" s="2920"/>
      <c r="AH25" s="2920"/>
      <c r="AI25" s="2920"/>
      <c r="AJ25" s="2920"/>
      <c r="AK25" s="2920"/>
      <c r="AL25" s="2920"/>
      <c r="AM25" s="2920"/>
      <c r="AN25" s="2920"/>
      <c r="AO25" s="2920"/>
      <c r="AP25" s="2920"/>
      <c r="AQ25" s="2920"/>
      <c r="AR25" s="2920"/>
      <c r="AS25" s="2920"/>
      <c r="AT25" s="2920"/>
      <c r="AU25" s="2920"/>
      <c r="AV25" s="2920"/>
      <c r="AW25" s="2920"/>
      <c r="AX25" s="2920"/>
      <c r="AY25" s="2920"/>
      <c r="AZ25" s="2920"/>
    </row>
    <row r="26" spans="1:83" ht="14.25">
      <c r="A26" s="2882" t="s">
        <v>641</v>
      </c>
      <c r="B26" s="2933" t="s">
        <v>642</v>
      </c>
      <c r="C26" s="2934" t="s">
        <v>643</v>
      </c>
      <c r="D26" s="2923"/>
      <c r="E26" s="2922"/>
      <c r="F26" s="2922"/>
      <c r="G26" s="2922"/>
      <c r="H26" s="2922"/>
      <c r="I26" s="2922"/>
      <c r="J26" s="2922"/>
      <c r="K26" s="3010"/>
      <c r="L26" s="3010"/>
      <c r="M26" s="2920"/>
      <c r="N26" s="2920"/>
      <c r="O26" s="2920"/>
      <c r="P26" s="2920"/>
      <c r="Q26" s="2920"/>
      <c r="R26" s="2920"/>
      <c r="S26" s="2920"/>
      <c r="T26" s="2920"/>
      <c r="U26" s="2920"/>
      <c r="V26" s="2920"/>
      <c r="W26" s="2920"/>
      <c r="X26" s="2920"/>
      <c r="Y26" s="2920"/>
      <c r="Z26" s="2920"/>
      <c r="AA26" s="2920"/>
      <c r="AB26" s="2920"/>
      <c r="AC26" s="2920"/>
      <c r="AD26" s="2920"/>
      <c r="AE26" s="2920"/>
      <c r="AF26" s="2920"/>
      <c r="AG26" s="2920"/>
      <c r="AH26" s="2920"/>
      <c r="AI26" s="2920"/>
      <c r="AJ26" s="2920"/>
      <c r="AK26" s="2920"/>
      <c r="AL26" s="2920"/>
      <c r="AM26" s="2920"/>
      <c r="AN26" s="2920"/>
      <c r="AO26" s="2920"/>
      <c r="AP26" s="2920"/>
      <c r="AQ26" s="2920"/>
      <c r="AR26" s="2920"/>
      <c r="AS26" s="2920"/>
      <c r="AT26" s="2920"/>
      <c r="AU26" s="2920"/>
      <c r="AV26" s="2920"/>
      <c r="AW26" s="2920"/>
      <c r="AX26" s="2920"/>
      <c r="AY26" s="2920"/>
      <c r="AZ26" s="2920"/>
    </row>
    <row r="27" spans="1:83" s="2874" customFormat="1" ht="27.75">
      <c r="A27" s="2935" t="s">
        <v>644</v>
      </c>
      <c r="B27" s="2936">
        <v>150</v>
      </c>
      <c r="C27" s="2937" t="s">
        <v>645</v>
      </c>
      <c r="D27" s="2938"/>
      <c r="E27" s="2939"/>
      <c r="F27" s="2939"/>
      <c r="G27" s="2922"/>
      <c r="H27" s="2922"/>
      <c r="I27" s="2922"/>
      <c r="J27" s="2922"/>
      <c r="K27" s="3010"/>
      <c r="L27" s="301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c r="AL27" s="2920"/>
      <c r="AM27" s="2920"/>
      <c r="AN27" s="2920"/>
      <c r="AO27" s="2920"/>
      <c r="AP27" s="2920"/>
      <c r="AQ27" s="2920"/>
      <c r="AR27" s="2920"/>
      <c r="AS27" s="2920"/>
      <c r="AT27" s="2920"/>
      <c r="AU27" s="2920"/>
      <c r="AV27" s="2920"/>
      <c r="AW27" s="2920"/>
      <c r="AX27" s="2920"/>
      <c r="AY27" s="2920"/>
      <c r="AZ27" s="2920"/>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pans="1:83" s="2874" customFormat="1" ht="27.75">
      <c r="A28" s="2940" t="s">
        <v>646</v>
      </c>
      <c r="B28" s="2941">
        <v>190</v>
      </c>
      <c r="C28" s="2942"/>
      <c r="D28" s="2938"/>
      <c r="E28" s="2939"/>
      <c r="F28" s="2939"/>
      <c r="G28" s="2922"/>
      <c r="H28" s="2922"/>
      <c r="I28" s="2922"/>
      <c r="J28" s="2922"/>
      <c r="K28" s="3010"/>
      <c r="L28" s="3010"/>
      <c r="M28" s="2920"/>
      <c r="N28" s="2920"/>
      <c r="O28" s="2920"/>
      <c r="P28" s="2920"/>
      <c r="Q28" s="2920"/>
      <c r="R28" s="2920"/>
      <c r="S28" s="2920"/>
      <c r="T28" s="2920"/>
      <c r="U28" s="2920"/>
      <c r="V28" s="2920"/>
      <c r="W28" s="2920"/>
      <c r="X28" s="2920"/>
      <c r="Y28" s="2920"/>
      <c r="Z28" s="2920"/>
      <c r="AA28" s="2920"/>
      <c r="AB28" s="2920"/>
      <c r="AC28" s="2920"/>
      <c r="AD28" s="2920"/>
      <c r="AE28" s="2920"/>
      <c r="AF28" s="2920"/>
      <c r="AG28" s="2920"/>
      <c r="AH28" s="2920"/>
      <c r="AI28" s="2920"/>
      <c r="AJ28" s="2920"/>
      <c r="AK28" s="2920"/>
      <c r="AL28" s="2920"/>
      <c r="AM28" s="2920"/>
      <c r="AN28" s="2920"/>
      <c r="AO28" s="2920"/>
      <c r="AP28" s="2920"/>
      <c r="AQ28" s="2920"/>
      <c r="AR28" s="2920"/>
      <c r="AS28" s="2920"/>
      <c r="AT28" s="2920"/>
      <c r="AU28" s="2920"/>
      <c r="AV28" s="2920"/>
      <c r="AW28" s="2920"/>
      <c r="AX28" s="2920"/>
      <c r="AY28" s="2920"/>
      <c r="AZ28" s="2920"/>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pans="1:83" s="2874" customFormat="1" ht="27.75">
      <c r="A29" s="2943" t="s">
        <v>647</v>
      </c>
      <c r="B29" s="2944"/>
      <c r="C29" s="2945" t="s">
        <v>648</v>
      </c>
      <c r="D29" s="2938"/>
      <c r="E29" s="2939"/>
      <c r="F29" s="2939"/>
      <c r="G29" s="2922"/>
      <c r="H29" s="2922"/>
      <c r="I29" s="2922"/>
      <c r="J29" s="2922"/>
      <c r="K29" s="3010"/>
      <c r="L29" s="301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0"/>
      <c r="AV29" s="2920"/>
      <c r="AW29" s="2920"/>
      <c r="AX29" s="2920"/>
      <c r="AY29" s="2920"/>
      <c r="AZ29" s="2920"/>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pans="1:83" s="2874" customFormat="1" ht="27">
      <c r="A30" s="2946" t="s">
        <v>649</v>
      </c>
      <c r="B30" s="2947">
        <v>180</v>
      </c>
      <c r="C30" s="2942"/>
      <c r="D30" s="2938"/>
      <c r="E30" s="2939"/>
      <c r="F30" s="2939"/>
      <c r="G30" s="2922"/>
      <c r="H30" s="2922"/>
      <c r="I30" s="2922"/>
      <c r="J30" s="2922"/>
      <c r="K30" s="3010"/>
      <c r="L30" s="3010"/>
      <c r="M30" s="2920"/>
      <c r="N30" s="2920"/>
      <c r="O30" s="2920"/>
      <c r="P30" s="2920"/>
      <c r="Q30" s="2920"/>
      <c r="R30" s="2920"/>
      <c r="S30" s="2920"/>
      <c r="T30" s="2920"/>
      <c r="U30" s="2920"/>
      <c r="V30" s="2920"/>
      <c r="W30" s="2920"/>
      <c r="X30" s="2920"/>
      <c r="Y30" s="2920"/>
      <c r="Z30" s="2920"/>
      <c r="AA30" s="2920"/>
      <c r="AB30" s="2920"/>
      <c r="AC30" s="2920"/>
      <c r="AD30" s="2920"/>
      <c r="AE30" s="2920"/>
      <c r="AF30" s="2920"/>
      <c r="AG30" s="2920"/>
      <c r="AH30" s="2920"/>
      <c r="AI30" s="2920"/>
      <c r="AJ30" s="2920"/>
      <c r="AK30" s="2920"/>
      <c r="AL30" s="2920"/>
      <c r="AM30" s="2920"/>
      <c r="AN30" s="2920"/>
      <c r="AO30" s="2920"/>
      <c r="AP30" s="2920"/>
      <c r="AQ30" s="2920"/>
      <c r="AR30" s="2920"/>
      <c r="AS30" s="2920"/>
      <c r="AT30" s="2920"/>
      <c r="AU30" s="2920"/>
      <c r="AV30" s="2920"/>
      <c r="AW30" s="2920"/>
      <c r="AX30" s="2920"/>
      <c r="AY30" s="2920"/>
      <c r="AZ30" s="2920"/>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pans="1:83" s="2874" customFormat="1" ht="27">
      <c r="A31" s="2940" t="s">
        <v>650</v>
      </c>
      <c r="B31" s="2948">
        <f>B30-B32</f>
        <v>150</v>
      </c>
      <c r="C31" s="2949"/>
      <c r="D31" s="2938"/>
      <c r="E31" s="2939"/>
      <c r="F31" s="2939"/>
      <c r="G31" s="2922"/>
      <c r="H31" s="2922"/>
      <c r="I31" s="2922"/>
      <c r="J31" s="2922"/>
      <c r="K31" s="3010"/>
      <c r="L31" s="301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0"/>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pans="1:83" s="2874" customFormat="1" ht="27">
      <c r="A32" s="2950" t="s">
        <v>651</v>
      </c>
      <c r="B32" s="2951">
        <v>30</v>
      </c>
      <c r="C32" s="2942"/>
      <c r="D32" s="2923"/>
      <c r="E32" s="2922"/>
      <c r="F32" s="2922"/>
      <c r="G32" s="2922"/>
      <c r="H32" s="2922"/>
      <c r="I32" s="2922"/>
      <c r="J32" s="2922"/>
      <c r="K32" s="3010"/>
      <c r="L32" s="3010"/>
      <c r="M32" s="292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0"/>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pans="1:83" s="2874" customFormat="1" ht="14.25">
      <c r="A33" s="2935" t="s">
        <v>652</v>
      </c>
      <c r="B33" s="2952">
        <v>0.03</v>
      </c>
      <c r="C33" s="2953" t="s">
        <v>653</v>
      </c>
      <c r="D33" s="2938"/>
      <c r="E33" s="2939"/>
      <c r="F33" s="2939"/>
      <c r="G33" s="2922"/>
      <c r="H33" s="2922"/>
      <c r="I33" s="2922"/>
      <c r="J33" s="2922"/>
      <c r="K33" s="3010"/>
      <c r="L33" s="301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0"/>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spans="1:83" ht="14.25">
      <c r="A34" s="2940" t="s">
        <v>654</v>
      </c>
      <c r="B34" s="2954">
        <v>0.03</v>
      </c>
      <c r="C34" s="2953" t="s">
        <v>655</v>
      </c>
      <c r="D34" s="2955" t="s">
        <v>656</v>
      </c>
      <c r="E34" s="2920"/>
      <c r="F34" s="2922"/>
      <c r="G34" s="2922"/>
      <c r="H34" s="2922"/>
      <c r="I34" s="2922">
        <f>'数据-汇总表'!E29*3500/10000</f>
        <v>1511.944</v>
      </c>
      <c r="J34" s="2922"/>
      <c r="K34" s="3010">
        <f ca="1">'剩余法-待开发'!C15</f>
        <v>1967</v>
      </c>
      <c r="L34" s="3010"/>
      <c r="M34" s="2920"/>
      <c r="N34" s="2920"/>
      <c r="O34" s="2920"/>
      <c r="P34" s="2920"/>
      <c r="Q34" s="2920"/>
      <c r="R34" s="2920"/>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0"/>
    </row>
    <row r="35" spans="1:83" ht="14.25">
      <c r="A35" s="2940" t="s">
        <v>657</v>
      </c>
      <c r="B35" s="2941">
        <v>200</v>
      </c>
      <c r="C35" s="2953" t="s">
        <v>658</v>
      </c>
      <c r="D35" s="2923"/>
      <c r="E35" s="2922"/>
      <c r="F35" s="2922"/>
      <c r="G35" s="2922"/>
      <c r="H35" s="2922"/>
      <c r="I35" s="2922"/>
      <c r="J35" s="2922"/>
      <c r="K35" s="3010"/>
      <c r="L35" s="3010"/>
      <c r="M35" s="2920"/>
      <c r="N35" s="2920"/>
      <c r="O35" s="2920"/>
      <c r="P35" s="2920"/>
      <c r="Q35" s="2920"/>
      <c r="R35" s="2920"/>
      <c r="S35" s="2920"/>
      <c r="T35" s="2920"/>
      <c r="U35" s="2920"/>
      <c r="V35" s="2920"/>
      <c r="W35" s="2920"/>
      <c r="X35" s="2920"/>
      <c r="Y35" s="2920"/>
      <c r="Z35" s="2920"/>
      <c r="AA35" s="2920"/>
      <c r="AB35" s="2920"/>
      <c r="AC35" s="2920"/>
      <c r="AD35" s="2920"/>
      <c r="AE35" s="2920"/>
      <c r="AF35" s="2920"/>
      <c r="AG35" s="2920"/>
      <c r="AH35" s="2920"/>
      <c r="AI35" s="2920"/>
      <c r="AJ35" s="2920"/>
      <c r="AK35" s="2920"/>
      <c r="AL35" s="2920"/>
      <c r="AM35" s="2920"/>
      <c r="AN35" s="2920"/>
      <c r="AO35" s="2920"/>
      <c r="AP35" s="2920"/>
      <c r="AQ35" s="2920"/>
      <c r="AR35" s="2920"/>
      <c r="AS35" s="2920"/>
      <c r="AT35" s="2920"/>
      <c r="AU35" s="2920"/>
      <c r="AV35" s="2920"/>
      <c r="AW35" s="2920"/>
      <c r="AX35" s="2920"/>
      <c r="AY35" s="2920"/>
      <c r="AZ35" s="2920"/>
    </row>
    <row r="36" spans="1:83" ht="14.25">
      <c r="A36" s="2943" t="s">
        <v>659</v>
      </c>
      <c r="B36" s="2956">
        <v>1.4999999999999999E-2</v>
      </c>
      <c r="C36" s="2953" t="s">
        <v>660</v>
      </c>
      <c r="D36" s="2921"/>
      <c r="E36" s="2920"/>
      <c r="F36" s="2922"/>
      <c r="G36" s="2922"/>
      <c r="H36" s="2922"/>
      <c r="I36" s="2922"/>
      <c r="J36" s="2922"/>
      <c r="K36" s="3010"/>
      <c r="L36" s="3010"/>
      <c r="M36" s="2920"/>
      <c r="N36" s="2920"/>
      <c r="O36" s="2920"/>
      <c r="P36" s="2920"/>
      <c r="Q36" s="2920"/>
      <c r="R36" s="2920"/>
      <c r="S36" s="2920"/>
      <c r="T36" s="2920"/>
      <c r="U36" s="2920"/>
      <c r="V36" s="2920"/>
      <c r="W36" s="2920"/>
      <c r="X36" s="2920"/>
      <c r="Y36" s="2920"/>
      <c r="Z36" s="2920"/>
      <c r="AA36" s="2920"/>
      <c r="AB36" s="2920"/>
      <c r="AC36" s="2920"/>
      <c r="AD36" s="2920"/>
      <c r="AE36" s="2920"/>
      <c r="AF36" s="2920"/>
      <c r="AG36" s="2920"/>
      <c r="AH36" s="2920"/>
      <c r="AI36" s="2920"/>
      <c r="AJ36" s="2920"/>
      <c r="AK36" s="2920"/>
      <c r="AL36" s="2920"/>
      <c r="AM36" s="2920"/>
      <c r="AN36" s="2920"/>
      <c r="AO36" s="2920"/>
      <c r="AP36" s="2920"/>
      <c r="AQ36" s="2920"/>
      <c r="AR36" s="2920"/>
      <c r="AS36" s="2920"/>
      <c r="AT36" s="2920"/>
      <c r="AU36" s="2920"/>
      <c r="AV36" s="2920"/>
      <c r="AW36" s="2920"/>
      <c r="AX36" s="2920"/>
      <c r="AY36" s="2920"/>
      <c r="AZ36" s="2920"/>
    </row>
    <row r="37" spans="1:83" ht="14.25">
      <c r="A37" s="2946" t="s">
        <v>661</v>
      </c>
      <c r="B37" s="2957">
        <v>1.4999999999999999E-2</v>
      </c>
      <c r="C37" s="2953" t="s">
        <v>662</v>
      </c>
      <c r="D37" s="2923"/>
      <c r="E37" s="2922"/>
      <c r="F37" s="2922"/>
      <c r="G37" s="2922"/>
      <c r="H37" s="2922"/>
      <c r="I37" s="2922"/>
      <c r="J37" s="2922"/>
      <c r="K37" s="3010"/>
      <c r="L37" s="301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0"/>
      <c r="AV37" s="2920"/>
      <c r="AW37" s="2920"/>
      <c r="AX37" s="2920"/>
      <c r="AY37" s="2920"/>
      <c r="AZ37" s="2920"/>
    </row>
    <row r="38" spans="1:83" ht="14.25">
      <c r="A38" s="2940" t="s">
        <v>663</v>
      </c>
      <c r="B38" s="2954">
        <v>1.4999999999999999E-2</v>
      </c>
      <c r="C38" s="2953" t="s">
        <v>662</v>
      </c>
      <c r="D38" s="2923"/>
      <c r="E38" s="2922"/>
      <c r="F38" s="2922"/>
      <c r="G38" s="2922"/>
      <c r="H38" s="2922"/>
      <c r="I38" s="2922"/>
      <c r="J38" s="2922"/>
      <c r="K38" s="3010"/>
      <c r="L38" s="3010"/>
      <c r="M38" s="2920"/>
      <c r="N38" s="2920"/>
      <c r="O38" s="2920"/>
      <c r="P38" s="2920"/>
      <c r="Q38" s="2920"/>
      <c r="R38" s="2920"/>
      <c r="S38" s="2920"/>
      <c r="T38" s="2920"/>
      <c r="U38" s="2920"/>
      <c r="V38" s="2920"/>
      <c r="W38" s="2920"/>
      <c r="X38" s="2920"/>
      <c r="Y38" s="2920"/>
      <c r="Z38" s="2920"/>
      <c r="AA38" s="2920"/>
      <c r="AB38" s="2920"/>
      <c r="AC38" s="2920"/>
      <c r="AD38" s="2920"/>
      <c r="AE38" s="2920"/>
      <c r="AF38" s="2920"/>
      <c r="AG38" s="2920"/>
      <c r="AH38" s="2920"/>
      <c r="AI38" s="2920"/>
      <c r="AJ38" s="2920"/>
      <c r="AK38" s="2920"/>
      <c r="AL38" s="2920"/>
      <c r="AM38" s="2920"/>
      <c r="AN38" s="2920"/>
      <c r="AO38" s="2920"/>
      <c r="AP38" s="2920"/>
      <c r="AQ38" s="2920"/>
      <c r="AR38" s="2920"/>
      <c r="AS38" s="2920"/>
      <c r="AT38" s="2920"/>
      <c r="AU38" s="2920"/>
      <c r="AV38" s="2920"/>
      <c r="AW38" s="2920"/>
      <c r="AX38" s="2920"/>
      <c r="AY38" s="2920"/>
      <c r="AZ38" s="2920"/>
    </row>
    <row r="39" spans="1:83" ht="14.25">
      <c r="A39" s="2958" t="s">
        <v>664</v>
      </c>
      <c r="B39" s="774">
        <f ca="1">存贷款利率!C4</f>
        <v>1.4999999999999999E-2</v>
      </c>
      <c r="C39" s="2959"/>
      <c r="D39" s="2923"/>
      <c r="E39" s="2922"/>
      <c r="F39" s="2922"/>
      <c r="G39" s="2922"/>
      <c r="H39" s="2922"/>
      <c r="I39" s="2922"/>
      <c r="J39" s="2922"/>
      <c r="K39" s="3010"/>
      <c r="L39" s="3010"/>
      <c r="M39" s="2920"/>
      <c r="N39" s="2920"/>
      <c r="O39" s="2920"/>
      <c r="P39" s="2920"/>
      <c r="Q39" s="2920"/>
      <c r="R39" s="2920"/>
      <c r="S39" s="2920"/>
      <c r="T39" s="2920"/>
      <c r="U39" s="2920"/>
      <c r="V39" s="2920"/>
      <c r="W39" s="2920"/>
      <c r="X39" s="2920"/>
      <c r="Y39" s="2920"/>
      <c r="Z39" s="2920"/>
      <c r="AA39" s="2920"/>
      <c r="AB39" s="2920"/>
      <c r="AC39" s="2920"/>
      <c r="AD39" s="2920"/>
      <c r="AE39" s="2920"/>
      <c r="AF39" s="2920"/>
      <c r="AG39" s="2920"/>
      <c r="AH39" s="2920"/>
      <c r="AI39" s="2920"/>
      <c r="AJ39" s="2920"/>
      <c r="AK39" s="2920"/>
      <c r="AL39" s="2920"/>
      <c r="AM39" s="2920"/>
      <c r="AN39" s="2920"/>
      <c r="AO39" s="2920"/>
      <c r="AP39" s="2920"/>
      <c r="AQ39" s="2920"/>
      <c r="AR39" s="2920"/>
      <c r="AS39" s="2920"/>
      <c r="AT39" s="2920"/>
      <c r="AU39" s="2920"/>
      <c r="AV39" s="2920"/>
      <c r="AW39" s="2920"/>
      <c r="AX39" s="2920"/>
      <c r="AY39" s="2920"/>
      <c r="AZ39" s="2920"/>
    </row>
    <row r="40" spans="1:83" ht="14.25">
      <c r="A40" s="2960" t="s">
        <v>665</v>
      </c>
      <c r="B40" s="2961">
        <f ca="1">IF(A40="利息：取LPR",存贷款利率!E2,存贷款利率!E2+C40)</f>
        <v>3.4500000000000003E-2</v>
      </c>
      <c r="C40" s="2962">
        <v>5.0000000000000001E-3</v>
      </c>
      <c r="D40" s="2923"/>
      <c r="E40" s="2922"/>
      <c r="F40" s="2922"/>
      <c r="G40" s="2922"/>
      <c r="H40" s="2922"/>
      <c r="I40" s="2922"/>
      <c r="J40" s="2922"/>
      <c r="K40" s="3010"/>
      <c r="L40" s="301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c r="AJ40" s="2920"/>
      <c r="AK40" s="2920"/>
      <c r="AL40" s="2920"/>
      <c r="AM40" s="2920"/>
      <c r="AN40" s="2920"/>
      <c r="AO40" s="2920"/>
      <c r="AP40" s="2920"/>
      <c r="AQ40" s="2920"/>
      <c r="AR40" s="2920"/>
      <c r="AS40" s="2920"/>
      <c r="AT40" s="2920"/>
      <c r="AU40" s="2920"/>
      <c r="AV40" s="2920"/>
      <c r="AW40" s="2920"/>
      <c r="AX40" s="2920"/>
      <c r="AY40" s="2920"/>
      <c r="AZ40" s="2920"/>
    </row>
    <row r="41" spans="1:83" ht="14.25">
      <c r="A41" s="2935" t="s">
        <v>666</v>
      </c>
      <c r="B41" s="2963">
        <f>B42+B43</f>
        <v>5.5E-2</v>
      </c>
      <c r="C41" s="2949"/>
      <c r="D41" s="2923"/>
      <c r="E41" s="2922"/>
      <c r="F41" s="2922"/>
      <c r="G41" s="2922"/>
      <c r="H41" s="2922"/>
      <c r="I41" s="2922"/>
      <c r="J41" s="2922"/>
      <c r="K41" s="3010"/>
      <c r="L41" s="301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0"/>
      <c r="AL41" s="2920"/>
      <c r="AM41" s="2920"/>
      <c r="AN41" s="2920"/>
      <c r="AO41" s="2920"/>
      <c r="AP41" s="2920"/>
      <c r="AQ41" s="2920"/>
      <c r="AR41" s="2920"/>
      <c r="AS41" s="2920"/>
      <c r="AT41" s="2920"/>
      <c r="AU41" s="2920"/>
      <c r="AV41" s="2920"/>
      <c r="AW41" s="2920"/>
      <c r="AX41" s="2920"/>
      <c r="AY41" s="2920"/>
      <c r="AZ41" s="2920"/>
    </row>
    <row r="42" spans="1:83" ht="14.25">
      <c r="A42" s="2964" t="s">
        <v>667</v>
      </c>
      <c r="B42" s="2965">
        <v>0.05</v>
      </c>
      <c r="C42" s="2966">
        <f>IF(B2&lt;DATE(2016,5,1),0,B42)</f>
        <v>0.05</v>
      </c>
      <c r="D42" s="2923"/>
      <c r="E42" s="2922"/>
      <c r="F42" s="2922"/>
      <c r="G42" s="2922"/>
      <c r="H42" s="2922"/>
      <c r="I42" s="2922"/>
      <c r="J42" s="2922"/>
      <c r="K42" s="3010"/>
      <c r="L42" s="301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0"/>
      <c r="AL42" s="2920"/>
      <c r="AM42" s="2920"/>
      <c r="AN42" s="2920"/>
      <c r="AO42" s="2920"/>
      <c r="AP42" s="2920"/>
      <c r="AQ42" s="2920"/>
      <c r="AR42" s="2920"/>
      <c r="AS42" s="2920"/>
      <c r="AT42" s="2920"/>
      <c r="AU42" s="2920"/>
      <c r="AV42" s="2920"/>
      <c r="AW42" s="2920"/>
      <c r="AX42" s="2920"/>
      <c r="AY42" s="2920"/>
      <c r="AZ42" s="2920"/>
    </row>
    <row r="43" spans="1:83" ht="14.25">
      <c r="A43" s="2964" t="s">
        <v>668</v>
      </c>
      <c r="B43" s="2967">
        <f>B42*(B44+B45+B46)+B47</f>
        <v>5.0000000000000001E-3</v>
      </c>
      <c r="C43" s="2949"/>
      <c r="D43" s="2923"/>
      <c r="E43" s="2922"/>
      <c r="F43" s="2922"/>
      <c r="G43" s="2922"/>
      <c r="H43" s="2922"/>
      <c r="I43" s="2922"/>
      <c r="J43" s="2922"/>
      <c r="K43" s="3010"/>
      <c r="L43" s="301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0"/>
      <c r="AV43" s="2920"/>
      <c r="AW43" s="2920"/>
      <c r="AX43" s="2920"/>
      <c r="AY43" s="2920"/>
      <c r="AZ43" s="2920"/>
    </row>
    <row r="44" spans="1:83" ht="14.25">
      <c r="A44" s="2968" t="s">
        <v>669</v>
      </c>
      <c r="B44" s="2969">
        <v>0.05</v>
      </c>
      <c r="C44" s="2953" t="s">
        <v>670</v>
      </c>
      <c r="D44" s="2923"/>
      <c r="E44" s="2922"/>
      <c r="F44" s="2922"/>
      <c r="G44" s="2922"/>
      <c r="H44" s="2922"/>
      <c r="I44" s="2922"/>
      <c r="J44" s="2922"/>
      <c r="K44" s="3010"/>
      <c r="L44" s="301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0"/>
      <c r="AV44" s="2920"/>
      <c r="AW44" s="2920"/>
      <c r="AX44" s="2920"/>
      <c r="AY44" s="2920"/>
      <c r="AZ44" s="2920"/>
    </row>
    <row r="45" spans="1:83" ht="14.25">
      <c r="A45" s="2968" t="s">
        <v>671</v>
      </c>
      <c r="B45" s="2965">
        <v>0.03</v>
      </c>
      <c r="C45" s="2970" t="s">
        <v>672</v>
      </c>
      <c r="D45" s="2923"/>
      <c r="E45" s="2922"/>
      <c r="F45" s="2922"/>
      <c r="G45" s="2922"/>
      <c r="H45" s="2922"/>
      <c r="I45" s="2922"/>
      <c r="J45" s="2922"/>
      <c r="K45" s="3010"/>
      <c r="L45" s="3010"/>
      <c r="M45" s="2920"/>
      <c r="N45" s="2920"/>
      <c r="O45" s="2920"/>
      <c r="P45" s="2920"/>
      <c r="Q45" s="2920"/>
      <c r="R45" s="2920"/>
      <c r="S45" s="2920"/>
      <c r="T45" s="2920"/>
      <c r="U45" s="2920"/>
      <c r="V45" s="2920"/>
      <c r="W45" s="2920"/>
      <c r="X45" s="2920"/>
      <c r="Y45" s="2920"/>
      <c r="Z45" s="2920"/>
      <c r="AA45" s="2920"/>
      <c r="AB45" s="2920"/>
      <c r="AC45" s="2920"/>
      <c r="AD45" s="2920"/>
      <c r="AE45" s="2920"/>
      <c r="AF45" s="2920"/>
      <c r="AG45" s="2920"/>
      <c r="AH45" s="2920"/>
      <c r="AI45" s="2920"/>
      <c r="AJ45" s="2920"/>
      <c r="AK45" s="2920"/>
      <c r="AL45" s="2920"/>
      <c r="AM45" s="2920"/>
      <c r="AN45" s="2920"/>
      <c r="AO45" s="2920"/>
      <c r="AP45" s="2920"/>
      <c r="AQ45" s="2920"/>
      <c r="AR45" s="2920"/>
      <c r="AS45" s="2920"/>
      <c r="AT45" s="2920"/>
      <c r="AU45" s="2920"/>
      <c r="AV45" s="2920"/>
      <c r="AW45" s="2920"/>
      <c r="AX45" s="2920"/>
      <c r="AY45" s="2920"/>
      <c r="AZ45" s="2920"/>
    </row>
    <row r="46" spans="1:83" ht="14.25">
      <c r="A46" s="2968" t="s">
        <v>673</v>
      </c>
      <c r="B46" s="2965">
        <v>0.02</v>
      </c>
      <c r="C46" s="2970" t="s">
        <v>674</v>
      </c>
      <c r="D46" s="2923"/>
      <c r="E46" s="2922"/>
      <c r="F46" s="2922"/>
      <c r="G46" s="2922"/>
      <c r="H46" s="2922"/>
      <c r="I46" s="2922"/>
      <c r="J46" s="2922"/>
      <c r="K46" s="3010"/>
      <c r="L46" s="3010"/>
      <c r="M46" s="2920"/>
      <c r="N46" s="2920"/>
      <c r="O46" s="2920"/>
      <c r="P46" s="2920"/>
      <c r="Q46" s="2920"/>
      <c r="R46" s="2920"/>
      <c r="S46" s="2920"/>
      <c r="T46" s="2920"/>
      <c r="U46" s="2920"/>
      <c r="V46" s="2920"/>
      <c r="W46" s="2920"/>
      <c r="X46" s="2920"/>
      <c r="Y46" s="2920"/>
      <c r="Z46" s="2920"/>
      <c r="AA46" s="2920"/>
      <c r="AB46" s="2920"/>
      <c r="AC46" s="2920"/>
      <c r="AD46" s="2920"/>
      <c r="AE46" s="2920"/>
      <c r="AF46" s="2920"/>
      <c r="AG46" s="2920"/>
      <c r="AH46" s="2920"/>
      <c r="AI46" s="2920"/>
      <c r="AJ46" s="2920"/>
      <c r="AK46" s="2920"/>
      <c r="AL46" s="2920"/>
      <c r="AM46" s="2920"/>
      <c r="AN46" s="2920"/>
      <c r="AO46" s="2920"/>
      <c r="AP46" s="2920"/>
      <c r="AQ46" s="2920"/>
      <c r="AR46" s="2920"/>
      <c r="AS46" s="2920"/>
      <c r="AT46" s="2920"/>
      <c r="AU46" s="2920"/>
      <c r="AV46" s="2920"/>
      <c r="AW46" s="2920"/>
      <c r="AX46" s="2920"/>
      <c r="AY46" s="2920"/>
      <c r="AZ46" s="2920"/>
    </row>
    <row r="47" spans="1:83" ht="14.25">
      <c r="A47" s="2971" t="s">
        <v>675</v>
      </c>
      <c r="B47" s="2972"/>
      <c r="C47" s="2937" t="s">
        <v>676</v>
      </c>
      <c r="D47" s="2923"/>
      <c r="E47" s="2922"/>
      <c r="F47" s="2922"/>
      <c r="G47" s="2922"/>
      <c r="H47" s="2922"/>
      <c r="I47" s="2922"/>
      <c r="J47" s="2922"/>
      <c r="K47" s="3010"/>
      <c r="L47" s="3010"/>
      <c r="M47" s="2920"/>
      <c r="N47" s="2920"/>
      <c r="O47" s="2920"/>
      <c r="P47" s="2920"/>
      <c r="Q47" s="2920"/>
      <c r="R47" s="2920"/>
      <c r="S47" s="2920"/>
      <c r="T47" s="2920"/>
      <c r="U47" s="2920"/>
      <c r="V47" s="2920"/>
      <c r="W47" s="2920"/>
      <c r="X47" s="2920"/>
      <c r="Y47" s="2920"/>
      <c r="Z47" s="2920"/>
      <c r="AA47" s="2920"/>
      <c r="AB47" s="2920"/>
      <c r="AC47" s="2920"/>
      <c r="AD47" s="2920"/>
      <c r="AE47" s="2920"/>
      <c r="AF47" s="2920"/>
      <c r="AG47" s="2920"/>
      <c r="AH47" s="2920"/>
      <c r="AI47" s="2920"/>
      <c r="AJ47" s="2920"/>
      <c r="AK47" s="2920"/>
      <c r="AL47" s="2920"/>
      <c r="AM47" s="2920"/>
      <c r="AN47" s="2920"/>
      <c r="AO47" s="2920"/>
      <c r="AP47" s="2920"/>
      <c r="AQ47" s="2920"/>
      <c r="AR47" s="2920"/>
      <c r="AS47" s="2920"/>
      <c r="AT47" s="2920"/>
      <c r="AU47" s="2920"/>
      <c r="AV47" s="2920"/>
      <c r="AW47" s="2920"/>
      <c r="AX47" s="2920"/>
      <c r="AY47" s="2920"/>
      <c r="AZ47" s="2920"/>
    </row>
    <row r="48" spans="1:83" ht="14.25">
      <c r="A48" s="2973" t="s">
        <v>677</v>
      </c>
      <c r="B48" s="2974">
        <v>0.03</v>
      </c>
      <c r="C48" s="2970" t="s">
        <v>672</v>
      </c>
      <c r="D48" s="2923"/>
      <c r="E48" s="2922"/>
      <c r="F48" s="2922"/>
      <c r="G48" s="2922"/>
      <c r="H48" s="2922"/>
      <c r="I48" s="2922"/>
      <c r="J48" s="2922"/>
      <c r="K48" s="3010"/>
      <c r="L48" s="3010"/>
      <c r="M48" s="2920"/>
      <c r="N48" s="2920"/>
      <c r="O48" s="2920"/>
      <c r="P48" s="2920"/>
      <c r="Q48" s="2920"/>
      <c r="R48" s="2920"/>
      <c r="S48" s="2920"/>
      <c r="T48" s="2920"/>
      <c r="U48" s="2920"/>
      <c r="V48" s="2920"/>
      <c r="W48" s="2920"/>
      <c r="X48" s="2920"/>
      <c r="Y48" s="2920"/>
      <c r="Z48" s="2920"/>
      <c r="AA48" s="2920"/>
      <c r="AB48" s="2920"/>
      <c r="AC48" s="2920"/>
      <c r="AD48" s="2920"/>
      <c r="AE48" s="2920"/>
      <c r="AF48" s="2920"/>
      <c r="AG48" s="2920"/>
      <c r="AH48" s="2920"/>
      <c r="AI48" s="2920"/>
      <c r="AJ48" s="2920"/>
      <c r="AK48" s="2920"/>
      <c r="AL48" s="2920"/>
      <c r="AM48" s="2920"/>
      <c r="AN48" s="2920"/>
      <c r="AO48" s="2920"/>
      <c r="AP48" s="2920"/>
      <c r="AQ48" s="2920"/>
      <c r="AR48" s="2920"/>
      <c r="AS48" s="2920"/>
      <c r="AT48" s="2920"/>
      <c r="AU48" s="2920"/>
      <c r="AV48" s="2920"/>
      <c r="AW48" s="2920"/>
      <c r="AX48" s="2920"/>
      <c r="AY48" s="2920"/>
      <c r="AZ48" s="2920"/>
    </row>
    <row r="49" spans="1:52" ht="14.25">
      <c r="A49" s="2950" t="s">
        <v>678</v>
      </c>
      <c r="B49" s="2965">
        <v>5.0000000000000001E-4</v>
      </c>
      <c r="C49" s="2970" t="s">
        <v>679</v>
      </c>
      <c r="D49" s="2923"/>
      <c r="E49" s="2922"/>
      <c r="F49" s="2922"/>
      <c r="G49" s="2922"/>
      <c r="H49" s="2922"/>
      <c r="I49" s="2922"/>
      <c r="J49" s="2922"/>
      <c r="K49" s="3010"/>
      <c r="L49" s="3010"/>
      <c r="M49" s="2920"/>
      <c r="N49" s="2920"/>
      <c r="O49" s="2920"/>
      <c r="P49" s="2920"/>
      <c r="Q49" s="2920"/>
      <c r="R49" s="2920"/>
      <c r="S49" s="2920"/>
      <c r="T49" s="2920"/>
      <c r="U49" s="2920"/>
      <c r="V49" s="2920"/>
      <c r="W49" s="2920"/>
      <c r="X49" s="2920"/>
      <c r="Y49" s="2920"/>
      <c r="Z49" s="2920"/>
      <c r="AA49" s="2920"/>
      <c r="AB49" s="2920"/>
      <c r="AC49" s="2920"/>
      <c r="AD49" s="2920"/>
      <c r="AE49" s="2920"/>
      <c r="AF49" s="2920"/>
      <c r="AG49" s="2920"/>
      <c r="AH49" s="2920"/>
      <c r="AI49" s="2920"/>
      <c r="AJ49" s="2920"/>
      <c r="AK49" s="2920"/>
      <c r="AL49" s="2920"/>
      <c r="AM49" s="2920"/>
      <c r="AN49" s="2920"/>
      <c r="AO49" s="2920"/>
      <c r="AP49" s="2920"/>
      <c r="AQ49" s="2920"/>
      <c r="AR49" s="2920"/>
      <c r="AS49" s="2920"/>
      <c r="AT49" s="2920"/>
      <c r="AU49" s="2920"/>
      <c r="AV49" s="2920"/>
      <c r="AW49" s="2920"/>
      <c r="AX49" s="2920"/>
      <c r="AY49" s="2920"/>
      <c r="AZ49" s="2920"/>
    </row>
    <row r="50" spans="1:52" ht="14.25">
      <c r="A50" s="2975" t="s">
        <v>680</v>
      </c>
      <c r="B50" s="2976">
        <v>1.2E-2</v>
      </c>
      <c r="C50" s="2942"/>
      <c r="D50" s="2923"/>
      <c r="E50" s="2922"/>
      <c r="F50" s="2922"/>
      <c r="G50" s="2922"/>
      <c r="H50" s="2922"/>
      <c r="I50" s="2922"/>
      <c r="J50" s="2922"/>
      <c r="K50" s="3010"/>
      <c r="L50" s="3010"/>
      <c r="M50" s="2920"/>
      <c r="N50" s="2920"/>
      <c r="O50" s="2920"/>
      <c r="P50" s="2920"/>
      <c r="Q50" s="2920"/>
      <c r="R50" s="2920"/>
      <c r="S50" s="2920"/>
      <c r="T50" s="2920"/>
      <c r="U50" s="2920"/>
      <c r="V50" s="2920"/>
      <c r="W50" s="2920"/>
      <c r="X50" s="2920"/>
      <c r="Y50" s="2920"/>
      <c r="Z50" s="2920"/>
      <c r="AA50" s="2920"/>
      <c r="AB50" s="2920"/>
      <c r="AC50" s="2920"/>
      <c r="AD50" s="2920"/>
      <c r="AE50" s="2920"/>
      <c r="AF50" s="2920"/>
      <c r="AG50" s="2920"/>
      <c r="AH50" s="2920"/>
      <c r="AI50" s="2920"/>
      <c r="AJ50" s="2920"/>
      <c r="AK50" s="2920"/>
      <c r="AL50" s="2920"/>
      <c r="AM50" s="2920"/>
      <c r="AN50" s="2920"/>
      <c r="AO50" s="2920"/>
      <c r="AP50" s="2920"/>
      <c r="AQ50" s="2920"/>
      <c r="AR50" s="2920"/>
      <c r="AS50" s="2920"/>
      <c r="AT50" s="2920"/>
      <c r="AU50" s="2920"/>
      <c r="AV50" s="2920"/>
      <c r="AW50" s="2920"/>
      <c r="AX50" s="2920"/>
      <c r="AY50" s="2920"/>
      <c r="AZ50" s="2920"/>
    </row>
    <row r="51" spans="1:52" ht="14.25">
      <c r="A51" s="2943" t="s">
        <v>681</v>
      </c>
      <c r="B51" s="2977">
        <v>0.12</v>
      </c>
      <c r="C51" s="2942"/>
      <c r="D51" s="2923"/>
      <c r="E51" s="2922"/>
      <c r="F51" s="2922"/>
      <c r="G51" s="2922"/>
      <c r="H51" s="2922"/>
      <c r="I51" s="2922"/>
      <c r="J51" s="2922"/>
      <c r="K51" s="3010"/>
      <c r="L51" s="3010"/>
      <c r="M51" s="2920"/>
      <c r="N51" s="2920"/>
      <c r="O51" s="2920"/>
      <c r="P51" s="2920"/>
      <c r="Q51" s="2920"/>
      <c r="R51" s="2920"/>
      <c r="S51" s="2920"/>
      <c r="T51" s="2920"/>
      <c r="U51" s="2920"/>
      <c r="V51" s="2920"/>
      <c r="W51" s="2920"/>
      <c r="X51" s="2920"/>
      <c r="Y51" s="2920"/>
      <c r="Z51" s="2920"/>
      <c r="AA51" s="2920"/>
      <c r="AB51" s="2920"/>
      <c r="AC51" s="2920"/>
      <c r="AD51" s="2920"/>
      <c r="AE51" s="2920"/>
      <c r="AF51" s="2920"/>
      <c r="AG51" s="2920"/>
      <c r="AH51" s="2920"/>
      <c r="AI51" s="2920"/>
      <c r="AJ51" s="2920"/>
      <c r="AK51" s="2920"/>
      <c r="AL51" s="2920"/>
      <c r="AM51" s="2920"/>
      <c r="AN51" s="2920"/>
      <c r="AO51" s="2920"/>
      <c r="AP51" s="2920"/>
      <c r="AQ51" s="2920"/>
      <c r="AR51" s="2920"/>
      <c r="AS51" s="2920"/>
      <c r="AT51" s="2920"/>
      <c r="AU51" s="2920"/>
      <c r="AV51" s="2920"/>
      <c r="AW51" s="2920"/>
      <c r="AX51" s="2920"/>
      <c r="AY51" s="2920"/>
      <c r="AZ51" s="2920"/>
    </row>
    <row r="52" spans="1:52" ht="14.25">
      <c r="A52" s="2975" t="s">
        <v>682</v>
      </c>
      <c r="B52" s="2978">
        <f>SUMIF(A54:A63,B53,B54:B63)</f>
        <v>1.5</v>
      </c>
      <c r="C52" s="2942"/>
      <c r="D52" s="2923"/>
      <c r="E52" s="2922"/>
      <c r="F52" s="2922"/>
      <c r="G52" s="2922"/>
      <c r="H52" s="2922"/>
      <c r="I52" s="2922"/>
      <c r="J52" s="2922"/>
      <c r="K52" s="3010"/>
      <c r="L52" s="3010"/>
      <c r="M52" s="2920"/>
      <c r="N52" s="2920"/>
      <c r="O52" s="2920"/>
      <c r="P52" s="2920"/>
      <c r="Q52" s="2920"/>
      <c r="R52" s="2920"/>
      <c r="S52" s="2920"/>
      <c r="T52" s="2920"/>
      <c r="U52" s="2920"/>
      <c r="V52" s="2920"/>
      <c r="W52" s="2920"/>
      <c r="X52" s="2920"/>
      <c r="Y52" s="2920"/>
      <c r="Z52" s="2920"/>
      <c r="AA52" s="2920"/>
      <c r="AB52" s="2920"/>
      <c r="AC52" s="2920"/>
      <c r="AD52" s="2920"/>
      <c r="AE52" s="2920"/>
      <c r="AF52" s="2920"/>
      <c r="AG52" s="2920"/>
      <c r="AH52" s="2920"/>
      <c r="AI52" s="2920"/>
      <c r="AJ52" s="2920"/>
      <c r="AK52" s="2920"/>
      <c r="AL52" s="2920"/>
      <c r="AM52" s="2920"/>
      <c r="AN52" s="2920"/>
      <c r="AO52" s="2920"/>
      <c r="AP52" s="2920"/>
      <c r="AQ52" s="2920"/>
      <c r="AR52" s="2920"/>
      <c r="AS52" s="2920"/>
      <c r="AT52" s="2920"/>
      <c r="AU52" s="2920"/>
      <c r="AV52" s="2920"/>
      <c r="AW52" s="2920"/>
      <c r="AX52" s="2920"/>
      <c r="AY52" s="2920"/>
      <c r="AZ52" s="2920"/>
    </row>
    <row r="53" spans="1:52" ht="27">
      <c r="A53" s="2940" t="s">
        <v>683</v>
      </c>
      <c r="B53" s="2979" t="s">
        <v>290</v>
      </c>
      <c r="C53" s="2980" t="s">
        <v>684</v>
      </c>
      <c r="D53" s="2981" t="s">
        <v>685</v>
      </c>
      <c r="E53" s="2922"/>
      <c r="F53" s="2922"/>
      <c r="G53" s="2922"/>
      <c r="H53" s="2922"/>
      <c r="I53" s="2922"/>
      <c r="J53" s="2922"/>
      <c r="K53" s="3010"/>
      <c r="L53" s="3010"/>
      <c r="M53" s="2920"/>
      <c r="N53" s="2920"/>
      <c r="O53" s="2920"/>
      <c r="P53" s="2920"/>
      <c r="Q53" s="2920"/>
      <c r="R53" s="2920"/>
      <c r="S53" s="2920"/>
      <c r="T53" s="2920"/>
      <c r="U53" s="2920"/>
      <c r="V53" s="2920"/>
      <c r="W53" s="2920"/>
      <c r="X53" s="2920"/>
      <c r="Y53" s="2920"/>
      <c r="Z53" s="2920"/>
      <c r="AA53" s="2920"/>
      <c r="AB53" s="2920"/>
      <c r="AC53" s="2920"/>
      <c r="AD53" s="2920"/>
      <c r="AE53" s="2920"/>
      <c r="AF53" s="2920"/>
      <c r="AG53" s="2920"/>
      <c r="AH53" s="2920"/>
      <c r="AI53" s="2920"/>
      <c r="AJ53" s="2920"/>
      <c r="AK53" s="2920"/>
      <c r="AL53" s="2920"/>
      <c r="AM53" s="2920"/>
      <c r="AN53" s="2920"/>
      <c r="AO53" s="2920"/>
      <c r="AP53" s="2920"/>
      <c r="AQ53" s="2920"/>
      <c r="AR53" s="2920"/>
      <c r="AS53" s="2920"/>
      <c r="AT53" s="2920"/>
      <c r="AU53" s="2920"/>
      <c r="AV53" s="2920"/>
      <c r="AW53" s="2920"/>
      <c r="AX53" s="2920"/>
      <c r="AY53" s="2920"/>
      <c r="AZ53" s="2920"/>
    </row>
    <row r="54" spans="1:52" ht="14.25">
      <c r="A54" s="2982" t="s">
        <v>238</v>
      </c>
      <c r="B54" s="2983"/>
      <c r="C54" s="2939">
        <v>30</v>
      </c>
      <c r="D54" s="2984"/>
      <c r="E54" s="2922"/>
      <c r="F54" s="2922"/>
      <c r="G54" s="2922"/>
      <c r="H54" s="2922"/>
      <c r="I54" s="2922"/>
      <c r="J54" s="2922"/>
      <c r="K54" s="3010"/>
      <c r="L54" s="301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0"/>
      <c r="AV54" s="2920"/>
      <c r="AW54" s="2920"/>
      <c r="AX54" s="2920"/>
      <c r="AY54" s="2920"/>
      <c r="AZ54" s="2920"/>
    </row>
    <row r="55" spans="1:52" ht="14.25">
      <c r="A55" s="2982" t="s">
        <v>251</v>
      </c>
      <c r="B55" s="2983"/>
      <c r="C55" s="2939">
        <v>24</v>
      </c>
      <c r="D55" s="2984"/>
      <c r="E55" s="2922"/>
      <c r="F55" s="2922"/>
      <c r="G55" s="2922"/>
      <c r="H55" s="2922"/>
      <c r="I55" s="3011"/>
      <c r="J55" s="2922"/>
      <c r="K55" s="3010"/>
      <c r="L55" s="301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0"/>
      <c r="AV55" s="2920"/>
      <c r="AW55" s="2920"/>
      <c r="AX55" s="2920"/>
      <c r="AY55" s="2920"/>
      <c r="AZ55" s="2920"/>
    </row>
    <row r="56" spans="1:52" ht="14.25">
      <c r="A56" s="2982" t="s">
        <v>263</v>
      </c>
      <c r="B56" s="2983"/>
      <c r="C56" s="2939">
        <v>18</v>
      </c>
      <c r="D56" s="2984"/>
      <c r="E56" s="2922"/>
      <c r="F56" s="2922"/>
      <c r="G56" s="2922"/>
      <c r="H56" s="2922"/>
      <c r="I56" s="2922"/>
      <c r="J56" s="2922"/>
      <c r="K56" s="3010"/>
      <c r="L56" s="301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0"/>
      <c r="AV56" s="2920"/>
      <c r="AW56" s="2920"/>
      <c r="AX56" s="2920"/>
      <c r="AY56" s="2920"/>
      <c r="AZ56" s="2920"/>
    </row>
    <row r="57" spans="1:52" ht="14.25">
      <c r="A57" s="2982" t="s">
        <v>273</v>
      </c>
      <c r="B57" s="2983"/>
      <c r="C57" s="2939">
        <v>12</v>
      </c>
      <c r="D57" s="2984"/>
      <c r="E57" s="2922"/>
      <c r="F57" s="2922"/>
      <c r="G57" s="2922"/>
      <c r="H57" s="2922"/>
      <c r="I57" s="2922"/>
      <c r="J57" s="2922"/>
      <c r="K57" s="3010"/>
      <c r="L57" s="301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0"/>
      <c r="AS57" s="2920"/>
      <c r="AT57" s="2920"/>
      <c r="AU57" s="2920"/>
      <c r="AV57" s="2920"/>
      <c r="AW57" s="2920"/>
      <c r="AX57" s="2920"/>
      <c r="AY57" s="2920"/>
      <c r="AZ57" s="2920"/>
    </row>
    <row r="58" spans="1:52" ht="14.25">
      <c r="A58" s="2982" t="s">
        <v>282</v>
      </c>
      <c r="B58" s="2983"/>
      <c r="C58" s="2939">
        <v>3</v>
      </c>
      <c r="D58" s="2984"/>
      <c r="E58" s="2922"/>
      <c r="F58" s="2922"/>
      <c r="G58" s="2922"/>
      <c r="H58" s="2922"/>
      <c r="I58" s="2922"/>
      <c r="J58" s="2922"/>
      <c r="K58" s="3010"/>
      <c r="L58" s="3010"/>
      <c r="M58" s="2920"/>
      <c r="N58" s="2920"/>
      <c r="O58" s="2920"/>
      <c r="P58" s="2920"/>
      <c r="Q58" s="2920"/>
      <c r="R58" s="2920"/>
      <c r="S58" s="2920"/>
      <c r="T58" s="2920"/>
      <c r="U58" s="2920"/>
      <c r="V58" s="2920"/>
      <c r="W58" s="2920"/>
      <c r="X58" s="2920"/>
      <c r="Y58" s="2920"/>
      <c r="Z58" s="2920"/>
      <c r="AA58" s="2920"/>
      <c r="AB58" s="2920"/>
      <c r="AC58" s="2920"/>
      <c r="AD58" s="2920"/>
      <c r="AE58" s="2920"/>
      <c r="AF58" s="2920"/>
      <c r="AG58" s="2920"/>
      <c r="AH58" s="2920"/>
      <c r="AI58" s="2920"/>
      <c r="AJ58" s="2920"/>
      <c r="AK58" s="2920"/>
      <c r="AL58" s="2920"/>
      <c r="AM58" s="2920"/>
      <c r="AN58" s="2920"/>
      <c r="AO58" s="2920"/>
      <c r="AP58" s="2920"/>
      <c r="AQ58" s="2920"/>
      <c r="AR58" s="2920"/>
      <c r="AS58" s="2920"/>
      <c r="AT58" s="2920"/>
      <c r="AU58" s="2920"/>
      <c r="AV58" s="2920"/>
      <c r="AW58" s="2920"/>
      <c r="AX58" s="2920"/>
      <c r="AY58" s="2920"/>
      <c r="AZ58" s="2920"/>
    </row>
    <row r="59" spans="1:52" ht="14.25">
      <c r="A59" s="2982" t="s">
        <v>290</v>
      </c>
      <c r="B59" s="2983">
        <v>1.5</v>
      </c>
      <c r="C59" s="2939">
        <v>1.5</v>
      </c>
      <c r="D59" s="2984"/>
      <c r="E59" s="2922"/>
      <c r="F59" s="2922"/>
      <c r="G59" s="2922"/>
      <c r="H59" s="2922"/>
      <c r="I59" s="2922"/>
      <c r="J59" s="2922"/>
      <c r="K59" s="3010"/>
      <c r="L59" s="3010"/>
      <c r="M59" s="2920"/>
      <c r="N59" s="2920"/>
      <c r="O59" s="2920"/>
      <c r="P59" s="2920"/>
      <c r="Q59" s="2920"/>
      <c r="R59" s="2920"/>
      <c r="S59" s="2920"/>
      <c r="T59" s="2920"/>
      <c r="U59" s="2920"/>
      <c r="V59" s="2920"/>
      <c r="W59" s="2920"/>
      <c r="X59" s="2920"/>
      <c r="Y59" s="2920"/>
      <c r="Z59" s="2920"/>
      <c r="AA59" s="2920"/>
      <c r="AB59" s="2920"/>
      <c r="AC59" s="2920"/>
      <c r="AD59" s="2920"/>
      <c r="AE59" s="2920"/>
      <c r="AF59" s="2920"/>
      <c r="AG59" s="2920"/>
      <c r="AH59" s="2920"/>
      <c r="AI59" s="2920"/>
      <c r="AJ59" s="2920"/>
      <c r="AK59" s="2920"/>
      <c r="AL59" s="2920"/>
      <c r="AM59" s="2920"/>
      <c r="AN59" s="2920"/>
      <c r="AO59" s="2920"/>
      <c r="AP59" s="2920"/>
      <c r="AQ59" s="2920"/>
      <c r="AR59" s="2920"/>
      <c r="AS59" s="2920"/>
      <c r="AT59" s="2920"/>
      <c r="AU59" s="2920"/>
      <c r="AV59" s="2920"/>
      <c r="AW59" s="2920"/>
      <c r="AX59" s="2920"/>
      <c r="AY59" s="2920"/>
      <c r="AZ59" s="2920"/>
    </row>
    <row r="60" spans="1:52" ht="14.25">
      <c r="A60" s="2982" t="s">
        <v>295</v>
      </c>
      <c r="B60" s="2983"/>
      <c r="C60" s="2922"/>
      <c r="D60" s="2923"/>
      <c r="E60" s="2922"/>
      <c r="F60" s="2922"/>
      <c r="G60" s="2922"/>
      <c r="H60" s="2922"/>
      <c r="I60" s="2922"/>
      <c r="J60" s="2922"/>
      <c r="K60" s="3010"/>
      <c r="L60" s="301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0"/>
      <c r="AX60" s="2920"/>
      <c r="AY60" s="2920"/>
      <c r="AZ60" s="2920"/>
    </row>
    <row r="61" spans="1:52" ht="14.25">
      <c r="A61" s="2982" t="s">
        <v>301</v>
      </c>
      <c r="B61" s="2983"/>
      <c r="C61" s="2922"/>
      <c r="D61" s="2923"/>
      <c r="E61" s="2922"/>
      <c r="F61" s="2922"/>
      <c r="G61" s="2922"/>
      <c r="H61" s="2922"/>
      <c r="I61" s="2922"/>
      <c r="J61" s="2922"/>
      <c r="K61" s="3010"/>
      <c r="L61" s="301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0"/>
      <c r="AX61" s="2920"/>
      <c r="AY61" s="2920"/>
      <c r="AZ61" s="2920"/>
    </row>
    <row r="62" spans="1:52" ht="14.25">
      <c r="A62" s="2982" t="s">
        <v>305</v>
      </c>
      <c r="B62" s="2983"/>
      <c r="C62" s="2922"/>
      <c r="D62" s="2923"/>
      <c r="E62" s="2922"/>
      <c r="F62" s="2922"/>
      <c r="G62" s="2922"/>
      <c r="H62" s="2922"/>
      <c r="I62" s="2922"/>
      <c r="J62" s="2922"/>
      <c r="K62" s="3010"/>
      <c r="L62" s="301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0"/>
      <c r="AX62" s="2920"/>
      <c r="AY62" s="2920"/>
      <c r="AZ62" s="2920"/>
    </row>
    <row r="63" spans="1:52" ht="14.25">
      <c r="A63" s="2985" t="s">
        <v>309</v>
      </c>
      <c r="B63" s="2986"/>
      <c r="C63" s="2922"/>
      <c r="D63" s="2923"/>
      <c r="E63" s="2922"/>
      <c r="F63" s="2922"/>
      <c r="G63" s="2922"/>
      <c r="H63" s="2922"/>
      <c r="I63" s="2922"/>
      <c r="J63" s="2922"/>
      <c r="K63" s="3010"/>
      <c r="L63" s="301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0"/>
      <c r="AX63" s="2920"/>
      <c r="AY63" s="2920"/>
      <c r="AZ63" s="2920"/>
    </row>
    <row r="64" spans="1:52" s="2875" customFormat="1">
      <c r="A64" s="2559"/>
      <c r="D64" s="2987"/>
      <c r="K64" s="196"/>
      <c r="L64" s="196"/>
    </row>
    <row r="65" spans="1:12" s="2875" customFormat="1">
      <c r="A65" s="2559"/>
      <c r="D65" s="2987"/>
      <c r="K65" s="196"/>
      <c r="L65" s="196"/>
    </row>
    <row r="66" spans="1:12" s="2875" customFormat="1">
      <c r="A66" s="2559"/>
      <c r="D66" s="2987"/>
      <c r="K66" s="196"/>
      <c r="L66" s="196"/>
    </row>
    <row r="67" spans="1:12" s="2875" customFormat="1">
      <c r="A67" s="2559"/>
      <c r="D67" s="2987"/>
      <c r="K67" s="196"/>
      <c r="L67" s="196"/>
    </row>
    <row r="68" spans="1:12" s="2875" customFormat="1">
      <c r="A68" s="2559"/>
      <c r="D68" s="2987"/>
      <c r="K68" s="196"/>
      <c r="L68" s="196"/>
    </row>
    <row r="69" spans="1:12" s="2875" customFormat="1">
      <c r="A69" s="2559"/>
      <c r="D69" s="2987"/>
      <c r="K69" s="196"/>
      <c r="L69" s="196"/>
    </row>
    <row r="70" spans="1:12" s="2875" customFormat="1">
      <c r="A70" s="2559"/>
      <c r="D70" s="2987"/>
      <c r="K70" s="196"/>
      <c r="L70" s="196"/>
    </row>
    <row r="71" spans="1:12" s="2875" customFormat="1">
      <c r="A71" s="2559"/>
      <c r="D71" s="2987"/>
      <c r="K71" s="196"/>
      <c r="L71" s="196"/>
    </row>
    <row r="72" spans="1:12" s="2875" customFormat="1">
      <c r="A72" s="2559"/>
      <c r="D72" s="2987"/>
      <c r="K72" s="196"/>
      <c r="L72" s="196"/>
    </row>
    <row r="73" spans="1:12" s="2875" customFormat="1">
      <c r="A73" s="2559"/>
      <c r="D73" s="2987"/>
      <c r="K73" s="196"/>
      <c r="L73" s="196"/>
    </row>
    <row r="74" spans="1:12" s="2875" customFormat="1">
      <c r="A74" s="2559"/>
      <c r="D74" s="2987"/>
      <c r="K74" s="196"/>
      <c r="L74" s="196"/>
    </row>
    <row r="75" spans="1:12" s="2875" customFormat="1">
      <c r="A75" s="2559"/>
      <c r="D75" s="2987"/>
      <c r="K75" s="196"/>
      <c r="L75" s="196"/>
    </row>
    <row r="76" spans="1:12" s="2875" customFormat="1">
      <c r="A76" s="2559"/>
      <c r="D76" s="2987"/>
      <c r="K76" s="196"/>
      <c r="L76" s="196"/>
    </row>
    <row r="77" spans="1:12" s="2875" customFormat="1">
      <c r="A77" s="2559"/>
      <c r="D77" s="2987"/>
      <c r="K77" s="196"/>
      <c r="L77" s="196"/>
    </row>
    <row r="78" spans="1:12" s="2875" customFormat="1">
      <c r="A78" s="2559"/>
      <c r="D78" s="2987"/>
      <c r="K78" s="196"/>
      <c r="L78" s="196"/>
    </row>
    <row r="79" spans="1:12" s="2875" customFormat="1">
      <c r="A79" s="2559"/>
      <c r="D79" s="2987"/>
      <c r="K79" s="196"/>
      <c r="L79" s="196"/>
    </row>
    <row r="80" spans="1:12" s="2875" customFormat="1">
      <c r="A80" s="2559"/>
      <c r="D80" s="2987"/>
      <c r="K80" s="196"/>
      <c r="L80" s="196"/>
    </row>
    <row r="81" spans="1:12" s="2875" customFormat="1">
      <c r="A81" s="2559"/>
      <c r="D81" s="2987"/>
      <c r="K81" s="196"/>
      <c r="L81" s="196"/>
    </row>
    <row r="82" spans="1:12" s="2875" customFormat="1">
      <c r="A82" s="2559"/>
      <c r="D82" s="2987"/>
      <c r="K82" s="196"/>
      <c r="L82" s="196"/>
    </row>
    <row r="83" spans="1:12" s="2875" customFormat="1">
      <c r="A83" s="2559"/>
      <c r="D83" s="2987"/>
      <c r="K83" s="196"/>
      <c r="L83" s="196"/>
    </row>
    <row r="84" spans="1:12" s="2875" customFormat="1">
      <c r="A84" s="2559"/>
      <c r="D84" s="2987"/>
      <c r="K84" s="196"/>
      <c r="L84" s="196"/>
    </row>
    <row r="85" spans="1:12" s="2875" customFormat="1">
      <c r="A85" s="2559"/>
      <c r="D85" s="2987"/>
      <c r="K85" s="196"/>
      <c r="L85" s="196"/>
    </row>
    <row r="86" spans="1:12" s="2875" customFormat="1">
      <c r="A86" s="2559"/>
      <c r="D86" s="2987"/>
      <c r="K86" s="196"/>
      <c r="L86" s="196"/>
    </row>
    <row r="87" spans="1:12" s="2875" customFormat="1">
      <c r="A87" s="2559"/>
      <c r="D87" s="2987"/>
      <c r="K87" s="196"/>
      <c r="L87" s="196"/>
    </row>
    <row r="88" spans="1:12" s="2875" customFormat="1">
      <c r="A88" s="2559"/>
      <c r="D88" s="2987"/>
      <c r="K88" s="196"/>
      <c r="L88" s="196"/>
    </row>
    <row r="89" spans="1:12" s="2875" customFormat="1">
      <c r="A89" s="2559"/>
      <c r="D89" s="2987"/>
      <c r="K89" s="196"/>
      <c r="L89" s="196"/>
    </row>
    <row r="90" spans="1:12" s="2875" customFormat="1">
      <c r="A90" s="2559"/>
      <c r="D90" s="2987"/>
      <c r="K90" s="196"/>
      <c r="L90" s="196"/>
    </row>
    <row r="91" spans="1:12" s="2875" customFormat="1">
      <c r="A91" s="2559"/>
      <c r="D91" s="2987"/>
      <c r="K91" s="196"/>
      <c r="L91" s="196"/>
    </row>
    <row r="92" spans="1:12" s="2875" customFormat="1">
      <c r="A92" s="2559"/>
      <c r="D92" s="2987"/>
      <c r="K92" s="196"/>
      <c r="L92" s="196"/>
    </row>
    <row r="93" spans="1:12" s="2875" customFormat="1">
      <c r="A93" s="2559"/>
      <c r="D93" s="2987"/>
      <c r="K93" s="196"/>
      <c r="L93" s="196"/>
    </row>
    <row r="94" spans="1:12" s="2875" customFormat="1">
      <c r="A94" s="2559"/>
      <c r="D94" s="2987"/>
      <c r="K94" s="196"/>
      <c r="L94" s="196"/>
    </row>
    <row r="95" spans="1:12" s="2875" customFormat="1">
      <c r="A95" s="2559"/>
      <c r="D95" s="2987"/>
      <c r="K95" s="196"/>
      <c r="L95" s="196"/>
    </row>
    <row r="96" spans="1:12" s="2875" customFormat="1">
      <c r="A96" s="2559"/>
      <c r="D96" s="2987"/>
      <c r="K96" s="196"/>
      <c r="L96" s="196"/>
    </row>
    <row r="97" spans="1:12" s="2875" customFormat="1">
      <c r="A97" s="2559"/>
      <c r="D97" s="2987"/>
      <c r="K97" s="196"/>
      <c r="L97" s="196"/>
    </row>
    <row r="98" spans="1:12" s="2875" customFormat="1">
      <c r="A98" s="2559"/>
      <c r="D98" s="2987"/>
      <c r="K98" s="196"/>
      <c r="L98" s="196"/>
    </row>
    <row r="99" spans="1:12" s="2875" customFormat="1">
      <c r="A99" s="2559"/>
      <c r="D99" s="2987"/>
      <c r="K99" s="196"/>
      <c r="L99" s="196"/>
    </row>
    <row r="100" spans="1:12" s="2875" customFormat="1">
      <c r="A100" s="2559"/>
      <c r="D100" s="2987"/>
      <c r="K100" s="196"/>
      <c r="L100" s="196"/>
    </row>
    <row r="101" spans="1:12" s="2875" customFormat="1">
      <c r="A101" s="2559"/>
      <c r="D101" s="2987"/>
      <c r="K101" s="196"/>
      <c r="L101" s="196"/>
    </row>
    <row r="102" spans="1:12" s="2875" customFormat="1">
      <c r="A102" s="2559"/>
      <c r="D102" s="2987"/>
      <c r="K102" s="196"/>
      <c r="L102" s="196"/>
    </row>
    <row r="103" spans="1:12" s="2875" customFormat="1">
      <c r="A103" s="2559"/>
      <c r="D103" s="2987"/>
      <c r="K103" s="196"/>
      <c r="L103" s="196"/>
    </row>
    <row r="104" spans="1:12" s="2875" customFormat="1">
      <c r="A104" s="2559"/>
      <c r="D104" s="2987"/>
      <c r="K104" s="196"/>
      <c r="L104" s="196"/>
    </row>
    <row r="105" spans="1:12" s="2875" customFormat="1">
      <c r="A105" s="2559"/>
      <c r="D105" s="2987"/>
      <c r="K105" s="196"/>
      <c r="L105" s="196"/>
    </row>
    <row r="106" spans="1:12" s="2875" customFormat="1">
      <c r="A106" s="2559"/>
      <c r="D106" s="2987"/>
      <c r="K106" s="196"/>
      <c r="L106" s="196"/>
    </row>
    <row r="107" spans="1:12" s="2875" customFormat="1">
      <c r="A107" s="2559"/>
      <c r="D107" s="2987"/>
      <c r="K107" s="196"/>
      <c r="L107" s="196"/>
    </row>
    <row r="108" spans="1:12" s="2875" customFormat="1">
      <c r="A108" s="2559"/>
      <c r="D108" s="2987"/>
      <c r="K108" s="196"/>
      <c r="L108" s="196"/>
    </row>
    <row r="109" spans="1:12" s="2875" customFormat="1">
      <c r="A109" s="2559"/>
      <c r="D109" s="2987"/>
      <c r="K109" s="196"/>
      <c r="L109" s="196"/>
    </row>
    <row r="110" spans="1:12" s="2875" customFormat="1">
      <c r="A110" s="2559"/>
      <c r="D110" s="2987"/>
      <c r="K110" s="196"/>
      <c r="L110" s="196"/>
    </row>
    <row r="111" spans="1:12" s="2875" customFormat="1">
      <c r="A111" s="2559"/>
      <c r="D111" s="2987"/>
      <c r="K111" s="196"/>
      <c r="L111" s="196"/>
    </row>
    <row r="112" spans="1:12" s="2875" customFormat="1">
      <c r="A112" s="2559"/>
      <c r="D112" s="2987"/>
      <c r="K112" s="196"/>
      <c r="L112" s="196"/>
    </row>
    <row r="113" spans="1:12" s="2875" customFormat="1">
      <c r="A113" s="2559"/>
      <c r="D113" s="2987"/>
      <c r="K113" s="196"/>
      <c r="L113" s="196"/>
    </row>
    <row r="114" spans="1:12" s="2875" customFormat="1">
      <c r="A114" s="2559"/>
      <c r="D114" s="2987"/>
      <c r="K114" s="196"/>
      <c r="L114" s="196"/>
    </row>
    <row r="115" spans="1:12" s="2875" customFormat="1">
      <c r="A115" s="2559"/>
      <c r="D115" s="2987"/>
      <c r="K115" s="196"/>
      <c r="L115" s="196"/>
    </row>
    <row r="116" spans="1:12" s="2875" customFormat="1">
      <c r="A116" s="2559"/>
      <c r="D116" s="2987"/>
      <c r="K116" s="196"/>
      <c r="L116" s="196"/>
    </row>
    <row r="117" spans="1:12" s="2875" customFormat="1">
      <c r="A117" s="2559"/>
      <c r="D117" s="2987"/>
      <c r="K117" s="196"/>
      <c r="L117" s="196"/>
    </row>
    <row r="118" spans="1:12" s="2875" customFormat="1">
      <c r="A118" s="2559"/>
      <c r="D118" s="2987"/>
      <c r="K118" s="196"/>
      <c r="L118" s="196"/>
    </row>
    <row r="119" spans="1:12" s="2875" customFormat="1">
      <c r="A119" s="2559"/>
      <c r="D119" s="2987"/>
      <c r="K119" s="196"/>
      <c r="L119" s="196"/>
    </row>
    <row r="120" spans="1:12" s="2875" customFormat="1">
      <c r="A120" s="2559"/>
      <c r="D120" s="2987"/>
      <c r="K120" s="196"/>
      <c r="L120" s="196"/>
    </row>
    <row r="121" spans="1:12" s="2875" customFormat="1">
      <c r="A121" s="2559"/>
      <c r="D121" s="2987"/>
      <c r="K121" s="196"/>
      <c r="L121" s="196"/>
    </row>
    <row r="122" spans="1:12" s="2875" customFormat="1">
      <c r="A122" s="2559"/>
      <c r="D122" s="2987"/>
      <c r="K122" s="196"/>
      <c r="L122" s="196"/>
    </row>
    <row r="123" spans="1:12" s="2875" customFormat="1">
      <c r="A123" s="2559"/>
      <c r="D123" s="2987"/>
      <c r="K123" s="196"/>
      <c r="L123" s="196"/>
    </row>
    <row r="124" spans="1:12" s="2875" customFormat="1">
      <c r="A124" s="2559"/>
      <c r="D124" s="2987"/>
      <c r="K124" s="196"/>
      <c r="L124" s="196"/>
    </row>
    <row r="125" spans="1:12" s="2875" customFormat="1">
      <c r="A125" s="2559"/>
      <c r="D125" s="2987"/>
      <c r="K125" s="196"/>
      <c r="L125" s="196"/>
    </row>
    <row r="126" spans="1:12" s="2875" customFormat="1">
      <c r="A126" s="2559"/>
      <c r="D126" s="2987"/>
      <c r="K126" s="196"/>
      <c r="L126" s="196"/>
    </row>
    <row r="127" spans="1:12" s="2875" customFormat="1">
      <c r="A127" s="2559"/>
      <c r="D127" s="2987"/>
      <c r="K127" s="196"/>
      <c r="L127" s="196"/>
    </row>
    <row r="128" spans="1:12" s="2875" customFormat="1">
      <c r="A128" s="2559"/>
      <c r="D128" s="2987"/>
      <c r="K128" s="196"/>
      <c r="L128" s="196"/>
    </row>
    <row r="129" spans="1:12" s="2875" customFormat="1">
      <c r="A129" s="2559"/>
      <c r="D129" s="2987"/>
      <c r="K129" s="196"/>
      <c r="L129" s="196"/>
    </row>
    <row r="130" spans="1:12" s="2875" customFormat="1">
      <c r="A130" s="2559"/>
      <c r="D130" s="2987"/>
      <c r="K130" s="196"/>
      <c r="L130" s="196"/>
    </row>
    <row r="131" spans="1:12" s="2875" customFormat="1">
      <c r="A131" s="2559"/>
      <c r="D131" s="2987"/>
      <c r="K131" s="196"/>
      <c r="L131" s="196"/>
    </row>
    <row r="132" spans="1:12" s="2875" customFormat="1">
      <c r="A132" s="2559"/>
      <c r="D132" s="2987"/>
      <c r="K132" s="196"/>
      <c r="L132" s="196"/>
    </row>
    <row r="133" spans="1:12" s="2875" customFormat="1">
      <c r="A133" s="2559"/>
      <c r="D133" s="2987"/>
      <c r="K133" s="196"/>
      <c r="L133" s="196"/>
    </row>
    <row r="134" spans="1:12" s="2875" customFormat="1">
      <c r="A134" s="2559"/>
      <c r="D134" s="2987"/>
      <c r="K134" s="196"/>
      <c r="L134" s="196"/>
    </row>
    <row r="135" spans="1:12" s="2875" customFormat="1">
      <c r="A135" s="2559"/>
      <c r="D135" s="2987"/>
      <c r="K135" s="196"/>
      <c r="L135" s="196"/>
    </row>
    <row r="136" spans="1:12" s="2875" customFormat="1">
      <c r="A136" s="2559"/>
      <c r="D136" s="2987"/>
      <c r="K136" s="196"/>
      <c r="L136" s="196"/>
    </row>
    <row r="137" spans="1:12" s="2875" customFormat="1">
      <c r="A137" s="2559"/>
      <c r="D137" s="2987"/>
      <c r="K137" s="196"/>
      <c r="L137" s="196"/>
    </row>
    <row r="138" spans="1:12" s="2875" customFormat="1">
      <c r="A138" s="2559"/>
      <c r="D138" s="2987"/>
      <c r="K138" s="196"/>
      <c r="L138" s="196"/>
    </row>
    <row r="139" spans="1:12" s="2875" customFormat="1">
      <c r="A139" s="2559"/>
      <c r="D139" s="2987"/>
      <c r="K139" s="196"/>
      <c r="L139" s="196"/>
    </row>
    <row r="140" spans="1:12" s="2875" customFormat="1">
      <c r="A140" s="2559"/>
      <c r="D140" s="2987"/>
      <c r="K140" s="196"/>
      <c r="L140" s="196"/>
    </row>
    <row r="141" spans="1:12" s="2875" customFormat="1">
      <c r="A141" s="2559"/>
      <c r="D141" s="2987"/>
      <c r="K141" s="196"/>
      <c r="L141" s="196"/>
    </row>
    <row r="142" spans="1:12" s="2875" customFormat="1">
      <c r="A142" s="2559"/>
      <c r="D142" s="2987"/>
      <c r="K142" s="196"/>
      <c r="L142" s="196"/>
    </row>
    <row r="143" spans="1:12" s="2875" customFormat="1">
      <c r="A143" s="2559"/>
      <c r="D143" s="2987"/>
      <c r="K143" s="196"/>
      <c r="L143" s="196"/>
    </row>
    <row r="144" spans="1:12" s="2875" customFormat="1">
      <c r="A144" s="2559"/>
      <c r="D144" s="2987"/>
      <c r="K144" s="196"/>
      <c r="L144" s="196"/>
    </row>
    <row r="145" spans="1:12" s="2875" customFormat="1">
      <c r="A145" s="2559"/>
      <c r="D145" s="2987"/>
      <c r="K145" s="196"/>
      <c r="L145" s="196"/>
    </row>
    <row r="146" spans="1:12" s="2875" customFormat="1">
      <c r="A146" s="2559"/>
      <c r="D146" s="2987"/>
      <c r="K146" s="196"/>
      <c r="L146" s="196"/>
    </row>
    <row r="147" spans="1:12" s="2875" customFormat="1">
      <c r="A147" s="2559"/>
      <c r="D147" s="2987"/>
      <c r="K147" s="196"/>
      <c r="L147" s="196"/>
    </row>
    <row r="148" spans="1:12" s="2875" customFormat="1">
      <c r="A148" s="2559"/>
      <c r="D148" s="2987"/>
      <c r="K148" s="196"/>
      <c r="L148" s="196"/>
    </row>
    <row r="149" spans="1:12" s="2875" customFormat="1">
      <c r="A149" s="2559"/>
      <c r="D149" s="2987"/>
      <c r="K149" s="196"/>
      <c r="L149" s="196"/>
    </row>
    <row r="150" spans="1:12" s="2875" customFormat="1">
      <c r="A150" s="2559"/>
      <c r="D150" s="2987"/>
      <c r="K150" s="196"/>
      <c r="L150" s="196"/>
    </row>
    <row r="151" spans="1:12" s="2875" customFormat="1">
      <c r="A151" s="2559"/>
      <c r="D151" s="2987"/>
      <c r="K151" s="196"/>
      <c r="L151" s="196"/>
    </row>
    <row r="152" spans="1:12" s="2875" customFormat="1">
      <c r="A152" s="2559"/>
      <c r="D152" s="2987"/>
      <c r="K152" s="196"/>
      <c r="L152" s="196"/>
    </row>
    <row r="153" spans="1:12" s="2875" customFormat="1">
      <c r="A153" s="2559"/>
      <c r="D153" s="2987"/>
      <c r="K153" s="196"/>
      <c r="L153" s="196"/>
    </row>
    <row r="154" spans="1:12" s="2875" customFormat="1">
      <c r="A154" s="2559"/>
      <c r="D154" s="2987"/>
      <c r="K154" s="196"/>
      <c r="L154" s="196"/>
    </row>
    <row r="155" spans="1:12" s="2875" customFormat="1">
      <c r="A155" s="2559"/>
      <c r="D155" s="2987"/>
      <c r="K155" s="196"/>
      <c r="L155" s="196"/>
    </row>
    <row r="156" spans="1:12" s="2875" customFormat="1">
      <c r="A156" s="2559"/>
      <c r="D156" s="2987"/>
      <c r="K156" s="196"/>
      <c r="L156" s="196"/>
    </row>
    <row r="157" spans="1:12" s="2875" customFormat="1">
      <c r="A157" s="2559"/>
      <c r="D157" s="2987"/>
      <c r="K157" s="196"/>
      <c r="L157" s="196"/>
    </row>
    <row r="158" spans="1:12" s="2875" customFormat="1">
      <c r="A158" s="2559"/>
      <c r="D158" s="2987"/>
      <c r="K158" s="196"/>
      <c r="L158" s="196"/>
    </row>
    <row r="159" spans="1:12" s="2875" customFormat="1">
      <c r="A159" s="2559"/>
      <c r="D159" s="2987"/>
      <c r="K159" s="196"/>
      <c r="L159" s="196"/>
    </row>
    <row r="160" spans="1:12" s="2875" customFormat="1">
      <c r="A160" s="2559"/>
      <c r="D160" s="2987"/>
      <c r="K160" s="196"/>
      <c r="L160" s="196"/>
    </row>
    <row r="161" spans="1:12" s="2875" customFormat="1">
      <c r="A161" s="2559"/>
      <c r="D161" s="2987"/>
      <c r="K161" s="196"/>
      <c r="L161" s="196"/>
    </row>
    <row r="162" spans="1:12" s="2875" customFormat="1">
      <c r="A162" s="2559"/>
      <c r="D162" s="2987"/>
      <c r="K162" s="196"/>
      <c r="L162" s="196"/>
    </row>
    <row r="163" spans="1:12" s="2875" customFormat="1">
      <c r="A163" s="2559"/>
      <c r="D163" s="2987"/>
      <c r="K163" s="196"/>
      <c r="L163" s="196"/>
    </row>
    <row r="164" spans="1:12" s="2875" customFormat="1">
      <c r="A164" s="2559"/>
      <c r="D164" s="2987"/>
      <c r="K164" s="196"/>
      <c r="L164" s="196"/>
    </row>
    <row r="165" spans="1:12" s="2875" customFormat="1">
      <c r="A165" s="2559"/>
      <c r="D165" s="2987"/>
      <c r="K165" s="196"/>
      <c r="L165" s="196"/>
    </row>
    <row r="166" spans="1:12" s="2875" customFormat="1">
      <c r="A166" s="2559"/>
      <c r="D166" s="2987"/>
      <c r="K166" s="196"/>
      <c r="L166" s="196"/>
    </row>
    <row r="167" spans="1:12" s="2875" customFormat="1">
      <c r="A167" s="2559"/>
      <c r="D167" s="2987"/>
      <c r="K167" s="196"/>
      <c r="L167" s="196"/>
    </row>
    <row r="168" spans="1:12" s="2875" customFormat="1">
      <c r="A168" s="2559"/>
      <c r="D168" s="2987"/>
      <c r="K168" s="196"/>
      <c r="L168" s="196"/>
    </row>
    <row r="169" spans="1:12" s="2875" customFormat="1">
      <c r="A169" s="2559"/>
      <c r="D169" s="2987"/>
      <c r="K169" s="196"/>
      <c r="L169" s="196"/>
    </row>
    <row r="170" spans="1:12" s="2875" customFormat="1">
      <c r="A170" s="2559"/>
      <c r="D170" s="2987"/>
      <c r="K170" s="196"/>
      <c r="L170" s="196"/>
    </row>
    <row r="171" spans="1:12" s="2875" customFormat="1">
      <c r="A171" s="2559"/>
      <c r="D171" s="2987"/>
      <c r="K171" s="196"/>
      <c r="L171" s="196"/>
    </row>
    <row r="172" spans="1:12" s="2875" customFormat="1">
      <c r="A172" s="2559"/>
      <c r="D172" s="2987"/>
      <c r="K172" s="196"/>
      <c r="L172" s="196"/>
    </row>
    <row r="173" spans="1:12" s="2875" customFormat="1">
      <c r="A173" s="2559"/>
      <c r="D173" s="2987"/>
      <c r="K173" s="196"/>
      <c r="L173" s="196"/>
    </row>
    <row r="174" spans="1:12" s="2875" customFormat="1">
      <c r="A174" s="2559"/>
      <c r="D174" s="2987"/>
      <c r="K174" s="196"/>
      <c r="L174" s="196"/>
    </row>
    <row r="175" spans="1:12" s="2875" customFormat="1">
      <c r="A175" s="2559"/>
      <c r="D175" s="2987"/>
      <c r="K175" s="196"/>
      <c r="L175" s="196"/>
    </row>
    <row r="176" spans="1:12" s="2875" customFormat="1">
      <c r="A176" s="2559"/>
      <c r="D176" s="2987"/>
      <c r="K176" s="196"/>
      <c r="L176" s="196"/>
    </row>
    <row r="177" spans="1:12" s="2875" customFormat="1">
      <c r="A177" s="2559"/>
      <c r="D177" s="2987"/>
      <c r="K177" s="196"/>
      <c r="L177" s="196"/>
    </row>
    <row r="178" spans="1:12" s="2875" customFormat="1">
      <c r="A178" s="2559"/>
      <c r="D178" s="2987"/>
      <c r="K178" s="196"/>
      <c r="L178" s="196"/>
    </row>
    <row r="179" spans="1:12" s="2875" customFormat="1">
      <c r="A179" s="2559"/>
      <c r="D179" s="2987"/>
      <c r="K179" s="196"/>
      <c r="L179" s="196"/>
    </row>
    <row r="180" spans="1:12" s="2875" customFormat="1">
      <c r="A180" s="2559"/>
      <c r="D180" s="2987"/>
      <c r="K180" s="196"/>
      <c r="L180" s="196"/>
    </row>
    <row r="181" spans="1:12" s="2875" customFormat="1">
      <c r="A181" s="2559"/>
      <c r="D181" s="2987"/>
      <c r="K181" s="196"/>
      <c r="L181" s="196"/>
    </row>
    <row r="182" spans="1:12" s="2875" customFormat="1">
      <c r="A182" s="2559"/>
      <c r="D182" s="2987"/>
      <c r="K182" s="196"/>
      <c r="L182" s="196"/>
    </row>
    <row r="183" spans="1:12" s="2875" customFormat="1">
      <c r="A183" s="2559"/>
      <c r="D183" s="2987"/>
      <c r="K183" s="196"/>
      <c r="L183" s="196"/>
    </row>
    <row r="184" spans="1:12" s="2875" customFormat="1">
      <c r="A184" s="2559"/>
      <c r="D184" s="2987"/>
      <c r="K184" s="196"/>
      <c r="L184" s="196"/>
    </row>
    <row r="185" spans="1:12" s="2875" customFormat="1">
      <c r="A185" s="2559"/>
      <c r="D185" s="2987"/>
      <c r="K185" s="196"/>
      <c r="L185" s="196"/>
    </row>
    <row r="186" spans="1:12" s="2875" customFormat="1">
      <c r="A186" s="2559"/>
      <c r="D186" s="2987"/>
      <c r="K186" s="196"/>
      <c r="L186" s="196"/>
    </row>
    <row r="187" spans="1:12" s="2875" customFormat="1">
      <c r="A187" s="2559"/>
      <c r="D187" s="2987"/>
      <c r="K187" s="196"/>
      <c r="L187" s="196"/>
    </row>
    <row r="188" spans="1:12" s="2875" customFormat="1">
      <c r="A188" s="2559"/>
      <c r="D188" s="2987"/>
      <c r="K188" s="196"/>
      <c r="L188" s="196"/>
    </row>
    <row r="189" spans="1:12" s="2875" customFormat="1">
      <c r="A189" s="2559"/>
      <c r="D189" s="2987"/>
      <c r="K189" s="196"/>
      <c r="L189" s="196"/>
    </row>
    <row r="190" spans="1:12" s="2875" customFormat="1">
      <c r="A190" s="2559"/>
      <c r="D190" s="2987"/>
      <c r="K190" s="196"/>
      <c r="L190" s="196"/>
    </row>
    <row r="191" spans="1:12" s="2875" customFormat="1">
      <c r="A191" s="2559"/>
      <c r="D191" s="2987"/>
      <c r="K191" s="196"/>
      <c r="L191" s="196"/>
    </row>
    <row r="192" spans="1:12" s="2875" customFormat="1">
      <c r="A192" s="2559"/>
      <c r="D192" s="2987"/>
      <c r="K192" s="196"/>
      <c r="L192" s="196"/>
    </row>
  </sheetData>
  <sheetProtection password="CEE9" sheet="1" objects="1" scenarios="1" formatCells="0" formatColumns="0" formatRows="0"/>
  <phoneticPr fontId="248"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H6" sqref="H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59" t="s">
        <v>686</v>
      </c>
      <c r="B1" s="3760"/>
      <c r="C1" s="3760"/>
      <c r="D1" s="3760"/>
      <c r="E1" s="3760"/>
      <c r="F1" s="3760"/>
      <c r="G1" s="3760"/>
      <c r="H1" s="2807"/>
      <c r="I1" s="2861"/>
      <c r="J1" s="2862"/>
      <c r="K1" s="2807"/>
      <c r="L1" s="2861"/>
      <c r="M1" s="2862"/>
      <c r="N1" s="2807"/>
      <c r="O1" s="2861"/>
      <c r="P1" s="2862"/>
      <c r="Q1" s="2870"/>
      <c r="R1" s="2871"/>
    </row>
    <row r="2" spans="1:18">
      <c r="A2" s="2808"/>
      <c r="B2" s="2809"/>
      <c r="C2" s="2810" t="s">
        <v>687</v>
      </c>
      <c r="D2" s="2811"/>
      <c r="E2" s="2808"/>
      <c r="F2" s="2812"/>
      <c r="G2" s="2810" t="s">
        <v>164</v>
      </c>
      <c r="H2" s="2802"/>
      <c r="I2" s="2802"/>
      <c r="J2" s="2802"/>
      <c r="K2" s="2802"/>
      <c r="L2" s="2802"/>
      <c r="M2" s="2802"/>
      <c r="N2" s="2802"/>
      <c r="O2" s="2802"/>
      <c r="P2" s="2802"/>
      <c r="Q2" s="2802"/>
      <c r="R2" s="2802"/>
    </row>
    <row r="3" spans="1:18" ht="54">
      <c r="A3" s="2813" t="s">
        <v>688</v>
      </c>
      <c r="B3" s="2814" t="s">
        <v>689</v>
      </c>
      <c r="C3" s="3643" t="s">
        <v>2618</v>
      </c>
      <c r="D3" s="2815"/>
      <c r="E3" s="2816" t="s">
        <v>688</v>
      </c>
      <c r="F3" s="2817" t="s">
        <v>690</v>
      </c>
      <c r="G3" s="2818" t="s">
        <v>691</v>
      </c>
      <c r="H3" s="2802"/>
      <c r="I3" s="2802"/>
      <c r="J3" s="2802"/>
      <c r="K3" s="2802"/>
      <c r="L3" s="2802"/>
      <c r="M3" s="2802"/>
      <c r="N3" s="2802"/>
      <c r="O3" s="2802"/>
      <c r="P3" s="2802"/>
      <c r="Q3" s="2802"/>
      <c r="R3" s="2802"/>
    </row>
    <row r="4" spans="1:18" ht="40.5">
      <c r="A4" s="2816"/>
      <c r="B4" s="2819" t="s">
        <v>692</v>
      </c>
      <c r="C4" s="2820"/>
      <c r="D4" s="2815"/>
      <c r="E4" s="2821"/>
      <c r="F4" s="2822" t="s">
        <v>693</v>
      </c>
      <c r="G4" s="2823" t="s">
        <v>694</v>
      </c>
      <c r="H4" s="2802"/>
      <c r="I4" s="2802"/>
      <c r="J4" s="2802"/>
      <c r="K4" s="2802"/>
      <c r="L4" s="2802"/>
      <c r="M4" s="2802"/>
      <c r="N4" s="2802"/>
      <c r="O4" s="2802"/>
      <c r="P4" s="2802"/>
      <c r="Q4" s="2802"/>
      <c r="R4" s="2802"/>
    </row>
    <row r="5" spans="1:18" ht="27">
      <c r="A5" s="2816"/>
      <c r="B5" s="2819" t="s">
        <v>695</v>
      </c>
      <c r="C5" s="2820"/>
      <c r="D5" s="2815"/>
      <c r="E5" s="2821"/>
      <c r="F5" s="2819" t="s">
        <v>229</v>
      </c>
      <c r="G5" s="2823" t="s">
        <v>696</v>
      </c>
      <c r="H5" s="2802"/>
      <c r="I5" s="2802"/>
      <c r="J5" s="2802"/>
      <c r="K5" s="2802"/>
      <c r="L5" s="2802"/>
      <c r="M5" s="2802"/>
      <c r="N5" s="2802"/>
      <c r="O5" s="2802"/>
      <c r="P5" s="2802"/>
      <c r="Q5" s="2802"/>
      <c r="R5" s="2802"/>
    </row>
    <row r="6" spans="1:18" ht="54">
      <c r="A6" s="2816"/>
      <c r="B6" s="2819" t="s">
        <v>693</v>
      </c>
      <c r="C6" s="3644" t="s">
        <v>2669</v>
      </c>
      <c r="D6" s="2815"/>
      <c r="E6" s="2821"/>
      <c r="F6" s="2819" t="s">
        <v>230</v>
      </c>
      <c r="G6" s="2823" t="s">
        <v>697</v>
      </c>
      <c r="H6" s="2802"/>
      <c r="I6" s="2802"/>
      <c r="J6" s="2802"/>
      <c r="K6" s="2802"/>
      <c r="L6" s="2802"/>
      <c r="M6" s="2802"/>
      <c r="N6" s="2802"/>
      <c r="O6" s="2802"/>
      <c r="P6" s="2802"/>
      <c r="Q6" s="2802"/>
      <c r="R6" s="2802"/>
    </row>
    <row r="7" spans="1:18" ht="27">
      <c r="A7" s="2816"/>
      <c r="B7" s="2819" t="s">
        <v>229</v>
      </c>
      <c r="C7" s="3644" t="s">
        <v>2619</v>
      </c>
      <c r="D7" s="2824"/>
      <c r="E7" s="2825"/>
      <c r="F7" s="2826" t="s">
        <v>698</v>
      </c>
      <c r="G7" s="2827" t="s">
        <v>699</v>
      </c>
      <c r="H7" s="2802"/>
      <c r="I7" s="2802"/>
      <c r="J7" s="2802"/>
      <c r="K7" s="2802"/>
      <c r="L7" s="2802"/>
      <c r="M7" s="2802"/>
      <c r="N7" s="2802"/>
      <c r="O7" s="2802"/>
      <c r="P7" s="2802"/>
      <c r="Q7" s="2802"/>
      <c r="R7" s="2802"/>
    </row>
    <row r="8" spans="1:18" ht="23.25" customHeight="1">
      <c r="A8" s="2816"/>
      <c r="B8" s="2819" t="s">
        <v>230</v>
      </c>
      <c r="C8" s="2823" t="s">
        <v>697</v>
      </c>
      <c r="D8" s="2824"/>
      <c r="E8" s="2824"/>
      <c r="F8" s="2828"/>
      <c r="G8" s="2828"/>
      <c r="H8" s="2802"/>
      <c r="I8" s="2802"/>
      <c r="J8" s="2802"/>
      <c r="K8" s="2802"/>
      <c r="L8" s="2802"/>
      <c r="M8" s="2802"/>
      <c r="N8" s="2802"/>
      <c r="O8" s="2802"/>
      <c r="P8" s="2802"/>
      <c r="Q8" s="2802"/>
      <c r="R8" s="2802"/>
    </row>
    <row r="9" spans="1:18" ht="34.5" customHeight="1">
      <c r="A9" s="2816"/>
      <c r="B9" s="2819" t="s">
        <v>700</v>
      </c>
      <c r="C9" s="2820" t="s">
        <v>701</v>
      </c>
      <c r="D9" s="2815"/>
      <c r="E9" s="2824"/>
      <c r="F9" s="2828"/>
      <c r="G9" s="2828"/>
      <c r="H9" s="2802"/>
      <c r="I9" s="2802"/>
      <c r="J9" s="2802"/>
      <c r="K9" s="2802"/>
      <c r="L9" s="2802"/>
      <c r="M9" s="2802"/>
      <c r="N9" s="2802"/>
      <c r="O9" s="2802"/>
      <c r="P9" s="2802"/>
      <c r="Q9" s="2802"/>
      <c r="R9" s="2802"/>
    </row>
    <row r="10" spans="1:18" s="2801" customFormat="1" ht="14.25">
      <c r="A10" s="2829"/>
      <c r="B10" s="2830" t="s">
        <v>702</v>
      </c>
      <c r="C10" s="2831" t="s">
        <v>2620</v>
      </c>
      <c r="D10" s="2815"/>
      <c r="E10" s="2815"/>
      <c r="F10" s="2828"/>
      <c r="G10" s="2828"/>
      <c r="H10" s="2832"/>
      <c r="I10" s="2863"/>
      <c r="J10" s="2864"/>
      <c r="K10" s="2832"/>
      <c r="L10" s="2863"/>
      <c r="M10" s="2864"/>
      <c r="N10" s="2832"/>
      <c r="O10" s="2863"/>
      <c r="P10" s="2864"/>
      <c r="Q10" s="2832"/>
      <c r="R10" s="2863"/>
    </row>
    <row r="11" spans="1:18" s="2801" customFormat="1">
      <c r="A11" s="2833"/>
      <c r="B11" s="2824"/>
      <c r="C11" s="2815"/>
      <c r="D11" s="2815"/>
      <c r="E11" s="2815"/>
      <c r="F11" s="2824"/>
      <c r="G11" s="2834"/>
      <c r="H11" s="2832"/>
      <c r="I11" s="2863"/>
      <c r="J11" s="2864"/>
      <c r="K11" s="2832"/>
      <c r="L11" s="2863"/>
      <c r="M11" s="2864"/>
      <c r="N11" s="2832"/>
      <c r="O11" s="2863"/>
      <c r="P11" s="2864"/>
      <c r="Q11" s="2832"/>
      <c r="R11" s="2863"/>
    </row>
    <row r="12" spans="1:18" s="2800"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703</v>
      </c>
      <c r="B13" s="2835"/>
      <c r="C13" s="2835"/>
      <c r="D13" s="2811"/>
      <c r="E13" s="2835"/>
      <c r="F13" s="2835"/>
      <c r="G13" s="2835"/>
    </row>
    <row r="14" spans="1:18">
      <c r="A14" s="2838"/>
      <c r="B14" s="2838"/>
      <c r="C14" s="2839" t="s">
        <v>687</v>
      </c>
      <c r="D14" s="2815"/>
      <c r="E14" s="2840"/>
      <c r="F14" s="2840"/>
      <c r="G14" s="2810" t="s">
        <v>164</v>
      </c>
    </row>
    <row r="15" spans="1:18" ht="54">
      <c r="A15" s="2841" t="s">
        <v>688</v>
      </c>
      <c r="B15" s="2842" t="s">
        <v>689</v>
      </c>
      <c r="C15" s="2843" t="str">
        <f>C3</f>
        <v>估价对象周边居住用地比例、居住小区规模和社区发展完善程度，有王各庄新庄、明珠花园、枫林园公寓综合评价居住社区成熟度一般</v>
      </c>
      <c r="D15" s="2815"/>
      <c r="E15" s="2844" t="s">
        <v>688</v>
      </c>
      <c r="F15" s="2842" t="s">
        <v>690</v>
      </c>
      <c r="G15" s="2845" t="str">
        <f>G3</f>
        <v>估价对象位于XX开发区，园区建设成熟度XX，产业集聚程度XX</v>
      </c>
    </row>
    <row r="16" spans="1:18" ht="40.5">
      <c r="A16" s="2846"/>
      <c r="B16" s="2847" t="s">
        <v>692</v>
      </c>
      <c r="C16" s="2848">
        <f>C4</f>
        <v>0</v>
      </c>
      <c r="D16" s="2815"/>
      <c r="E16" s="2849"/>
      <c r="F16" s="2850" t="s">
        <v>693</v>
      </c>
      <c r="G16" s="2851" t="str">
        <f>G4</f>
        <v>估价对象周边道路状况、公共交通通达情况、停车便捷程度，综合评价交通便捷度较好</v>
      </c>
    </row>
    <row r="17" spans="1:7" ht="14.25">
      <c r="A17" s="2846"/>
      <c r="B17" s="2847" t="s">
        <v>695</v>
      </c>
      <c r="C17" s="2848">
        <f>C5</f>
        <v>0</v>
      </c>
      <c r="D17" s="2824"/>
      <c r="E17" s="2849"/>
      <c r="F17" s="2850" t="s">
        <v>704</v>
      </c>
      <c r="G17" s="2852"/>
    </row>
    <row r="18" spans="1:7" ht="54">
      <c r="A18" s="2846"/>
      <c r="B18" s="2850" t="s">
        <v>693</v>
      </c>
      <c r="C18" s="2851" t="str">
        <f>C6</f>
        <v>估价对象周边道路状况、公共交通通达情况970、980、郊80、密6路等、停车便捷程度，综合评价交通便捷度一般</v>
      </c>
      <c r="D18" s="2824"/>
      <c r="E18" s="2849"/>
      <c r="F18" s="2850" t="s">
        <v>698</v>
      </c>
      <c r="G18" s="2851" t="str">
        <f>G7</f>
        <v>该园区内是否有污染型企业，绿化情况，卫生条件，整体环境状况判断</v>
      </c>
    </row>
    <row r="19" spans="1:7" ht="27">
      <c r="A19" s="2846"/>
      <c r="B19" s="2850" t="s">
        <v>704</v>
      </c>
      <c r="C19" s="2852"/>
      <c r="D19" s="2815"/>
      <c r="E19" s="2849"/>
      <c r="F19" s="2819" t="s">
        <v>229</v>
      </c>
      <c r="G19" s="2851" t="str">
        <f>G5</f>
        <v>估价对象所在区域公共配套设施齐备情况</v>
      </c>
    </row>
    <row r="20" spans="1:7" ht="27">
      <c r="A20" s="2846"/>
      <c r="B20" s="2850" t="s">
        <v>705</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估价对象所在区域公共配套设施齐备情况较差</v>
      </c>
      <c r="D21" s="2815"/>
      <c r="E21" s="2849"/>
      <c r="F21" s="2850" t="s">
        <v>706</v>
      </c>
      <c r="G21" s="2853"/>
    </row>
    <row r="22" spans="1:7" ht="14.25">
      <c r="A22" s="2846"/>
      <c r="B22" s="2819" t="s">
        <v>230</v>
      </c>
      <c r="C22" s="2851" t="str">
        <f>C8</f>
        <v>估价对象所在区域基础设施水平</v>
      </c>
      <c r="D22" s="2815"/>
      <c r="E22" s="2849"/>
      <c r="F22" s="2850" t="s">
        <v>702</v>
      </c>
      <c r="G22" s="2852"/>
    </row>
    <row r="23" spans="1:7" ht="14.25">
      <c r="A23" s="2846"/>
      <c r="B23" s="2850" t="s">
        <v>706</v>
      </c>
      <c r="C23" s="2853"/>
      <c r="E23" s="2854"/>
      <c r="F23" s="2855" t="s">
        <v>215</v>
      </c>
      <c r="G23" s="2856"/>
    </row>
    <row r="24" spans="1:7">
      <c r="A24" s="2857"/>
      <c r="B24" s="2855" t="s">
        <v>702</v>
      </c>
      <c r="C24" s="2858" t="str">
        <f>C10</f>
        <v>城市主干道-京密路</v>
      </c>
      <c r="E24" s="2859"/>
      <c r="F24" s="2859"/>
      <c r="G24" s="2860"/>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H9" sqref="H9"/>
    </sheetView>
  </sheetViews>
  <sheetFormatPr defaultColWidth="14.625" defaultRowHeight="13.5"/>
  <cols>
    <col min="1" max="1" width="24.375" style="2788" customWidth="1"/>
    <col min="2" max="16384" width="14.625" style="2788"/>
  </cols>
  <sheetData>
    <row r="1" spans="1:10" ht="16.5">
      <c r="A1" s="2789" t="s">
        <v>707</v>
      </c>
      <c r="B1" s="2789">
        <f>SUM(B14:B23)</f>
        <v>187307.45999999996</v>
      </c>
      <c r="C1" s="2790"/>
      <c r="D1" s="2790"/>
      <c r="E1" s="2790"/>
      <c r="F1" s="2790"/>
      <c r="G1" s="2791"/>
      <c r="H1" s="2791"/>
      <c r="I1" s="2791"/>
      <c r="J1" s="2791"/>
    </row>
    <row r="2" spans="1:10" ht="16.5">
      <c r="A2" s="2789" t="s">
        <v>708</v>
      </c>
      <c r="B2" s="2789">
        <f>SUM(C14:C23)</f>
        <v>55570.2</v>
      </c>
      <c r="C2" s="2790"/>
      <c r="D2" s="2790"/>
      <c r="E2" s="2790"/>
      <c r="F2" s="2790"/>
      <c r="G2" s="2791"/>
      <c r="H2" s="2791"/>
      <c r="I2" s="2791"/>
      <c r="J2" s="2791"/>
    </row>
    <row r="3" spans="1:10" ht="16.5">
      <c r="A3" s="2789" t="s">
        <v>709</v>
      </c>
      <c r="B3" s="2792">
        <f>项目基本情况!D3</f>
        <v>45271</v>
      </c>
      <c r="C3" s="2790"/>
      <c r="D3" s="2790"/>
      <c r="E3" s="2790"/>
      <c r="F3" s="2790"/>
      <c r="G3" s="2791"/>
      <c r="H3" s="2791"/>
      <c r="I3" s="2791"/>
      <c r="J3" s="2791"/>
    </row>
    <row r="4" spans="1:10" ht="33">
      <c r="A4" s="2789" t="s">
        <v>423</v>
      </c>
      <c r="B4" s="2789" t="s">
        <v>710</v>
      </c>
      <c r="C4" s="2789" t="s">
        <v>711</v>
      </c>
      <c r="D4" s="2789" t="s">
        <v>712</v>
      </c>
      <c r="E4" s="2790"/>
      <c r="F4" s="2790"/>
      <c r="G4" s="2791"/>
      <c r="H4" s="2791"/>
      <c r="I4" s="2791"/>
      <c r="J4" s="2791"/>
    </row>
    <row r="5" spans="1:10" ht="16.5">
      <c r="A5" s="2789" t="s">
        <v>713</v>
      </c>
      <c r="B5" s="2789">
        <f ca="1">SUM(D14:D23)</f>
        <v>152388</v>
      </c>
      <c r="C5" s="2789">
        <f ca="1">ROUND(B5*10000/$B$1,0)</f>
        <v>8136</v>
      </c>
      <c r="D5" s="2789">
        <f ca="1">ROUND(B5*10000/$B$2,0)</f>
        <v>27423</v>
      </c>
      <c r="E5" s="2790"/>
      <c r="F5" s="2790"/>
      <c r="G5" s="2791"/>
      <c r="H5" s="2791"/>
      <c r="I5" s="2791"/>
      <c r="J5" s="2791"/>
    </row>
    <row r="6" spans="1:10" ht="16.5">
      <c r="A6" s="2789" t="s">
        <v>714</v>
      </c>
      <c r="B6" s="2789">
        <f ca="1">SUM(G14:G23)</f>
        <v>150150</v>
      </c>
      <c r="C6" s="2789">
        <f ca="1">ROUND(B6*10000/$B$1,0)</f>
        <v>8016</v>
      </c>
      <c r="D6" s="2789">
        <f ca="1">ROUND(B6*10000/$B$2,0)</f>
        <v>27020</v>
      </c>
      <c r="E6" s="2790"/>
      <c r="F6" s="2790"/>
      <c r="G6" s="2791"/>
      <c r="H6" s="2791"/>
      <c r="I6" s="2791"/>
      <c r="J6" s="2791"/>
    </row>
    <row r="7" spans="1:10" ht="16.5">
      <c r="A7" s="2789" t="s">
        <v>715</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716</v>
      </c>
      <c r="B9" s="2793"/>
      <c r="C9" s="2790"/>
      <c r="D9" s="2790"/>
      <c r="E9" s="2790"/>
      <c r="F9" s="2790"/>
      <c r="G9" s="2791"/>
      <c r="H9" s="2791"/>
      <c r="I9" s="2791"/>
      <c r="J9" s="2791"/>
    </row>
    <row r="10" spans="1:10" ht="16.5">
      <c r="A10" s="2789" t="s">
        <v>717</v>
      </c>
      <c r="B10" s="2793"/>
      <c r="C10" s="2790"/>
      <c r="D10" s="2790"/>
      <c r="E10" s="2790"/>
      <c r="F10" s="2790"/>
      <c r="G10" s="2791"/>
      <c r="H10" s="2791"/>
      <c r="I10" s="2791"/>
      <c r="J10" s="2791"/>
    </row>
    <row r="11" spans="1:10" ht="16.5">
      <c r="A11" s="2789" t="s">
        <v>718</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719</v>
      </c>
      <c r="B13" s="2795" t="s">
        <v>707</v>
      </c>
      <c r="C13" s="2795" t="s">
        <v>708</v>
      </c>
      <c r="D13" s="2795" t="s">
        <v>720</v>
      </c>
      <c r="E13" s="2789" t="s">
        <v>711</v>
      </c>
      <c r="F13" s="2789" t="s">
        <v>712</v>
      </c>
      <c r="G13" s="2795" t="s">
        <v>721</v>
      </c>
      <c r="H13" s="2795" t="s">
        <v>722</v>
      </c>
      <c r="I13" s="2795" t="s">
        <v>723</v>
      </c>
      <c r="J13" s="2791"/>
    </row>
    <row r="14" spans="1:10" ht="16.5">
      <c r="A14" s="2796" t="s">
        <v>724</v>
      </c>
      <c r="B14" s="2797">
        <f>'数据-基础表'!B3</f>
        <v>187307.45999999996</v>
      </c>
      <c r="C14" s="2797">
        <f>'数据-基础表'!A3</f>
        <v>55570.2</v>
      </c>
      <c r="D14" s="2797">
        <f ca="1">结果表!G19</f>
        <v>152388</v>
      </c>
      <c r="E14" s="2797">
        <f ca="1">ROUND(D14*10000/B14,0)</f>
        <v>8136</v>
      </c>
      <c r="F14" s="2797">
        <f ca="1">ROUND(D14*10000/C14,0)</f>
        <v>27423</v>
      </c>
      <c r="G14" s="2797">
        <f ca="1">结果表!G19-结果表!E37</f>
        <v>150150</v>
      </c>
      <c r="H14" s="2797"/>
      <c r="I14" s="2797"/>
      <c r="J14" s="2791"/>
    </row>
    <row r="15" spans="1:10" ht="16.5">
      <c r="A15" s="2796" t="s">
        <v>725</v>
      </c>
      <c r="B15" s="2798"/>
      <c r="C15" s="2798"/>
      <c r="D15" s="2798"/>
      <c r="E15" s="2797" t="e">
        <f t="shared" ref="E15:E23" si="0">ROUND(D15*10000/B15,0)</f>
        <v>#DIV/0!</v>
      </c>
      <c r="F15" s="2797" t="e">
        <f t="shared" ref="F15:F23" si="1">ROUND(D15*10000/C15,0)</f>
        <v>#DIV/0!</v>
      </c>
      <c r="G15" s="2799"/>
      <c r="H15" s="2799"/>
      <c r="I15" s="2798"/>
      <c r="J15" s="2791"/>
    </row>
    <row r="16" spans="1:10" ht="16.5">
      <c r="A16" s="2796" t="s">
        <v>726</v>
      </c>
      <c r="B16" s="2798"/>
      <c r="C16" s="2798"/>
      <c r="D16" s="2798"/>
      <c r="E16" s="2797" t="e">
        <f t="shared" si="0"/>
        <v>#DIV/0!</v>
      </c>
      <c r="F16" s="2797" t="e">
        <f t="shared" si="1"/>
        <v>#DIV/0!</v>
      </c>
      <c r="G16" s="2799"/>
      <c r="H16" s="2799"/>
      <c r="I16" s="2798"/>
      <c r="J16" s="2791"/>
    </row>
    <row r="17" spans="1:10" ht="16.5">
      <c r="A17" s="2796" t="s">
        <v>727</v>
      </c>
      <c r="B17" s="2798"/>
      <c r="C17" s="2798"/>
      <c r="D17" s="2798"/>
      <c r="E17" s="2797" t="e">
        <f t="shared" si="0"/>
        <v>#DIV/0!</v>
      </c>
      <c r="F17" s="2797" t="e">
        <f t="shared" si="1"/>
        <v>#DIV/0!</v>
      </c>
      <c r="G17" s="2799"/>
      <c r="H17" s="2799"/>
      <c r="I17" s="2798"/>
      <c r="J17" s="2791"/>
    </row>
    <row r="18" spans="1:10" ht="16.5">
      <c r="A18" s="2796" t="s">
        <v>728</v>
      </c>
      <c r="B18" s="2798"/>
      <c r="C18" s="2798"/>
      <c r="D18" s="2798"/>
      <c r="E18" s="2797" t="e">
        <f t="shared" si="0"/>
        <v>#DIV/0!</v>
      </c>
      <c r="F18" s="2797" t="e">
        <f t="shared" si="1"/>
        <v>#DIV/0!</v>
      </c>
      <c r="G18" s="2798"/>
      <c r="H18" s="2798"/>
      <c r="I18" s="2798"/>
      <c r="J18" s="2791"/>
    </row>
    <row r="19" spans="1:10" ht="16.5">
      <c r="A19" s="2796" t="s">
        <v>729</v>
      </c>
      <c r="B19" s="2798"/>
      <c r="C19" s="2798"/>
      <c r="D19" s="2798"/>
      <c r="E19" s="2797" t="e">
        <f t="shared" si="0"/>
        <v>#DIV/0!</v>
      </c>
      <c r="F19" s="2797" t="e">
        <f t="shared" si="1"/>
        <v>#DIV/0!</v>
      </c>
      <c r="G19" s="2798"/>
      <c r="H19" s="2798"/>
      <c r="I19" s="2798"/>
      <c r="J19" s="2791"/>
    </row>
    <row r="20" spans="1:10" ht="16.5">
      <c r="A20" s="2796" t="s">
        <v>730</v>
      </c>
      <c r="B20" s="2798"/>
      <c r="C20" s="2798"/>
      <c r="D20" s="2798"/>
      <c r="E20" s="2797" t="e">
        <f t="shared" si="0"/>
        <v>#DIV/0!</v>
      </c>
      <c r="F20" s="2797" t="e">
        <f t="shared" si="1"/>
        <v>#DIV/0!</v>
      </c>
      <c r="G20" s="2798"/>
      <c r="H20" s="2798"/>
      <c r="I20" s="2798"/>
      <c r="J20" s="2791"/>
    </row>
    <row r="21" spans="1:10" ht="16.5">
      <c r="A21" s="2796" t="s">
        <v>731</v>
      </c>
      <c r="B21" s="2798"/>
      <c r="C21" s="2798"/>
      <c r="D21" s="2798"/>
      <c r="E21" s="2797" t="e">
        <f t="shared" si="0"/>
        <v>#DIV/0!</v>
      </c>
      <c r="F21" s="2797" t="e">
        <f t="shared" si="1"/>
        <v>#DIV/0!</v>
      </c>
      <c r="G21" s="2798"/>
      <c r="H21" s="2798"/>
      <c r="I21" s="2798"/>
      <c r="J21" s="2791"/>
    </row>
    <row r="22" spans="1:10" ht="16.5">
      <c r="A22" s="2796" t="s">
        <v>732</v>
      </c>
      <c r="B22" s="2798"/>
      <c r="C22" s="2798"/>
      <c r="D22" s="2798"/>
      <c r="E22" s="2797" t="e">
        <f t="shared" si="0"/>
        <v>#DIV/0!</v>
      </c>
      <c r="F22" s="2797" t="e">
        <f t="shared" si="1"/>
        <v>#DIV/0!</v>
      </c>
      <c r="G22" s="2798"/>
      <c r="H22" s="2798"/>
      <c r="I22" s="2798"/>
      <c r="J22" s="2791"/>
    </row>
    <row r="23" spans="1:10" ht="16.5">
      <c r="A23" s="2796" t="s">
        <v>733</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90" zoomScaleNormal="100" zoomScalePageLayoutView="80" workbookViewId="0">
      <selection activeCell="G19" sqref="G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734</v>
      </c>
      <c r="B1" s="2451"/>
      <c r="C1" s="2452" t="s">
        <v>735</v>
      </c>
      <c r="D1" s="2453"/>
      <c r="E1" s="2452" t="s">
        <v>736</v>
      </c>
      <c r="F1" s="2454"/>
      <c r="G1" s="121"/>
      <c r="H1" s="121"/>
      <c r="I1" s="121"/>
      <c r="J1" s="188"/>
      <c r="K1" s="188"/>
      <c r="L1" s="188"/>
      <c r="M1" s="188"/>
      <c r="N1" s="188"/>
      <c r="O1" s="188"/>
      <c r="P1" s="188"/>
      <c r="Q1" s="188"/>
      <c r="R1" s="188"/>
      <c r="S1" s="188"/>
      <c r="T1" s="188"/>
      <c r="U1" s="188"/>
      <c r="V1" s="188"/>
    </row>
    <row r="2" spans="1:22" ht="21.75" customHeight="1">
      <c r="A2" s="3761" t="str">
        <f>项目基本情况!K2</f>
        <v>北京市出让国有建设用地使用权</v>
      </c>
      <c r="B2" s="3762"/>
      <c r="C2" s="3763"/>
      <c r="D2" s="3763"/>
      <c r="E2" s="3763"/>
      <c r="F2" s="3763"/>
      <c r="G2" s="3762"/>
      <c r="H2" s="3762"/>
      <c r="I2" s="3764"/>
      <c r="J2" s="2568"/>
      <c r="K2" s="188"/>
      <c r="L2" s="188"/>
      <c r="M2" s="188"/>
      <c r="N2" s="188"/>
      <c r="O2" s="188"/>
      <c r="P2" s="188"/>
      <c r="Q2" s="188"/>
      <c r="R2" s="188"/>
      <c r="S2" s="188"/>
      <c r="T2" s="188"/>
      <c r="U2" s="188"/>
      <c r="V2" s="188"/>
    </row>
    <row r="3" spans="1:22" ht="14.25">
      <c r="A3" s="3765" t="s">
        <v>737</v>
      </c>
      <c r="B3" s="3766"/>
      <c r="C3" s="3766"/>
      <c r="D3" s="3766"/>
      <c r="E3" s="3766"/>
      <c r="F3" s="3766"/>
      <c r="G3" s="3766"/>
      <c r="H3" s="3766"/>
      <c r="I3" s="3766"/>
      <c r="J3" s="2568"/>
      <c r="K3" s="188"/>
      <c r="L3" s="188"/>
      <c r="M3" s="188"/>
      <c r="N3" s="188"/>
      <c r="O3" s="188"/>
      <c r="P3" s="188"/>
      <c r="Q3" s="188"/>
      <c r="R3" s="188"/>
      <c r="S3" s="188"/>
      <c r="T3" s="188"/>
      <c r="U3" s="188"/>
      <c r="V3" s="188"/>
    </row>
    <row r="4" spans="1:22" ht="14.25">
      <c r="A4" s="2455" t="s">
        <v>738</v>
      </c>
      <c r="B4" s="2336" t="s">
        <v>739</v>
      </c>
      <c r="C4" s="2456" t="s">
        <v>740</v>
      </c>
      <c r="D4" s="2456" t="s">
        <v>741</v>
      </c>
      <c r="E4" s="3767" t="s">
        <v>742</v>
      </c>
      <c r="F4" s="3768"/>
      <c r="G4" s="3768"/>
      <c r="H4" s="3768"/>
      <c r="I4" s="3769"/>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73" t="s">
        <v>743</v>
      </c>
      <c r="B5" s="3776">
        <v>25</v>
      </c>
      <c r="C5" s="3823"/>
      <c r="D5" s="3826"/>
      <c r="E5" s="702" t="s">
        <v>744</v>
      </c>
      <c r="F5" s="2459"/>
      <c r="G5" s="2459"/>
      <c r="H5" s="2459"/>
      <c r="I5" s="2571"/>
      <c r="J5" s="2568"/>
      <c r="K5" s="188"/>
      <c r="L5" s="188"/>
      <c r="M5" s="188"/>
      <c r="N5" s="188"/>
      <c r="O5" s="188"/>
      <c r="P5" s="188"/>
      <c r="Q5" s="188"/>
      <c r="R5" s="188"/>
      <c r="S5" s="188"/>
      <c r="T5" s="188"/>
      <c r="U5" s="188"/>
      <c r="V5" s="188"/>
    </row>
    <row r="6" spans="1:22" ht="14.25">
      <c r="A6" s="3773"/>
      <c r="B6" s="3776"/>
      <c r="C6" s="3824"/>
      <c r="D6" s="3826"/>
      <c r="E6" s="702" t="s">
        <v>745</v>
      </c>
      <c r="F6" s="2459"/>
      <c r="G6" s="2459"/>
      <c r="H6" s="2459"/>
      <c r="I6" s="2571"/>
      <c r="J6" s="2568"/>
      <c r="K6" s="188"/>
      <c r="L6" s="188"/>
      <c r="M6" s="188"/>
      <c r="N6" s="188"/>
      <c r="O6" s="188"/>
      <c r="P6" s="188"/>
      <c r="Q6" s="188"/>
      <c r="R6" s="188"/>
      <c r="S6" s="188"/>
      <c r="T6" s="188"/>
      <c r="U6" s="188"/>
      <c r="V6" s="188"/>
    </row>
    <row r="7" spans="1:22" ht="14.25">
      <c r="A7" s="3773"/>
      <c r="B7" s="3776"/>
      <c r="C7" s="3825"/>
      <c r="D7" s="3826"/>
      <c r="E7" s="702" t="s">
        <v>746</v>
      </c>
      <c r="F7" s="2459"/>
      <c r="G7" s="2459"/>
      <c r="H7" s="2459"/>
      <c r="I7" s="2571"/>
      <c r="J7" s="2568"/>
      <c r="K7" s="188"/>
      <c r="L7" s="188"/>
      <c r="M7" s="188"/>
      <c r="N7" s="188"/>
      <c r="O7" s="188"/>
      <c r="P7" s="188"/>
      <c r="Q7" s="188"/>
      <c r="R7" s="188"/>
      <c r="S7" s="188"/>
      <c r="T7" s="188"/>
      <c r="U7" s="188"/>
      <c r="V7" s="188"/>
    </row>
    <row r="8" spans="1:22" ht="14.25">
      <c r="A8" s="3773" t="s">
        <v>747</v>
      </c>
      <c r="B8" s="3776">
        <v>15</v>
      </c>
      <c r="C8" s="3823"/>
      <c r="D8" s="3826"/>
      <c r="E8" s="702" t="s">
        <v>748</v>
      </c>
      <c r="F8" s="2459"/>
      <c r="G8" s="2459"/>
      <c r="H8" s="2459"/>
      <c r="I8" s="2571"/>
      <c r="J8" s="2568"/>
      <c r="K8" s="188"/>
      <c r="L8" s="188"/>
      <c r="M8" s="188"/>
      <c r="N8" s="188"/>
      <c r="O8" s="188"/>
      <c r="P8" s="188"/>
      <c r="Q8" s="188"/>
      <c r="R8" s="188"/>
      <c r="S8" s="188"/>
      <c r="T8" s="188"/>
      <c r="U8" s="188"/>
      <c r="V8" s="188"/>
    </row>
    <row r="9" spans="1:22" ht="14.25">
      <c r="A9" s="3773"/>
      <c r="B9" s="3776"/>
      <c r="C9" s="3825"/>
      <c r="D9" s="3826"/>
      <c r="E9" s="702" t="s">
        <v>749</v>
      </c>
      <c r="F9" s="2459"/>
      <c r="G9" s="2459"/>
      <c r="H9" s="2459"/>
      <c r="I9" s="2571"/>
      <c r="J9" s="2568"/>
      <c r="K9" s="188"/>
      <c r="L9" s="188"/>
      <c r="M9" s="188"/>
      <c r="N9" s="188"/>
      <c r="O9" s="188"/>
      <c r="P9" s="188"/>
      <c r="Q9" s="188"/>
      <c r="R9" s="188"/>
      <c r="S9" s="188"/>
      <c r="T9" s="188"/>
      <c r="U9" s="188"/>
      <c r="V9" s="188"/>
    </row>
    <row r="10" spans="1:22" ht="14.25">
      <c r="A10" s="3773" t="s">
        <v>750</v>
      </c>
      <c r="B10" s="3776">
        <v>15</v>
      </c>
      <c r="C10" s="3823"/>
      <c r="D10" s="3826"/>
      <c r="E10" s="702" t="s">
        <v>751</v>
      </c>
      <c r="F10" s="2459"/>
      <c r="G10" s="2459"/>
      <c r="H10" s="2459"/>
      <c r="I10" s="2571"/>
      <c r="J10" s="2568"/>
      <c r="K10" s="188"/>
      <c r="L10" s="188"/>
      <c r="M10" s="188"/>
      <c r="N10" s="188"/>
      <c r="O10" s="188"/>
      <c r="P10" s="188"/>
      <c r="Q10" s="188"/>
      <c r="R10" s="188"/>
      <c r="S10" s="188"/>
      <c r="T10" s="188"/>
      <c r="U10" s="188"/>
      <c r="V10" s="188"/>
    </row>
    <row r="11" spans="1:22" ht="14.25">
      <c r="A11" s="3773"/>
      <c r="B11" s="3776"/>
      <c r="C11" s="3825"/>
      <c r="D11" s="3826"/>
      <c r="E11" s="702" t="s">
        <v>752</v>
      </c>
      <c r="F11" s="2459"/>
      <c r="G11" s="2459"/>
      <c r="H11" s="2459"/>
      <c r="I11" s="2571"/>
      <c r="J11" s="2568"/>
      <c r="K11" s="188"/>
      <c r="L11" s="188"/>
      <c r="M11" s="188"/>
      <c r="N11" s="188"/>
      <c r="O11" s="188"/>
      <c r="P11" s="188"/>
      <c r="Q11" s="188"/>
      <c r="R11" s="188"/>
      <c r="S11" s="188"/>
      <c r="T11" s="188"/>
      <c r="U11" s="188"/>
      <c r="V11" s="188"/>
    </row>
    <row r="12" spans="1:22" ht="14.25">
      <c r="A12" s="3773" t="s">
        <v>753</v>
      </c>
      <c r="B12" s="3776">
        <v>15</v>
      </c>
      <c r="C12" s="3823"/>
      <c r="D12" s="3826"/>
      <c r="E12" s="702" t="s">
        <v>754</v>
      </c>
      <c r="F12" s="2459"/>
      <c r="G12" s="2459"/>
      <c r="H12" s="2459"/>
      <c r="I12" s="2571"/>
      <c r="J12" s="2568"/>
      <c r="K12" s="188"/>
      <c r="L12" s="188"/>
      <c r="M12" s="188"/>
      <c r="N12" s="188"/>
      <c r="O12" s="188"/>
      <c r="P12" s="188"/>
      <c r="Q12" s="188"/>
      <c r="R12" s="188"/>
      <c r="S12" s="188"/>
      <c r="T12" s="188"/>
      <c r="U12" s="188"/>
      <c r="V12" s="188"/>
    </row>
    <row r="13" spans="1:22" ht="14.25">
      <c r="A13" s="3773"/>
      <c r="B13" s="3776"/>
      <c r="C13" s="3825"/>
      <c r="D13" s="3826"/>
      <c r="E13" s="702" t="s">
        <v>755</v>
      </c>
      <c r="F13" s="2459"/>
      <c r="G13" s="2459"/>
      <c r="H13" s="2459"/>
      <c r="I13" s="2571"/>
      <c r="J13" s="2568"/>
      <c r="K13" s="188"/>
      <c r="L13" s="188"/>
      <c r="M13" s="188"/>
      <c r="N13" s="188"/>
      <c r="O13" s="188"/>
      <c r="P13" s="188"/>
      <c r="Q13" s="188"/>
      <c r="R13" s="188"/>
      <c r="S13" s="188"/>
      <c r="T13" s="188"/>
      <c r="U13" s="188"/>
      <c r="V13" s="188"/>
    </row>
    <row r="14" spans="1:22" ht="14.25">
      <c r="A14" s="3773" t="s">
        <v>756</v>
      </c>
      <c r="B14" s="3776">
        <v>30</v>
      </c>
      <c r="C14" s="3823">
        <v>5</v>
      </c>
      <c r="D14" s="3826">
        <v>5</v>
      </c>
      <c r="E14" s="702" t="s">
        <v>757</v>
      </c>
      <c r="F14" s="2459"/>
      <c r="G14" s="2459"/>
      <c r="H14" s="2459"/>
      <c r="I14" s="2571"/>
      <c r="J14" s="2568"/>
      <c r="K14" s="188"/>
      <c r="L14" s="188"/>
      <c r="M14" s="188"/>
      <c r="N14" s="188"/>
      <c r="O14" s="188"/>
      <c r="P14" s="188"/>
      <c r="Q14" s="188"/>
      <c r="R14" s="188"/>
      <c r="S14" s="188"/>
      <c r="T14" s="188"/>
      <c r="U14" s="188"/>
      <c r="V14" s="188"/>
    </row>
    <row r="15" spans="1:22" ht="14.25">
      <c r="A15" s="3773"/>
      <c r="B15" s="3776"/>
      <c r="C15" s="3824"/>
      <c r="D15" s="3826"/>
      <c r="E15" s="702" t="s">
        <v>758</v>
      </c>
      <c r="F15" s="2459"/>
      <c r="G15" s="2459"/>
      <c r="H15" s="2459"/>
      <c r="I15" s="2571"/>
      <c r="J15" s="2568"/>
      <c r="K15" s="188"/>
      <c r="L15" s="188"/>
      <c r="M15" s="188"/>
      <c r="N15" s="188"/>
      <c r="O15" s="188"/>
      <c r="P15" s="188"/>
      <c r="Q15" s="188"/>
      <c r="R15" s="188"/>
      <c r="S15" s="188"/>
      <c r="T15" s="188"/>
      <c r="U15" s="188"/>
      <c r="V15" s="188"/>
    </row>
    <row r="16" spans="1:22" ht="14.25">
      <c r="A16" s="3773"/>
      <c r="B16" s="3776"/>
      <c r="C16" s="3825"/>
      <c r="D16" s="3826"/>
      <c r="E16" s="702" t="s">
        <v>759</v>
      </c>
      <c r="F16" s="2459"/>
      <c r="G16" s="2459"/>
      <c r="H16" s="2459"/>
      <c r="I16" s="2571"/>
      <c r="J16" s="2568"/>
      <c r="K16" s="188"/>
      <c r="L16" s="188"/>
      <c r="M16" s="188"/>
      <c r="N16" s="188"/>
      <c r="O16" s="188"/>
      <c r="P16" s="188"/>
      <c r="Q16" s="188"/>
      <c r="R16" s="188"/>
      <c r="S16" s="188"/>
      <c r="T16" s="188"/>
      <c r="U16" s="188"/>
      <c r="V16" s="188"/>
    </row>
    <row r="17" spans="1:26" ht="15">
      <c r="A17" s="2460" t="s">
        <v>760</v>
      </c>
      <c r="B17" s="2461"/>
      <c r="C17" s="2462">
        <f>SUM(C5:C16)</f>
        <v>5</v>
      </c>
      <c r="D17" s="2462">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3" t="s">
        <v>761</v>
      </c>
      <c r="B18" s="2464"/>
      <c r="C18" s="2465">
        <f>ROUND(C17/SUM(C17:D17),2)</f>
        <v>0.5</v>
      </c>
      <c r="D18" s="2465">
        <f>1-C18</f>
        <v>0.5</v>
      </c>
      <c r="E18" s="3770" t="s">
        <v>762</v>
      </c>
      <c r="F18" s="3771"/>
      <c r="G18" s="3771"/>
      <c r="H18" s="3771"/>
      <c r="I18" s="3771"/>
      <c r="J18" s="188"/>
      <c r="K18" s="188"/>
      <c r="L18" s="188"/>
      <c r="M18" s="188"/>
      <c r="N18" s="188"/>
      <c r="O18" s="188"/>
      <c r="P18" s="188"/>
      <c r="Q18" s="188"/>
      <c r="R18" s="188"/>
      <c r="S18" s="188"/>
      <c r="T18" s="188"/>
      <c r="U18" s="188"/>
      <c r="V18" s="188"/>
    </row>
    <row r="19" spans="1:26" ht="15">
      <c r="A19" s="2466" t="s">
        <v>763</v>
      </c>
      <c r="B19" s="2467" t="s">
        <v>764</v>
      </c>
      <c r="C19" s="2468">
        <f ca="1">SUMIF(INDIRECT("'"&amp;C4&amp;"'"&amp;"!A:A"),结果表!B19,INDIRECT("'"&amp;C4&amp;"'"&amp;"!B:B"))</f>
        <v>148816</v>
      </c>
      <c r="D19" s="2469">
        <f ca="1">SUMIF(INDIRECT("'"&amp;D4&amp;"'"&amp;"!A:A"),结果表!B19,INDIRECT("'"&amp;D4&amp;"'"&amp;"!B:B"))</f>
        <v>155960</v>
      </c>
      <c r="E19" s="2466" t="s">
        <v>765</v>
      </c>
      <c r="F19" s="2467" t="s">
        <v>764</v>
      </c>
      <c r="G19" s="2470">
        <f ca="1">ROUND(C19*$C$18+D19*$D$18,0)</f>
        <v>152388</v>
      </c>
      <c r="H19" s="2471" t="s">
        <v>766</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8561</v>
      </c>
      <c r="D20" s="2475">
        <f ca="1">SUMIF(INDIRECT("'"&amp;D4&amp;"'"&amp;"!A:A"),结果表!B20,INDIRECT("'"&amp;D4&amp;"'"&amp;"!B:B"))</f>
        <v>8972</v>
      </c>
      <c r="E20" s="2472"/>
      <c r="F20" s="2473" t="s">
        <v>259</v>
      </c>
      <c r="G20" s="2476">
        <f ca="1">ROUND(C20*$C$18+D20*$D$18,0)</f>
        <v>8767</v>
      </c>
      <c r="H20" s="1096" t="s">
        <v>767</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28857</v>
      </c>
      <c r="D21" s="2479">
        <f ca="1">SUMIF(INDIRECT("'"&amp;D4&amp;"'"&amp;"!A:A"),结果表!B21,INDIRECT("'"&amp;D4&amp;"'"&amp;"!B:B"))</f>
        <v>30242</v>
      </c>
      <c r="E21" s="2472"/>
      <c r="F21" s="2477" t="s">
        <v>247</v>
      </c>
      <c r="G21" s="2480">
        <f ca="1">ROUND(C21*$C$18+D21*$D$18,0)</f>
        <v>29550</v>
      </c>
      <c r="H21" s="2481" t="s">
        <v>767</v>
      </c>
      <c r="I21" s="121"/>
      <c r="J21" s="188"/>
      <c r="K21" s="188"/>
      <c r="L21" s="188"/>
      <c r="M21" s="188"/>
      <c r="N21" s="188"/>
      <c r="O21" s="188"/>
      <c r="P21" s="188"/>
      <c r="Q21" s="188"/>
      <c r="R21" s="188"/>
      <c r="S21" s="188"/>
      <c r="T21" s="188"/>
      <c r="U21" s="188"/>
      <c r="V21" s="188"/>
    </row>
    <row r="22" spans="1:26" ht="15">
      <c r="A22" s="2482" t="s">
        <v>768</v>
      </c>
      <c r="B22" s="2483"/>
      <c r="C22" s="2484"/>
      <c r="D22" s="2485">
        <f ca="1">IF(C19&lt;D19,D19/C19-1,C19/D19-1)</f>
        <v>4.8005590796688535E-2</v>
      </c>
      <c r="E22" s="1081"/>
      <c r="F22" s="2486"/>
      <c r="G22" s="2487">
        <f ca="1">ROUND(G19/('数据-汇总表'!D3/666.67),0)</f>
        <v>1970</v>
      </c>
      <c r="H22" s="2488" t="s">
        <v>769</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74" t="s">
        <v>770</v>
      </c>
      <c r="B24" s="2467" t="s">
        <v>764</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775"/>
      <c r="B25" s="2491" t="s">
        <v>259</v>
      </c>
      <c r="C25" s="2492">
        <f>IF(B30=0,0,C30)</f>
        <v>0</v>
      </c>
      <c r="D25" s="2493"/>
      <c r="E25" s="121"/>
      <c r="F25" s="121"/>
      <c r="G25" s="121"/>
      <c r="H25" s="121"/>
      <c r="I25" s="121"/>
      <c r="J25" s="188"/>
      <c r="K25" s="2572" t="str">
        <f ca="1">项目基本情况!A17&amp;"国有建设用地使用权价格："&amp;O38&amp;"万元"</f>
        <v>出让国有建设用地使用权价格：152388万元</v>
      </c>
      <c r="L25" s="2573"/>
      <c r="M25" s="2573"/>
      <c r="N25" s="2573"/>
      <c r="O25" s="2574"/>
      <c r="P25" s="188"/>
      <c r="Q25" s="188"/>
      <c r="R25" s="188"/>
      <c r="S25" s="188"/>
      <c r="T25" s="188"/>
      <c r="U25" s="188"/>
      <c r="V25" s="188"/>
    </row>
    <row r="26" spans="1:26" s="2448" customFormat="1" ht="18">
      <c r="A26" s="2494" t="s">
        <v>771</v>
      </c>
      <c r="B26" s="2495" t="s">
        <v>772</v>
      </c>
      <c r="C26" s="2495" t="s">
        <v>773</v>
      </c>
      <c r="D26" s="2496" t="s">
        <v>774</v>
      </c>
      <c r="E26" s="121"/>
      <c r="F26" s="121"/>
      <c r="G26" s="121"/>
      <c r="H26" s="121"/>
      <c r="I26" s="121"/>
      <c r="J26" s="188"/>
      <c r="K26" s="2575" t="str">
        <f ca="1">"大写金额：人民币"&amp;NUMBERSTRING(INT(O38*10000),2)&amp;"元整"</f>
        <v>大写金额：人民币壹拾伍亿贰仟叁佰捌拾捌万元整</v>
      </c>
      <c r="L26" s="2483"/>
      <c r="M26" s="2483"/>
      <c r="N26" s="2483"/>
      <c r="O26" s="2481"/>
      <c r="P26" s="188"/>
      <c r="Q26" s="188"/>
      <c r="R26" s="188"/>
      <c r="S26" s="188"/>
      <c r="T26" s="188"/>
      <c r="U26" s="188"/>
      <c r="V26" s="188"/>
      <c r="W26" s="1087"/>
      <c r="X26" s="1087"/>
      <c r="Y26" s="1087"/>
      <c r="Z26" s="1087"/>
    </row>
    <row r="27" spans="1:26" ht="18">
      <c r="A27" s="2497" t="s">
        <v>775</v>
      </c>
      <c r="B27" s="2495">
        <f>'数据-基础表'!K13</f>
        <v>46502.98</v>
      </c>
      <c r="C27" s="2495">
        <f>估价对象!O25*0.15*0.25</f>
        <v>467.01928315254401</v>
      </c>
      <c r="D27" s="2496">
        <f>ROUND(B27*C27*1.0305/10000,0)</f>
        <v>2238</v>
      </c>
      <c r="E27" s="121"/>
      <c r="F27" s="121"/>
      <c r="G27" s="121"/>
      <c r="H27" s="121"/>
      <c r="I27" s="121"/>
      <c r="J27" s="188"/>
      <c r="K27" s="2575" t="str">
        <f ca="1">"单位面积地价："&amp;M38&amp;"元/平方米"</f>
        <v>单位面积地价：29549元/平方米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5" t="str">
        <f ca="1">"楼面地价："&amp;N38&amp;"元/平方米"</f>
        <v>楼面地价：8767元/平方米</v>
      </c>
      <c r="L28" s="2483"/>
      <c r="M28" s="2483"/>
      <c r="N28" s="2483"/>
      <c r="O28" s="2481"/>
      <c r="P28" s="188"/>
      <c r="V28" s="188"/>
    </row>
    <row r="29" spans="1:26" ht="18">
      <c r="A29" s="2494"/>
      <c r="B29" s="2495"/>
      <c r="C29" s="2495"/>
      <c r="D29" s="2496"/>
      <c r="E29" s="121"/>
      <c r="F29" s="121"/>
      <c r="G29" s="121"/>
      <c r="H29" s="121"/>
      <c r="I29" s="121"/>
      <c r="J29" s="188"/>
      <c r="K29" s="2575" t="str">
        <f ca="1">IF(OR(项目基本情况!E8="抵押价格",项目基本情况!E8="已注销及未注销"),"抵押价格："&amp;O39&amp;"万元","——")</f>
        <v>抵押价格：150150万元</v>
      </c>
      <c r="L29" s="2483"/>
      <c r="M29" s="2483"/>
      <c r="N29" s="2483"/>
      <c r="O29" s="2481"/>
      <c r="P29" s="188"/>
      <c r="V29" s="188"/>
    </row>
    <row r="30" spans="1:26" ht="18">
      <c r="A30" s="2498" t="s">
        <v>776</v>
      </c>
      <c r="B30" s="2499"/>
      <c r="C30" s="2499"/>
      <c r="D30" s="2500"/>
      <c r="E30" s="2501" t="s">
        <v>777</v>
      </c>
      <c r="F30" s="121"/>
      <c r="G30" s="121"/>
      <c r="H30" s="121"/>
      <c r="I30" s="121"/>
      <c r="J30" s="188"/>
      <c r="K30" s="2575" t="str">
        <f ca="1">IF(K29="——","——","大写金额：人民币"&amp;NUMBERSTRING(INT(O39*10000),2)&amp;"元整")</f>
        <v>大写金额：人民币壹拾伍亿零壹佰伍拾万元整</v>
      </c>
      <c r="L30" s="2483"/>
      <c r="M30" s="2483"/>
      <c r="N30" s="2483"/>
      <c r="O30" s="2481"/>
      <c r="P30" s="188"/>
      <c r="V30" s="188"/>
    </row>
    <row r="31" spans="1:26" ht="24" customHeight="1">
      <c r="A31" s="3772" t="s">
        <v>778</v>
      </c>
      <c r="B31" s="3772"/>
      <c r="C31" s="3772"/>
      <c r="D31" s="3772"/>
      <c r="E31" s="3772"/>
      <c r="F31" s="3772"/>
      <c r="G31" s="3772"/>
      <c r="H31" s="3772"/>
      <c r="I31" s="3772"/>
      <c r="J31" s="188"/>
      <c r="K31" s="2576" t="str">
        <f>IF(项目基本情况!E8="抵押价格","——","抵押担保权已注销时的抵押价格："&amp;O40&amp;"万元")</f>
        <v>——</v>
      </c>
      <c r="L31" s="2577"/>
      <c r="M31" s="2577"/>
      <c r="N31" s="2577"/>
      <c r="O31" s="2578"/>
      <c r="P31" s="188"/>
      <c r="V31" s="188"/>
    </row>
    <row r="32" spans="1:26" ht="18">
      <c r="A32" s="2472" t="s">
        <v>779</v>
      </c>
      <c r="B32" s="2502" t="s">
        <v>780</v>
      </c>
      <c r="C32" s="2463">
        <f ca="1">G19-C24</f>
        <v>152388</v>
      </c>
      <c r="D32" s="2503" t="s">
        <v>781</v>
      </c>
      <c r="E32" s="121"/>
      <c r="F32" s="121"/>
      <c r="G32" s="121"/>
      <c r="H32" s="121"/>
      <c r="I32" s="121"/>
      <c r="J32" s="188"/>
      <c r="K32" s="2579" t="str">
        <f>IF(K31="——","——","大写金额：人民币"&amp;NUMBERSTRING(INT(O40*10000),2)&amp;"元整")</f>
        <v>——</v>
      </c>
      <c r="L32" s="2580"/>
      <c r="M32" s="2580"/>
      <c r="N32" s="2580"/>
      <c r="O32" s="2581"/>
      <c r="P32" s="188"/>
      <c r="V32" s="188"/>
    </row>
    <row r="33" spans="1:26" ht="18">
      <c r="A33" s="2504" t="s">
        <v>782</v>
      </c>
      <c r="B33" s="2505" t="s">
        <v>783</v>
      </c>
      <c r="C33" s="2460">
        <f ca="1">ROUND(C32*10000/'数据-汇总表'!E3,0)</f>
        <v>8767</v>
      </c>
      <c r="D33" s="2506" t="s">
        <v>784</v>
      </c>
      <c r="E33" s="3774" t="s">
        <v>785</v>
      </c>
      <c r="F33" s="2507" t="s">
        <v>786</v>
      </c>
      <c r="G33" s="2508"/>
      <c r="H33" s="2509"/>
      <c r="I33" s="2582"/>
      <c r="J33" s="188"/>
      <c r="K33" s="2575" t="str">
        <f>IF(项目基本情况!E9="——","——","抵押净值："&amp;C46&amp;"万元")</f>
        <v>抵押净值：——万元</v>
      </c>
      <c r="L33" s="2483"/>
      <c r="M33" s="2483"/>
      <c r="N33" s="2483"/>
      <c r="O33" s="2481"/>
      <c r="P33" s="188"/>
      <c r="V33" s="188"/>
    </row>
    <row r="34" spans="1:26" s="2448" customFormat="1" ht="18">
      <c r="A34" s="2510"/>
      <c r="B34" s="2511" t="s">
        <v>787</v>
      </c>
      <c r="C34" s="2460">
        <f ca="1">ROUND(C32*10000/'数据-汇总表'!D3,0)</f>
        <v>29549</v>
      </c>
      <c r="D34" s="2512" t="s">
        <v>784</v>
      </c>
      <c r="E34" s="3827"/>
      <c r="F34" s="2513" t="s">
        <v>788</v>
      </c>
      <c r="G34" s="2514"/>
      <c r="H34" s="2464"/>
      <c r="I34" s="121"/>
      <c r="J34" s="188"/>
      <c r="K34" s="2583" t="e">
        <f>IF(K33="——","——","大写金额：人民币"&amp;NUMBERSTRING(INT(O41*10000),2)&amp;"元整")</f>
        <v>#VALUE!</v>
      </c>
      <c r="L34" s="2584"/>
      <c r="M34" s="2584"/>
      <c r="N34" s="2584"/>
      <c r="O34" s="2585"/>
      <c r="P34" s="188"/>
      <c r="Q34" s="1087"/>
      <c r="R34" s="1087"/>
      <c r="S34" s="1087"/>
      <c r="T34" s="1087"/>
      <c r="U34" s="1087"/>
      <c r="V34" s="188"/>
      <c r="W34" s="1087"/>
      <c r="X34" s="1087"/>
      <c r="Y34" s="1087"/>
      <c r="Z34" s="1087"/>
    </row>
    <row r="35" spans="1:26" ht="15">
      <c r="A35" s="1081"/>
      <c r="B35" s="2515"/>
      <c r="C35" s="2516">
        <f ca="1">ROUND(C32/('数据-汇总表'!D3/666.67),0)</f>
        <v>1970</v>
      </c>
      <c r="D35" s="2517" t="s">
        <v>789</v>
      </c>
      <c r="E35" s="3828"/>
      <c r="F35" s="2518" t="s">
        <v>790</v>
      </c>
      <c r="G35" s="2519">
        <f>D27</f>
        <v>2238</v>
      </c>
      <c r="H35" s="2520" t="s">
        <v>791</v>
      </c>
      <c r="I35" s="121"/>
      <c r="J35" s="188"/>
      <c r="K35" s="3832" t="s">
        <v>792</v>
      </c>
      <c r="L35" s="3832" t="s">
        <v>793</v>
      </c>
      <c r="M35" s="2586" t="s">
        <v>794</v>
      </c>
      <c r="N35" s="3832" t="s">
        <v>795</v>
      </c>
      <c r="O35" s="3832" t="s">
        <v>796</v>
      </c>
      <c r="P35" s="188"/>
      <c r="V35" s="188"/>
    </row>
    <row r="36" spans="1:26" ht="16.5" customHeight="1">
      <c r="A36" s="2521" t="s">
        <v>797</v>
      </c>
      <c r="B36" s="2522" t="s">
        <v>772</v>
      </c>
      <c r="C36" s="2523" t="s">
        <v>773</v>
      </c>
      <c r="D36" s="2523" t="s">
        <v>798</v>
      </c>
      <c r="E36" s="2524" t="s">
        <v>774</v>
      </c>
      <c r="F36" s="121"/>
      <c r="G36" s="121"/>
      <c r="H36" s="121"/>
      <c r="I36" s="121"/>
      <c r="J36" s="2587"/>
      <c r="K36" s="3833"/>
      <c r="L36" s="3833"/>
      <c r="M36" s="2588" t="s">
        <v>799</v>
      </c>
      <c r="N36" s="3833"/>
      <c r="O36" s="3833"/>
      <c r="P36" s="188"/>
      <c r="V36" s="188"/>
    </row>
    <row r="37" spans="1:26" ht="16.5" customHeight="1">
      <c r="A37" s="2525" t="s">
        <v>800</v>
      </c>
      <c r="B37" s="2526">
        <f>B27</f>
        <v>46502.98</v>
      </c>
      <c r="C37" s="2495">
        <f>C27</f>
        <v>467.01928315254401</v>
      </c>
      <c r="D37" s="2527">
        <v>3.0499999999999999E-2</v>
      </c>
      <c r="E37" s="2496">
        <f>ROUND(B37*C37*(1+D37)/10000,0)</f>
        <v>2238</v>
      </c>
      <c r="F37" s="121"/>
      <c r="G37" s="121"/>
      <c r="H37" s="121"/>
      <c r="I37" s="121"/>
      <c r="J37" s="2587"/>
      <c r="K37" s="3834"/>
      <c r="L37" s="3834"/>
      <c r="M37" s="2589"/>
      <c r="N37" s="3834"/>
      <c r="O37" s="3834"/>
      <c r="P37" s="188"/>
      <c r="V37" s="188"/>
    </row>
    <row r="38" spans="1:26" ht="16.5" customHeight="1">
      <c r="A38" s="2525" t="s">
        <v>801</v>
      </c>
      <c r="B38" s="2526"/>
      <c r="C38" s="2495"/>
      <c r="D38" s="2495"/>
      <c r="E38" s="2496"/>
      <c r="F38" s="121"/>
      <c r="G38" s="121"/>
      <c r="H38" s="121"/>
      <c r="I38" s="121"/>
      <c r="J38" s="2587"/>
      <c r="K38" s="2590">
        <f>'数据-汇总表'!D3</f>
        <v>51570.87</v>
      </c>
      <c r="L38" s="2591">
        <f>'数据-汇总表'!E3</f>
        <v>173827.12999999998</v>
      </c>
      <c r="M38" s="2591">
        <f ca="1">C34</f>
        <v>29549</v>
      </c>
      <c r="N38" s="2591">
        <f ca="1">C33</f>
        <v>8767</v>
      </c>
      <c r="O38" s="2592">
        <f ca="1">C32</f>
        <v>152388</v>
      </c>
      <c r="P38" s="188"/>
      <c r="V38" s="188"/>
    </row>
    <row r="39" spans="1:26" ht="16.5" customHeight="1">
      <c r="A39" s="2528"/>
      <c r="B39" s="2529"/>
      <c r="C39" s="2499"/>
      <c r="D39" s="2499"/>
      <c r="E39" s="2500"/>
      <c r="F39" s="121"/>
      <c r="G39" s="121"/>
      <c r="H39" s="121"/>
      <c r="I39" s="121"/>
      <c r="J39" s="2587"/>
      <c r="K39" s="3838" t="str">
        <f>MID(A44,3,LEN(A44)-2)</f>
        <v>抵押价格</v>
      </c>
      <c r="L39" s="3839"/>
      <c r="M39" s="3839"/>
      <c r="N39" s="3840"/>
      <c r="O39" s="2593">
        <f ca="1">C44</f>
        <v>150150</v>
      </c>
      <c r="P39" s="188"/>
      <c r="V39" s="188"/>
    </row>
    <row r="40" spans="1:26" ht="18.75">
      <c r="A40" s="2530" t="s">
        <v>802</v>
      </c>
      <c r="B40" s="121"/>
      <c r="C40" s="121"/>
      <c r="D40" s="121"/>
      <c r="E40" s="121"/>
      <c r="F40" s="121"/>
      <c r="G40" s="121"/>
      <c r="H40" s="121"/>
      <c r="I40" s="121"/>
      <c r="J40" s="2587"/>
      <c r="K40" s="3838" t="str">
        <f>MID(A45,3,LEN(A45)-2)</f>
        <v/>
      </c>
      <c r="L40" s="3839"/>
      <c r="M40" s="3839"/>
      <c r="N40" s="3840"/>
      <c r="O40" s="2593" t="str">
        <f>C45</f>
        <v>——</v>
      </c>
      <c r="P40" s="188"/>
      <c r="V40" s="188"/>
    </row>
    <row r="41" spans="1:26" ht="15.75">
      <c r="A41" s="2531" t="s">
        <v>803</v>
      </c>
      <c r="B41" s="2532"/>
      <c r="C41" s="2533" t="s">
        <v>804</v>
      </c>
      <c r="D41" s="2534" t="s">
        <v>805</v>
      </c>
      <c r="E41" s="2534" t="s">
        <v>806</v>
      </c>
      <c r="F41" s="2535" t="s">
        <v>807</v>
      </c>
      <c r="G41" s="121"/>
      <c r="H41" s="121"/>
      <c r="I41" s="121"/>
      <c r="J41" s="2587"/>
      <c r="K41" s="3838" t="str">
        <f>MID(A46,3,LEN(A46)-2)</f>
        <v/>
      </c>
      <c r="L41" s="3839"/>
      <c r="M41" s="3839"/>
      <c r="N41" s="3840"/>
      <c r="O41" s="2593" t="str">
        <f>C46</f>
        <v>——</v>
      </c>
      <c r="P41" s="188"/>
      <c r="V41" s="188"/>
    </row>
    <row r="42" spans="1:26" ht="29.25">
      <c r="A42" s="3777" t="s">
        <v>808</v>
      </c>
      <c r="B42" s="3778"/>
      <c r="C42" s="2460">
        <f ca="1">C32</f>
        <v>152388</v>
      </c>
      <c r="D42" s="2536">
        <f ca="1">C33</f>
        <v>8767</v>
      </c>
      <c r="E42" s="2536">
        <f ca="1">C34</f>
        <v>29549</v>
      </c>
      <c r="F42" s="2537">
        <f ca="1">C35</f>
        <v>1970</v>
      </c>
      <c r="G42" s="121"/>
      <c r="H42" s="121"/>
      <c r="I42" s="2594"/>
      <c r="J42" s="2587"/>
      <c r="K42" s="2595" t="s">
        <v>809</v>
      </c>
      <c r="L42" s="2596" t="s">
        <v>810</v>
      </c>
      <c r="M42" s="2597" t="s">
        <v>811</v>
      </c>
      <c r="N42" s="2598" t="s">
        <v>812</v>
      </c>
      <c r="O42" s="2599" t="s">
        <v>813</v>
      </c>
      <c r="P42" s="188"/>
      <c r="V42" s="188"/>
    </row>
    <row r="43" spans="1:26" ht="30">
      <c r="A43" s="3783" t="s">
        <v>814</v>
      </c>
      <c r="B43" s="3784"/>
      <c r="C43" s="2460">
        <f>IF(H33="正常操作",G33+G34+G35,G34+G35)</f>
        <v>2238</v>
      </c>
      <c r="D43" s="2536" t="s">
        <v>138</v>
      </c>
      <c r="E43" s="2536" t="s">
        <v>138</v>
      </c>
      <c r="F43" s="2537" t="s">
        <v>138</v>
      </c>
      <c r="G43" s="2538" t="s">
        <v>138</v>
      </c>
      <c r="H43" s="121"/>
      <c r="I43" s="2594"/>
      <c r="J43" s="2587"/>
      <c r="K43" s="2600" t="str">
        <f>C4</f>
        <v>比较法-住宅、综合</v>
      </c>
      <c r="L43" s="2601">
        <f ca="1">IF(L42="估价结果/万元",C19,C20)</f>
        <v>148816</v>
      </c>
      <c r="M43" s="2602">
        <f>C18</f>
        <v>0.5</v>
      </c>
      <c r="N43" s="2603">
        <f ca="1">IF(N42="测算结果/万元",G19,G20)</f>
        <v>152388</v>
      </c>
      <c r="O43" s="2604">
        <f ca="1">IF(O42="最终结果/万元",C32,C33)</f>
        <v>152388</v>
      </c>
      <c r="P43" s="188"/>
      <c r="V43" s="188"/>
    </row>
    <row r="44" spans="1:26" ht="30">
      <c r="A44" s="3777" t="str">
        <f>IF(OR(项目基本情况!E8="抵押价格",项目基本情况!E8="已注销及未注销"),"3.抵押价格","——")</f>
        <v>3.抵押价格</v>
      </c>
      <c r="B44" s="3778"/>
      <c r="C44" s="2460">
        <f ca="1">IF(A44="——","——",C42-C43)</f>
        <v>150150</v>
      </c>
      <c r="D44" s="2536">
        <f ca="1">ROUND(C44*10000/'数据-汇总表'!E3,0)</f>
        <v>8638</v>
      </c>
      <c r="E44" s="2536">
        <f ca="1">ROUND(C44*10000/'数据-汇总表'!D3,0)</f>
        <v>29115</v>
      </c>
      <c r="F44" s="2537">
        <f ca="1">ROUND(C44/('数据-汇总表'!D3/666.67),0)</f>
        <v>1941</v>
      </c>
      <c r="G44" s="121"/>
      <c r="H44" s="121"/>
      <c r="I44" s="2594"/>
      <c r="J44" s="2587"/>
      <c r="K44" s="2605" t="str">
        <f>D4</f>
        <v>剩余法-待开发</v>
      </c>
      <c r="L44" s="2606">
        <f ca="1">IF(L42="估价结果/万元",D19,D20)</f>
        <v>155960</v>
      </c>
      <c r="M44" s="2607">
        <f>D18</f>
        <v>0.5</v>
      </c>
      <c r="N44" s="2608"/>
      <c r="O44" s="2609"/>
      <c r="P44" s="188"/>
      <c r="V44" s="188"/>
    </row>
    <row r="45" spans="1:26" ht="15">
      <c r="A45" s="3779" t="str">
        <f>IF(项目基本情况!E8="已注销及未注销","4.抵押担保权已注销时的抵押价格",IF(项目基本情况!E8="已注销","3.抵押担保权已注销时的抵押价格","——"))</f>
        <v>——</v>
      </c>
      <c r="B45" s="3780"/>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781" t="str">
        <f>IF(项目基本情况!E9="抵押净值",IF(A45="——","4.抵押净值","5.抵押净值"),"——")</f>
        <v>——</v>
      </c>
      <c r="B46" s="3782"/>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815</v>
      </c>
      <c r="B47" s="2542"/>
      <c r="C47" s="2543" t="s">
        <v>816</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本次评估估价师知悉的法定优先受偿款为人民币2238万元整。</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817</v>
      </c>
      <c r="G53" s="2555"/>
      <c r="H53" s="2555"/>
      <c r="I53" s="2614" t="s">
        <v>818</v>
      </c>
      <c r="J53" s="2612"/>
      <c r="K53" s="188"/>
      <c r="L53" s="188"/>
      <c r="M53" s="188"/>
      <c r="N53" s="188"/>
      <c r="O53" s="188"/>
      <c r="P53" s="188"/>
      <c r="Q53" s="188"/>
      <c r="R53" s="188"/>
      <c r="S53" s="188"/>
      <c r="T53" s="188"/>
      <c r="U53" s="188"/>
      <c r="V53" s="188"/>
    </row>
    <row r="54" spans="1:22" ht="12.75">
      <c r="A54" s="75"/>
      <c r="B54" s="2556" t="s">
        <v>819</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820</v>
      </c>
      <c r="J56" s="2612"/>
      <c r="K56" s="188"/>
      <c r="L56" s="188"/>
      <c r="M56" s="188"/>
      <c r="N56" s="188"/>
      <c r="O56" s="188"/>
      <c r="P56" s="188"/>
      <c r="Q56" s="188"/>
      <c r="R56" s="188"/>
      <c r="S56" s="188"/>
      <c r="T56" s="188"/>
      <c r="U56" s="188"/>
      <c r="V56" s="188"/>
    </row>
    <row r="57" spans="1:22" ht="12.75">
      <c r="A57" s="75"/>
      <c r="B57" s="2556" t="s">
        <v>821</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820</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822</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785" t="s">
        <v>823</v>
      </c>
      <c r="B63" s="3786"/>
      <c r="C63" s="3787"/>
      <c r="D63" s="730">
        <f ca="1">ROUND(C42*F63,0)</f>
        <v>152388</v>
      </c>
      <c r="E63" s="2564" t="s">
        <v>824</v>
      </c>
      <c r="F63" s="2565">
        <v>1</v>
      </c>
      <c r="G63" s="2566" t="s">
        <v>825</v>
      </c>
      <c r="H63" s="121"/>
      <c r="I63" s="121"/>
      <c r="J63" s="188"/>
      <c r="K63" s="188"/>
      <c r="L63" s="188"/>
      <c r="M63" s="188"/>
      <c r="N63" s="188"/>
      <c r="O63" s="188"/>
      <c r="P63" s="188"/>
      <c r="Q63" s="188"/>
      <c r="R63" s="188"/>
      <c r="S63" s="188"/>
      <c r="T63" s="188"/>
      <c r="U63" s="188"/>
      <c r="V63" s="188"/>
    </row>
    <row r="64" spans="1:22" ht="14.25" customHeight="1">
      <c r="A64" s="3788" t="s">
        <v>826</v>
      </c>
      <c r="B64" s="3789"/>
      <c r="C64" s="3789"/>
      <c r="D64" s="3789"/>
      <c r="E64" s="3789"/>
      <c r="F64" s="3789"/>
      <c r="G64" s="3790"/>
      <c r="H64" s="2567"/>
      <c r="I64" s="122"/>
      <c r="J64" s="123"/>
      <c r="K64" s="2616" t="s">
        <v>827</v>
      </c>
      <c r="L64" s="2617"/>
      <c r="M64" s="2617"/>
      <c r="N64" s="2617"/>
      <c r="O64" s="2617"/>
      <c r="P64" s="121"/>
      <c r="Q64" s="188"/>
      <c r="R64" s="188"/>
      <c r="S64" s="188"/>
      <c r="T64" s="188"/>
      <c r="U64" s="188"/>
      <c r="V64" s="188"/>
    </row>
    <row r="65" spans="1:22" ht="12" customHeight="1">
      <c r="A65" s="2618" t="s">
        <v>828</v>
      </c>
      <c r="B65" s="2619"/>
      <c r="C65" s="2620"/>
      <c r="D65" s="2621" t="s">
        <v>829</v>
      </c>
      <c r="E65" s="127" t="s">
        <v>830</v>
      </c>
      <c r="F65" s="2622" t="s">
        <v>831</v>
      </c>
      <c r="G65" s="2623" t="s">
        <v>832</v>
      </c>
      <c r="H65" s="2567"/>
      <c r="I65" s="122"/>
      <c r="J65" s="123"/>
      <c r="K65" s="2725"/>
      <c r="L65" s="2726"/>
      <c r="M65" s="2726"/>
      <c r="N65" s="2727" t="s">
        <v>833</v>
      </c>
      <c r="O65" s="2728"/>
      <c r="P65" s="2729"/>
      <c r="Q65" s="188"/>
      <c r="R65" s="188"/>
      <c r="S65" s="188"/>
      <c r="T65" s="188"/>
      <c r="U65" s="188"/>
      <c r="V65" s="188"/>
    </row>
    <row r="66" spans="1:22" ht="25.5">
      <c r="A66" s="3791" t="s">
        <v>834</v>
      </c>
      <c r="B66" s="3792"/>
      <c r="C66" s="3792"/>
      <c r="D66" s="702" t="b">
        <f>IF(H66="情况1",0,IF(H66="情况2",D70,IF(H66="情况3",D71,IF(H66="情况4",D72))))</f>
        <v>0</v>
      </c>
      <c r="E66" s="724" t="str">
        <f>IF(H66="情况4","(销售额-原购置价)×税（费）率","销售额×税（费）率")</f>
        <v>销售额×税（费）率</v>
      </c>
      <c r="F66" s="2624">
        <f>IF(H66="情况1","免征",'数据-取费表'!B41)</f>
        <v>5.5E-2</v>
      </c>
      <c r="G66" s="2625" t="s">
        <v>835</v>
      </c>
      <c r="H66" s="2626"/>
      <c r="I66" s="2567"/>
      <c r="J66" s="2730"/>
      <c r="K66" s="2731">
        <v>1</v>
      </c>
      <c r="L66" s="3793" t="s">
        <v>836</v>
      </c>
      <c r="M66" s="3794"/>
      <c r="N66" s="2732"/>
      <c r="O66" s="2733"/>
      <c r="P66" s="2734"/>
      <c r="Q66" s="188"/>
      <c r="R66" s="188"/>
      <c r="S66" s="188"/>
      <c r="T66" s="188"/>
      <c r="U66" s="188"/>
      <c r="V66" s="188"/>
    </row>
    <row r="67" spans="1:22" ht="25.5" customHeight="1">
      <c r="A67" s="2627" t="s">
        <v>837</v>
      </c>
      <c r="B67" s="3795" t="s">
        <v>838</v>
      </c>
      <c r="C67" s="3795"/>
      <c r="D67" s="2628">
        <v>0</v>
      </c>
      <c r="E67" s="2629" t="s">
        <v>839</v>
      </c>
      <c r="F67" s="2630" t="s">
        <v>138</v>
      </c>
      <c r="G67" s="3829"/>
      <c r="H67" s="2632" t="s">
        <v>840</v>
      </c>
      <c r="I67" s="2735"/>
      <c r="J67" s="2736"/>
      <c r="K67" s="2737">
        <v>2</v>
      </c>
      <c r="L67" s="3796" t="s">
        <v>841</v>
      </c>
      <c r="M67" s="3796"/>
      <c r="N67" s="2738">
        <f>'数据-取费表'!B2</f>
        <v>45271</v>
      </c>
      <c r="O67" s="2738"/>
      <c r="P67" s="2738"/>
      <c r="Q67" s="188"/>
      <c r="R67" s="188"/>
      <c r="S67" s="188"/>
      <c r="T67" s="188"/>
      <c r="U67" s="188"/>
      <c r="V67" s="188"/>
    </row>
    <row r="68" spans="1:22" ht="25.5" customHeight="1">
      <c r="A68" s="2633"/>
      <c r="B68" s="3795" t="s">
        <v>842</v>
      </c>
      <c r="C68" s="3795"/>
      <c r="D68" s="2634"/>
      <c r="E68" s="2635"/>
      <c r="F68" s="2636"/>
      <c r="G68" s="3830"/>
      <c r="H68" s="2637" t="s">
        <v>843</v>
      </c>
      <c r="I68" s="2735"/>
      <c r="J68" s="2736"/>
      <c r="K68" s="2737">
        <v>3</v>
      </c>
      <c r="L68" s="3796" t="s">
        <v>844</v>
      </c>
      <c r="M68" s="3796"/>
      <c r="N68" s="2739">
        <f ca="1">C42</f>
        <v>152388</v>
      </c>
      <c r="O68" s="2739"/>
      <c r="P68" s="2739"/>
      <c r="Q68" s="188"/>
      <c r="R68" s="188"/>
      <c r="S68" s="188"/>
      <c r="T68" s="188"/>
      <c r="U68" s="188"/>
      <c r="V68" s="188"/>
    </row>
    <row r="69" spans="1:22" ht="23.45" customHeight="1">
      <c r="A69" s="2638"/>
      <c r="B69" s="3795" t="s">
        <v>845</v>
      </c>
      <c r="C69" s="3795"/>
      <c r="D69" s="2639"/>
      <c r="E69" s="2640"/>
      <c r="F69" s="2636"/>
      <c r="G69" s="3831"/>
      <c r="H69" s="2637" t="s">
        <v>846</v>
      </c>
      <c r="I69" s="2735"/>
      <c r="J69" s="2736"/>
      <c r="K69" s="2740">
        <v>4</v>
      </c>
      <c r="L69" s="3797" t="s">
        <v>847</v>
      </c>
      <c r="M69" s="3798"/>
      <c r="N69" s="2741">
        <f ca="1">C44</f>
        <v>150150</v>
      </c>
      <c r="O69" s="2741"/>
      <c r="P69" s="2741"/>
      <c r="Q69" s="188"/>
      <c r="R69" s="188"/>
      <c r="S69" s="188"/>
      <c r="T69" s="188"/>
      <c r="U69" s="188"/>
      <c r="V69" s="188"/>
    </row>
    <row r="70" spans="1:22" ht="24" customHeight="1">
      <c r="A70" s="2642" t="s">
        <v>848</v>
      </c>
      <c r="B70" s="3795" t="s">
        <v>849</v>
      </c>
      <c r="C70" s="3795"/>
      <c r="D70" s="2639">
        <f ca="1">ROUND(D63*'数据-取费表'!B41/(1+'数据-取费表'!C42),0)</f>
        <v>7982</v>
      </c>
      <c r="E70" s="130" t="s">
        <v>850</v>
      </c>
      <c r="F70" s="2643">
        <f>'数据-取费表'!B41</f>
        <v>5.5E-2</v>
      </c>
      <c r="G70" s="2644"/>
      <c r="H70" s="121"/>
      <c r="I70" s="2742"/>
      <c r="J70" s="2736"/>
      <c r="K70" s="2743"/>
      <c r="L70" s="2744"/>
      <c r="M70" s="2744"/>
      <c r="N70" s="2745" t="s">
        <v>826</v>
      </c>
      <c r="O70" s="2744"/>
      <c r="P70" s="2746"/>
      <c r="Q70" s="188"/>
      <c r="R70" s="188"/>
      <c r="S70" s="188"/>
      <c r="T70" s="188"/>
      <c r="U70" s="188"/>
      <c r="V70" s="188"/>
    </row>
    <row r="71" spans="1:22" ht="12" customHeight="1">
      <c r="A71" s="2642" t="s">
        <v>851</v>
      </c>
      <c r="B71" s="3799" t="s">
        <v>852</v>
      </c>
      <c r="C71" s="3800"/>
      <c r="D71" s="2639">
        <f ca="1">ROUND(D63*'数据-取费表'!B41/(1+'数据-取费表'!C42),0)</f>
        <v>7982</v>
      </c>
      <c r="E71" s="130" t="s">
        <v>850</v>
      </c>
      <c r="F71" s="2643">
        <f>'数据-取费表'!B41</f>
        <v>5.5E-2</v>
      </c>
      <c r="G71" s="2644"/>
      <c r="H71" s="121"/>
      <c r="I71" s="2742"/>
      <c r="J71" s="2736"/>
      <c r="K71" s="2747" t="s">
        <v>853</v>
      </c>
      <c r="L71" s="3801" t="s">
        <v>828</v>
      </c>
      <c r="M71" s="3801"/>
      <c r="N71" s="2747" t="s">
        <v>854</v>
      </c>
      <c r="O71" s="2747" t="s">
        <v>855</v>
      </c>
      <c r="P71" s="2747" t="s">
        <v>831</v>
      </c>
      <c r="Q71" s="188"/>
      <c r="R71" s="188"/>
      <c r="S71" s="188"/>
      <c r="T71" s="188"/>
      <c r="U71" s="188"/>
      <c r="V71" s="188"/>
    </row>
    <row r="72" spans="1:22" ht="12" customHeight="1">
      <c r="A72" s="2642" t="s">
        <v>856</v>
      </c>
      <c r="B72" s="3799" t="s">
        <v>857</v>
      </c>
      <c r="C72" s="3800"/>
      <c r="D72" s="2639">
        <f ca="1">C86</f>
        <v>7982</v>
      </c>
      <c r="E72" s="2640" t="s">
        <v>858</v>
      </c>
      <c r="F72" s="2643">
        <f>'数据-取费表'!B41</f>
        <v>5.5E-2</v>
      </c>
      <c r="G72" s="2644"/>
      <c r="H72" s="2645"/>
      <c r="I72" s="2742"/>
      <c r="J72" s="2736"/>
      <c r="K72" s="2737">
        <v>1</v>
      </c>
      <c r="L72" s="3802" t="s">
        <v>859</v>
      </c>
      <c r="M72" s="3802"/>
      <c r="N72" s="2749" t="b">
        <f>D66</f>
        <v>0</v>
      </c>
      <c r="O72" s="2748" t="str">
        <f>E66</f>
        <v>销售额×税（费）率</v>
      </c>
      <c r="P72" s="2750">
        <f>F66</f>
        <v>5.5E-2</v>
      </c>
      <c r="Q72" s="188"/>
      <c r="R72" s="188"/>
      <c r="S72" s="188"/>
      <c r="T72" s="188"/>
      <c r="U72" s="188"/>
      <c r="V72" s="188"/>
    </row>
    <row r="73" spans="1:22" ht="24" customHeight="1">
      <c r="A73" s="3803" t="s">
        <v>860</v>
      </c>
      <c r="B73" s="3792"/>
      <c r="C73" s="3792"/>
      <c r="D73" s="2646">
        <f ca="1">IF(H73="个人住宅",0,ROUND(D63*I73,0))</f>
        <v>76</v>
      </c>
      <c r="E73" s="130" t="s">
        <v>861</v>
      </c>
      <c r="F73" s="2643" t="str">
        <f>IF(H73="正常",I73,"免征")</f>
        <v>免征</v>
      </c>
      <c r="G73" s="2644"/>
      <c r="H73" s="2626"/>
      <c r="I73" s="2643">
        <f>'数据-取费表'!B49</f>
        <v>5.0000000000000001E-4</v>
      </c>
      <c r="J73" s="2736"/>
      <c r="K73" s="2737">
        <v>2</v>
      </c>
      <c r="L73" s="3802" t="s">
        <v>862</v>
      </c>
      <c r="M73" s="3802"/>
      <c r="N73" s="2749">
        <f t="shared" ref="N73:P74" ca="1" si="0">D73</f>
        <v>76</v>
      </c>
      <c r="O73" s="2748" t="str">
        <f t="shared" si="0"/>
        <v>销售额×税（费）率</v>
      </c>
      <c r="P73" s="2750" t="str">
        <f t="shared" si="0"/>
        <v>免征</v>
      </c>
      <c r="Q73" s="188"/>
      <c r="R73" s="188"/>
      <c r="S73" s="188"/>
      <c r="T73" s="188"/>
      <c r="U73" s="188"/>
      <c r="V73" s="188"/>
    </row>
    <row r="74" spans="1:22" ht="24.75">
      <c r="A74" s="3803" t="s">
        <v>863</v>
      </c>
      <c r="B74" s="3792"/>
      <c r="C74" s="3792"/>
      <c r="D74" s="2646">
        <f ca="1">IF(H74="个人住宅",D75,D76)</f>
        <v>86389</v>
      </c>
      <c r="E74" s="130" t="s">
        <v>864</v>
      </c>
      <c r="F74" s="2643" t="str">
        <f>IF(H74="正常",F76,"免征")</f>
        <v>免征</v>
      </c>
      <c r="G74" s="2647" t="s">
        <v>835</v>
      </c>
      <c r="H74" s="2648"/>
      <c r="I74" s="2650"/>
      <c r="J74" s="2736"/>
      <c r="K74" s="2737">
        <v>3</v>
      </c>
      <c r="L74" s="3802" t="s">
        <v>865</v>
      </c>
      <c r="M74" s="3802"/>
      <c r="N74" s="2749">
        <f t="shared" ca="1" si="0"/>
        <v>86389</v>
      </c>
      <c r="O74" s="2748" t="str">
        <f t="shared" si="0"/>
        <v>增值额×税（费）率</v>
      </c>
      <c r="P74" s="2751" t="str">
        <f t="shared" si="0"/>
        <v>免征</v>
      </c>
      <c r="Q74" s="188"/>
      <c r="R74" s="188"/>
      <c r="S74" s="188"/>
      <c r="T74" s="188"/>
      <c r="U74" s="188"/>
      <c r="V74" s="188"/>
    </row>
    <row r="75" spans="1:22" ht="12.75">
      <c r="A75" s="2642" t="s">
        <v>837</v>
      </c>
      <c r="B75" s="3767" t="s">
        <v>866</v>
      </c>
      <c r="C75" s="3769"/>
      <c r="D75" s="2649">
        <v>0</v>
      </c>
      <c r="E75" s="2629" t="s">
        <v>839</v>
      </c>
      <c r="F75" s="84"/>
      <c r="G75" s="2644"/>
      <c r="H75" s="2650"/>
      <c r="I75" s="2650"/>
      <c r="J75" s="2736"/>
      <c r="K75" s="2737">
        <f>IF(H77="非个人房产","",4)</f>
        <v>4</v>
      </c>
      <c r="L75" s="3802" t="str">
        <f>IF(H77="非个人房产","——","个人所得税")</f>
        <v>个人所得税</v>
      </c>
      <c r="M75" s="3802"/>
      <c r="N75" s="2752">
        <f>D77</f>
        <v>0</v>
      </c>
      <c r="O75" s="2753" t="str">
        <f>E77</f>
        <v>差额计税</v>
      </c>
      <c r="P75" s="2754">
        <f>F77</f>
        <v>0.01</v>
      </c>
      <c r="Q75" s="188"/>
      <c r="R75" s="188"/>
      <c r="S75" s="188"/>
      <c r="T75" s="188"/>
      <c r="U75" s="188"/>
      <c r="V75" s="188"/>
    </row>
    <row r="76" spans="1:22" ht="24.75">
      <c r="A76" s="2642" t="s">
        <v>848</v>
      </c>
      <c r="B76" s="3767" t="s">
        <v>867</v>
      </c>
      <c r="C76" s="3768"/>
      <c r="D76" s="2646">
        <f ca="1">IF(H76="转让取得",C99,C115)</f>
        <v>86389</v>
      </c>
      <c r="E76" s="130" t="s">
        <v>864</v>
      </c>
      <c r="F76" s="127" t="s">
        <v>138</v>
      </c>
      <c r="G76" s="2644"/>
      <c r="H76" s="2648"/>
      <c r="I76" s="2650"/>
      <c r="J76" s="2736"/>
      <c r="K76" s="2737" t="str">
        <f>IF(项目基本情况!K6="上海银行",IF(K75="",4,K75+1),"")</f>
        <v/>
      </c>
      <c r="L76" s="3811" t="str">
        <f>IF(项目基本情况!K6="上海银行","其他处置费用","")</f>
        <v/>
      </c>
      <c r="M76" s="3812"/>
      <c r="N76" s="2749" t="str">
        <f>IF(项目基本情况!K6="上海银行",N89,"")</f>
        <v/>
      </c>
      <c r="O76" s="3841" t="str">
        <f>IF(项目基本情况!K6="上海银行","包含处置中涉及的律师、诉讼、拍卖、评估等费用","")</f>
        <v/>
      </c>
      <c r="P76" s="3842"/>
      <c r="Q76" s="188"/>
      <c r="R76" s="188"/>
      <c r="S76" s="188"/>
      <c r="T76" s="188"/>
      <c r="U76" s="188"/>
      <c r="V76" s="188"/>
    </row>
    <row r="77" spans="1:22" ht="24">
      <c r="A77" s="3804" t="s">
        <v>868</v>
      </c>
      <c r="B77" s="3805"/>
      <c r="C77" s="3805"/>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835</v>
      </c>
      <c r="H77" s="2655"/>
      <c r="I77" s="2756" t="s">
        <v>869</v>
      </c>
      <c r="J77" s="2736"/>
      <c r="K77" s="3835">
        <f>IF(AND(K75="",K76=""),4,IF(项目基本情况!K6="上海银行",K76+1,K75+1))</f>
        <v>5</v>
      </c>
      <c r="L77" s="3802" t="s">
        <v>518</v>
      </c>
      <c r="M77" s="2757" t="s">
        <v>870</v>
      </c>
      <c r="N77" s="2758"/>
      <c r="O77" s="2759">
        <f ca="1">SUMIF(N72:N76,"&lt;9e307")</f>
        <v>86465</v>
      </c>
      <c r="P77" s="2760"/>
      <c r="Q77" s="2782">
        <f ca="1">O77/N69</f>
        <v>0.57585747585747582</v>
      </c>
      <c r="R77" s="188"/>
      <c r="S77" s="188"/>
      <c r="T77" s="188"/>
      <c r="U77" s="188"/>
      <c r="V77" s="188"/>
    </row>
    <row r="78" spans="1:22" ht="12" customHeight="1">
      <c r="A78" s="2656"/>
      <c r="B78" s="121"/>
      <c r="C78" s="121"/>
      <c r="D78" s="121"/>
      <c r="E78" s="2650"/>
      <c r="F78" s="2650"/>
      <c r="G78" s="2650"/>
      <c r="H78" s="2657"/>
      <c r="I78" s="121"/>
      <c r="J78" s="2736"/>
      <c r="K78" s="3835"/>
      <c r="L78" s="3802"/>
      <c r="M78" s="2757" t="s">
        <v>871</v>
      </c>
      <c r="N78" s="2758"/>
      <c r="O78" s="2759" t="str">
        <f ca="1">NUMBERSTRING(INT(O77*10000),2)&amp;"元整"</f>
        <v>捌亿陆仟肆佰陆拾伍万元整</v>
      </c>
      <c r="P78" s="2760"/>
      <c r="Q78" s="188"/>
      <c r="R78" s="188"/>
      <c r="S78" s="188"/>
      <c r="T78" s="188"/>
      <c r="U78" s="188"/>
      <c r="V78" s="188"/>
    </row>
    <row r="79" spans="1:22" ht="12.75">
      <c r="A79" s="3806" t="s">
        <v>872</v>
      </c>
      <c r="B79" s="3806"/>
      <c r="C79" s="3806"/>
      <c r="D79" s="3806"/>
      <c r="E79" s="3806"/>
      <c r="F79" s="2650"/>
      <c r="G79" s="2650"/>
      <c r="H79" s="2657"/>
      <c r="I79" s="121"/>
      <c r="J79" s="2736"/>
      <c r="K79" s="3836">
        <f>K77+1</f>
        <v>6</v>
      </c>
      <c r="L79" s="3802" t="s">
        <v>873</v>
      </c>
      <c r="M79" s="2757" t="s">
        <v>870</v>
      </c>
      <c r="N79" s="2758"/>
      <c r="O79" s="2759">
        <f ca="1">N69-O77</f>
        <v>63685</v>
      </c>
      <c r="P79" s="2760"/>
      <c r="Q79" s="188"/>
      <c r="R79" s="188"/>
      <c r="S79" s="188"/>
      <c r="T79" s="188"/>
      <c r="U79" s="188"/>
      <c r="V79" s="188"/>
    </row>
    <row r="80" spans="1:22" ht="25.5">
      <c r="A80" s="3807" t="s">
        <v>874</v>
      </c>
      <c r="B80" s="3808"/>
      <c r="C80" s="2658"/>
      <c r="D80" s="2658" t="s">
        <v>875</v>
      </c>
      <c r="E80" s="2659" t="s">
        <v>832</v>
      </c>
      <c r="F80" s="2650"/>
      <c r="G80" s="2650"/>
      <c r="H80" s="2657"/>
      <c r="I80" s="121"/>
      <c r="J80" s="188"/>
      <c r="K80" s="3837"/>
      <c r="L80" s="3802"/>
      <c r="M80" s="2757" t="s">
        <v>871</v>
      </c>
      <c r="N80" s="2758"/>
      <c r="O80" s="2759" t="str">
        <f ca="1">NUMBERSTRING(INT(O79*10000),2)&amp;"元整"</f>
        <v>陆亿叁仟陆佰捌拾伍万元整</v>
      </c>
      <c r="P80" s="2760"/>
      <c r="Q80" s="188"/>
      <c r="R80" s="188"/>
      <c r="S80" s="188"/>
      <c r="T80" s="188"/>
      <c r="U80" s="188"/>
      <c r="V80" s="188"/>
    </row>
    <row r="81" spans="1:26" ht="12.75">
      <c r="A81" s="2660" t="s">
        <v>876</v>
      </c>
      <c r="B81" s="2661" t="s">
        <v>877</v>
      </c>
      <c r="C81" s="2662">
        <f ca="1">ROUND((C82+C83)/(1+'数据-取费表'!C42),0)</f>
        <v>145131</v>
      </c>
      <c r="D81" s="2663"/>
      <c r="E81" s="2664"/>
      <c r="F81" s="2650"/>
      <c r="G81" s="2650"/>
      <c r="H81" s="2657"/>
      <c r="I81" s="121"/>
      <c r="J81" s="188"/>
      <c r="K81" s="2737">
        <f>K79+1</f>
        <v>7</v>
      </c>
      <c r="L81" s="3809" t="s">
        <v>878</v>
      </c>
      <c r="M81" s="3810"/>
      <c r="N81" s="2761"/>
      <c r="O81" s="2762">
        <f ca="1">ROUND(O79*10000/'数据-汇总表'!E3,0)</f>
        <v>3664</v>
      </c>
      <c r="P81" s="2763"/>
      <c r="Q81" s="188"/>
      <c r="R81" s="188"/>
      <c r="S81" s="188"/>
      <c r="T81" s="188"/>
      <c r="U81" s="188"/>
      <c r="V81" s="188"/>
    </row>
    <row r="82" spans="1:26" ht="12.75">
      <c r="A82" s="1071" t="s">
        <v>879</v>
      </c>
      <c r="B82" s="2665" t="s">
        <v>880</v>
      </c>
      <c r="C82" s="2666">
        <f ca="1">D63</f>
        <v>152388</v>
      </c>
      <c r="D82" s="1999" t="s">
        <v>138</v>
      </c>
      <c r="E82" s="2667"/>
      <c r="F82" s="2650"/>
      <c r="G82" s="2650"/>
      <c r="H82" s="2657"/>
      <c r="I82" s="121"/>
      <c r="J82" s="188"/>
      <c r="K82" s="188"/>
      <c r="L82" s="188"/>
      <c r="M82" s="188"/>
      <c r="N82" s="188"/>
      <c r="O82" s="188"/>
      <c r="P82" s="188"/>
      <c r="Q82" s="188"/>
      <c r="R82" s="188"/>
      <c r="S82" s="188"/>
      <c r="T82" s="188"/>
      <c r="U82" s="188"/>
      <c r="V82" s="188"/>
    </row>
    <row r="83" spans="1:26" ht="12.75">
      <c r="A83" s="1071" t="s">
        <v>881</v>
      </c>
      <c r="B83" s="2665" t="s">
        <v>882</v>
      </c>
      <c r="C83" s="2668"/>
      <c r="D83" s="1999"/>
      <c r="E83" s="2667"/>
      <c r="F83" s="2650"/>
      <c r="G83" s="2650"/>
      <c r="H83" s="2657"/>
      <c r="I83" s="121"/>
      <c r="J83" s="188"/>
      <c r="K83" s="3820" t="s">
        <v>883</v>
      </c>
      <c r="L83" s="2764" t="s">
        <v>884</v>
      </c>
      <c r="M83" s="2765">
        <f ca="1">IF(N69&gt;10000,N69*0.5%,IF(AND(N69&gt;1000,N69&lt;=10000),N69*1%,IF(AND(N69&gt;100,N69&lt;=1000),N69*3%,IF(AND(N69&gt;10,N69&lt;=100),N69*5%,N69*8%))))</f>
        <v>750.75</v>
      </c>
      <c r="N83" s="127">
        <f ca="1">ROUND(M83,1)</f>
        <v>750.8</v>
      </c>
      <c r="O83" s="2766"/>
      <c r="P83" s="188"/>
      <c r="Q83" s="188"/>
      <c r="R83" s="188"/>
      <c r="S83" s="188"/>
      <c r="T83" s="188"/>
      <c r="U83" s="188"/>
      <c r="V83" s="188"/>
    </row>
    <row r="84" spans="1:26" ht="12.75">
      <c r="A84" s="2660" t="s">
        <v>885</v>
      </c>
      <c r="B84" s="2669" t="s">
        <v>886</v>
      </c>
      <c r="C84" s="2670"/>
      <c r="D84" s="2671" t="s">
        <v>138</v>
      </c>
      <c r="E84" s="2672" t="s">
        <v>887</v>
      </c>
      <c r="F84" s="2650"/>
      <c r="G84" s="2650"/>
      <c r="H84" s="2657"/>
      <c r="I84" s="121"/>
      <c r="J84" s="188"/>
      <c r="K84" s="3820"/>
      <c r="L84" s="2764" t="s">
        <v>888</v>
      </c>
      <c r="M84" s="2765">
        <f ca="1">IF(N69&gt;2000,N69*0.5%,IF(AND(N69&gt;1000,N69&lt;=2000),N69*0.6%,IF(AND(N69&gt;500,N69&lt;=1000),N69*0.7%,IF(AND(N69&gt;200,N69&lt;=500),N69*0.8%,IF(AND(N69&gt;100,N69&lt;=200),N69*0.9%,IF(AND(N69&gt;50,N69&lt;=100),N69*1%,IF(AND(N69&gt;20,N69&lt;=50),N69*1.5%,IF(AND(N69&gt;10,N69&lt;=20),N69*2%,IF(AND(N69&gt;1,N69&lt;=10),N69*2.5%)))))))))</f>
        <v>750.75</v>
      </c>
      <c r="N84" s="127">
        <f ca="1">ROUND(M84,1)</f>
        <v>750.8</v>
      </c>
      <c r="O84" s="188" t="s">
        <v>889</v>
      </c>
      <c r="P84" s="188"/>
      <c r="Q84" s="188"/>
      <c r="R84" s="188"/>
      <c r="S84" s="188"/>
      <c r="T84" s="188"/>
      <c r="U84" s="188"/>
      <c r="V84" s="188"/>
    </row>
    <row r="85" spans="1:26" ht="12.75">
      <c r="A85" s="2660" t="s">
        <v>890</v>
      </c>
      <c r="B85" s="2669" t="s">
        <v>891</v>
      </c>
      <c r="C85" s="2673">
        <f ca="1">C81-C84</f>
        <v>145131</v>
      </c>
      <c r="D85" s="1999" t="s">
        <v>138</v>
      </c>
      <c r="E85" s="2667"/>
      <c r="F85" s="2650"/>
      <c r="G85" s="2650"/>
      <c r="H85" s="2657"/>
      <c r="I85" s="121"/>
      <c r="J85" s="188"/>
      <c r="K85" s="3820"/>
      <c r="L85" s="2764" t="s">
        <v>892</v>
      </c>
      <c r="M85" s="2765">
        <f ca="1">IF(N69&gt;1000,N69*0.1%,IF(AND(N69&gt;500,N69&lt;=1000),N69*0.5%,IF(AND(N69&gt;50,N69&lt;=500),N69*1%,IF(AND(N69&gt;1,N69&lt;=50),N69*1.5%))))</f>
        <v>150.15</v>
      </c>
      <c r="N85" s="127">
        <f ca="1">ROUND(M85,1)</f>
        <v>150.19999999999999</v>
      </c>
      <c r="O85" s="188" t="s">
        <v>889</v>
      </c>
      <c r="P85" s="188"/>
      <c r="Q85" s="188"/>
      <c r="R85" s="188"/>
      <c r="S85" s="188"/>
      <c r="T85" s="188"/>
      <c r="U85" s="188"/>
      <c r="V85" s="188"/>
    </row>
    <row r="86" spans="1:26" ht="12.75">
      <c r="A86" s="2674" t="s">
        <v>893</v>
      </c>
      <c r="B86" s="2675" t="s">
        <v>894</v>
      </c>
      <c r="C86" s="2676">
        <f ca="1">IF(C85&lt;=0,0,ROUND(C85*D86,0))</f>
        <v>7982</v>
      </c>
      <c r="D86" s="2677">
        <f>'数据-取费表'!B41</f>
        <v>5.5E-2</v>
      </c>
      <c r="E86" s="2678"/>
      <c r="F86" s="2650"/>
      <c r="G86" s="2650"/>
      <c r="H86" s="2657"/>
      <c r="I86" s="121"/>
      <c r="J86" s="188"/>
      <c r="K86" s="3820"/>
      <c r="L86" s="2764" t="s">
        <v>895</v>
      </c>
      <c r="M86" s="2765">
        <f ca="1">N69*0.5%</f>
        <v>750.75</v>
      </c>
      <c r="N86" s="127">
        <f ca="1">IF(M86&gt;0.5,0.5,ROUND(M86,0))</f>
        <v>0.5</v>
      </c>
      <c r="O86" s="188" t="s">
        <v>896</v>
      </c>
      <c r="P86" s="188"/>
      <c r="Q86" s="188"/>
      <c r="R86" s="188"/>
      <c r="S86" s="188"/>
      <c r="T86" s="188"/>
      <c r="U86" s="188"/>
      <c r="V86" s="188"/>
    </row>
    <row r="87" spans="1:26" s="2448" customFormat="1" ht="14.25" customHeight="1">
      <c r="A87" s="2679"/>
      <c r="B87" s="2680"/>
      <c r="C87" s="2681"/>
      <c r="D87" s="2682"/>
      <c r="E87" s="2683"/>
      <c r="F87" s="2650"/>
      <c r="G87" s="2650"/>
      <c r="H87" s="2657"/>
      <c r="I87" s="121"/>
      <c r="J87" s="188"/>
      <c r="K87" s="3820"/>
      <c r="L87" s="2764" t="s">
        <v>897</v>
      </c>
      <c r="M87" s="2765">
        <f ca="1">IF(N69&gt;=10000,(8.25+(N69-10000)*0.01%),IF(AND(N69&gt;=8000,N69&lt;10000),(7.85+(N69-8000)*0.02%),IF(AND(N69&gt;=5000,N69&lt;8000),(6.65+(N69-5000)*0.04%),IF(AND(N69&gt;=2000,N69&lt;5000),(4.25+(PN69-2000)*0.08%),IF(AND(N69&gt;=1000,N69&lt;2000),(2.75+(N69-1000)*0.15%),IF(AND(N69&gt;=100,N69&lt;1000),(0.5+(N69-100)*0.25%),IF(AND(N69&gt;0,N69&lt;100),N69*0.5%)))))))</f>
        <v>22.265000000000001</v>
      </c>
      <c r="N87" s="127">
        <f ca="1">ROUND(M87*0.9,1)</f>
        <v>20</v>
      </c>
      <c r="O87" s="2766"/>
      <c r="P87" s="188"/>
      <c r="Q87" s="188"/>
      <c r="R87" s="188"/>
      <c r="S87" s="188"/>
      <c r="T87" s="188"/>
      <c r="U87" s="188"/>
      <c r="V87" s="188"/>
      <c r="W87" s="1087"/>
      <c r="X87" s="1087"/>
      <c r="Y87" s="1087"/>
      <c r="Z87" s="1087"/>
    </row>
    <row r="88" spans="1:26" s="2449" customFormat="1" ht="14.25">
      <c r="A88" s="3818" t="s">
        <v>898</v>
      </c>
      <c r="B88" s="3819"/>
      <c r="C88" s="3819"/>
      <c r="D88" s="3819"/>
      <c r="E88" s="3819"/>
      <c r="F88" s="3819"/>
      <c r="G88" s="3819"/>
      <c r="H88" s="3819"/>
      <c r="I88" s="2767"/>
      <c r="J88" s="2768"/>
      <c r="K88" s="3820"/>
      <c r="L88" s="2764" t="s">
        <v>899</v>
      </c>
      <c r="M88" s="2765">
        <f ca="1">IF(N69&gt;10000,N69*0.5%,IF(AND(N69&gt;5000,N69&lt;=10000),N69*1%,IF(AND(N69&gt;1000,N69&lt;=5000),N69*2%,IF(AND(N69&gt;200,N69&lt;=1000),N69*3%,N69*5%))))</f>
        <v>750.75</v>
      </c>
      <c r="N88" s="127">
        <f ca="1">ROUND(M88,1)</f>
        <v>750.8</v>
      </c>
      <c r="O88" s="2766"/>
      <c r="P88" s="2769"/>
      <c r="Q88" s="2769"/>
      <c r="R88" s="2769"/>
      <c r="S88" s="2769"/>
      <c r="T88" s="2769"/>
      <c r="U88" s="2769"/>
      <c r="V88" s="2769"/>
      <c r="W88" s="2783"/>
      <c r="X88" s="2783"/>
      <c r="Y88" s="2783"/>
      <c r="Z88" s="2783"/>
    </row>
    <row r="89" spans="1:26" s="2449" customFormat="1" ht="14.25">
      <c r="A89" s="3807" t="s">
        <v>874</v>
      </c>
      <c r="B89" s="3808"/>
      <c r="C89" s="2658"/>
      <c r="D89" s="2658" t="s">
        <v>875</v>
      </c>
      <c r="E89" s="2684" t="s">
        <v>832</v>
      </c>
      <c r="F89" s="2685"/>
      <c r="G89" s="2685"/>
      <c r="H89" s="2686"/>
      <c r="I89" s="2770"/>
      <c r="J89" s="2771"/>
      <c r="K89" s="3820"/>
      <c r="L89" s="2764" t="s">
        <v>900</v>
      </c>
      <c r="M89" s="2772"/>
      <c r="N89" s="127">
        <f ca="1">ROUND(SUM(N83:N88),0)</f>
        <v>2423</v>
      </c>
      <c r="O89" s="2773">
        <f ca="1">N89/N69</f>
        <v>1.6137196137196136E-2</v>
      </c>
      <c r="P89" s="2769"/>
      <c r="Q89" s="2769"/>
      <c r="R89" s="2769"/>
      <c r="S89" s="2769"/>
      <c r="T89" s="2769"/>
      <c r="U89" s="2769"/>
      <c r="V89" s="2769"/>
      <c r="W89" s="2783"/>
      <c r="X89" s="2783"/>
      <c r="Y89" s="2783"/>
      <c r="Z89" s="2783"/>
    </row>
    <row r="90" spans="1:26" s="2449" customFormat="1" ht="14.25">
      <c r="A90" s="2660" t="s">
        <v>876</v>
      </c>
      <c r="B90" s="2669" t="s">
        <v>901</v>
      </c>
      <c r="C90" s="2673">
        <f ca="1">ROUND(D63/(1+'数据-取费表'!C42),0)</f>
        <v>145131</v>
      </c>
      <c r="D90" s="1999" t="s">
        <v>138</v>
      </c>
      <c r="E90" s="693"/>
      <c r="F90" s="694"/>
      <c r="G90" s="694"/>
      <c r="H90" s="2687"/>
      <c r="I90" s="2770"/>
      <c r="J90" s="2771"/>
      <c r="K90" s="2769"/>
      <c r="L90" s="2769"/>
      <c r="M90" s="2769"/>
      <c r="N90" s="2769"/>
      <c r="O90" s="2769"/>
      <c r="P90" s="2769"/>
      <c r="Q90" s="2769"/>
      <c r="R90" s="2769"/>
      <c r="S90" s="2769"/>
      <c r="T90" s="2769"/>
      <c r="U90" s="2769"/>
      <c r="V90" s="2769"/>
      <c r="W90" s="2783"/>
      <c r="X90" s="2783"/>
      <c r="Y90" s="2783"/>
      <c r="Z90" s="2783"/>
    </row>
    <row r="91" spans="1:26" s="2449" customFormat="1" ht="14.25">
      <c r="A91" s="2660" t="s">
        <v>885</v>
      </c>
      <c r="B91" s="2622" t="s">
        <v>902</v>
      </c>
      <c r="C91" s="2673">
        <f ca="1">C92+C96</f>
        <v>726</v>
      </c>
      <c r="D91" s="1999" t="s">
        <v>138</v>
      </c>
      <c r="E91" s="693"/>
      <c r="F91" s="694"/>
      <c r="G91" s="694"/>
      <c r="H91" s="2687"/>
      <c r="I91" s="2770"/>
      <c r="J91" s="2771"/>
      <c r="K91" s="2769"/>
      <c r="L91" s="2769"/>
      <c r="M91" s="2769"/>
      <c r="N91" s="2769"/>
      <c r="O91" s="2769"/>
      <c r="P91" s="2769"/>
      <c r="Q91" s="2769"/>
      <c r="R91" s="2769"/>
      <c r="S91" s="2769"/>
      <c r="T91" s="2769"/>
      <c r="U91" s="2769"/>
      <c r="V91" s="2769"/>
      <c r="W91" s="2783"/>
      <c r="X91" s="2783"/>
      <c r="Y91" s="2783"/>
      <c r="Z91" s="2783"/>
    </row>
    <row r="92" spans="1:26" s="2449" customFormat="1" ht="24">
      <c r="A92" s="2688" t="s">
        <v>879</v>
      </c>
      <c r="B92" s="2665" t="s">
        <v>903</v>
      </c>
      <c r="C92" s="1999">
        <f>ROUND(IF(G95="2016年5月1日后购买",C93/(1+'数据-取费表'!C30)+C94+C95,C93+C94+C95),0)</f>
        <v>0</v>
      </c>
      <c r="D92" s="1999" t="s">
        <v>138</v>
      </c>
      <c r="E92" s="693"/>
      <c r="F92" s="694"/>
      <c r="G92" s="694"/>
      <c r="H92" s="2687"/>
      <c r="I92" s="2770"/>
      <c r="J92" s="2771"/>
      <c r="K92" s="2769"/>
      <c r="L92" s="2769"/>
      <c r="M92" s="2769"/>
      <c r="N92" s="2769"/>
      <c r="O92" s="2769"/>
      <c r="P92" s="2769"/>
      <c r="Q92" s="2769"/>
      <c r="R92" s="2769"/>
      <c r="S92" s="2769"/>
      <c r="T92" s="2769"/>
      <c r="U92" s="2769"/>
      <c r="V92" s="2769"/>
      <c r="W92" s="2783"/>
      <c r="X92" s="2783"/>
      <c r="Y92" s="2783"/>
      <c r="Z92" s="2783"/>
    </row>
    <row r="93" spans="1:26" s="2449" customFormat="1" ht="14.25">
      <c r="A93" s="2688" t="s">
        <v>904</v>
      </c>
      <c r="B93" s="2665" t="s">
        <v>905</v>
      </c>
      <c r="C93" s="2001"/>
      <c r="D93" s="1999" t="s">
        <v>138</v>
      </c>
      <c r="E93" s="2689" t="s">
        <v>906</v>
      </c>
      <c r="F93" s="2690"/>
      <c r="G93" s="2689" t="s">
        <v>907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49" customFormat="1" ht="24.75" customHeight="1">
      <c r="A94" s="2688" t="s">
        <v>908</v>
      </c>
      <c r="B94" s="2692" t="s">
        <v>909</v>
      </c>
      <c r="C94" s="1999">
        <f>IF(F93="购房发票",ROUND(C93*H93*5%,0),0)</f>
        <v>0</v>
      </c>
      <c r="D94" s="2693">
        <v>0.05</v>
      </c>
      <c r="E94" s="3799" t="s">
        <v>910</v>
      </c>
      <c r="F94" s="3795"/>
      <c r="G94" s="3795"/>
      <c r="H94" s="3821"/>
      <c r="I94" s="2770"/>
      <c r="J94" s="2771"/>
      <c r="K94" s="2769"/>
      <c r="L94" s="2769"/>
      <c r="M94" s="2769"/>
      <c r="N94" s="2769"/>
      <c r="O94" s="2769"/>
      <c r="P94" s="2769"/>
      <c r="Q94" s="2769"/>
      <c r="R94" s="2769"/>
      <c r="S94" s="2769"/>
      <c r="T94" s="2769"/>
      <c r="U94" s="2769"/>
      <c r="V94" s="2769"/>
      <c r="W94" s="2783"/>
      <c r="X94" s="2783"/>
      <c r="Y94" s="2783"/>
      <c r="Z94" s="2783"/>
    </row>
    <row r="95" spans="1:26" s="2449" customFormat="1" ht="24.75" customHeight="1">
      <c r="A95" s="2688" t="s">
        <v>911</v>
      </c>
      <c r="B95" s="2665" t="s">
        <v>912</v>
      </c>
      <c r="C95" s="1999">
        <f>ROUND(IF(G95="个人买卖住房",0,IF(G95="2016年5月1日前购买",C93*D95,C93*D95/(1+'数据-取费表'!C42))),0)</f>
        <v>0</v>
      </c>
      <c r="D95" s="2695">
        <f>'数据-取费表'!B48+'数据-取费表'!B49</f>
        <v>3.0499999999999999E-2</v>
      </c>
      <c r="E95" s="778" t="s">
        <v>913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49" customFormat="1" ht="24.75" customHeight="1">
      <c r="A96" s="2688" t="s">
        <v>881</v>
      </c>
      <c r="B96" s="2665" t="s">
        <v>914</v>
      </c>
      <c r="C96" s="2698">
        <f ca="1">ROUND(D63*D96/(1+'数据-取费表'!C42),0)</f>
        <v>726</v>
      </c>
      <c r="D96" s="2699">
        <f>'数据-取费表'!B43</f>
        <v>5.0000000000000001E-3</v>
      </c>
      <c r="E96" s="3822" t="s">
        <v>915</v>
      </c>
      <c r="F96" s="3816"/>
      <c r="G96" s="3816"/>
      <c r="H96" s="3817"/>
      <c r="I96" s="2774"/>
      <c r="J96" s="2775"/>
      <c r="K96" s="2769"/>
      <c r="L96" s="2769"/>
      <c r="M96" s="2769"/>
      <c r="N96" s="2769"/>
      <c r="O96" s="2769"/>
      <c r="P96" s="2769"/>
      <c r="Q96" s="2769"/>
      <c r="R96" s="2769"/>
      <c r="S96" s="2769"/>
      <c r="T96" s="2769"/>
      <c r="U96" s="2769"/>
      <c r="V96" s="2769"/>
      <c r="W96" s="2783"/>
      <c r="X96" s="2783"/>
      <c r="Y96" s="2783"/>
      <c r="Z96" s="2783"/>
    </row>
    <row r="97" spans="1:26" s="2449" customFormat="1" ht="14.25">
      <c r="A97" s="2702" t="s">
        <v>890</v>
      </c>
      <c r="B97" s="2669" t="s">
        <v>916</v>
      </c>
      <c r="C97" s="2673">
        <f ca="1">C90-C91</f>
        <v>144405</v>
      </c>
      <c r="D97" s="1999" t="s">
        <v>138</v>
      </c>
      <c r="E97" s="693"/>
      <c r="F97" s="694"/>
      <c r="G97" s="694"/>
      <c r="H97" s="2687"/>
      <c r="I97" s="2770"/>
      <c r="J97" s="2771"/>
      <c r="K97" s="2769"/>
      <c r="L97" s="2769"/>
      <c r="M97" s="2769"/>
      <c r="N97" s="2769"/>
      <c r="O97" s="2769"/>
      <c r="P97" s="2769"/>
      <c r="Q97" s="2769"/>
      <c r="R97" s="2769"/>
      <c r="S97" s="2769"/>
      <c r="T97" s="2769"/>
      <c r="U97" s="2769"/>
      <c r="V97" s="2769"/>
      <c r="W97" s="2783"/>
      <c r="X97" s="2783"/>
      <c r="Y97" s="2783"/>
      <c r="Z97" s="2783"/>
    </row>
    <row r="98" spans="1:26" s="2449" customFormat="1" ht="24">
      <c r="A98" s="2702" t="s">
        <v>893</v>
      </c>
      <c r="B98" s="2669" t="s">
        <v>917</v>
      </c>
      <c r="C98" s="2703">
        <f ca="1">IF(C97&lt;=0,0,C97/C91)</f>
        <v>198.90495867768595</v>
      </c>
      <c r="D98" s="1999" t="s">
        <v>138</v>
      </c>
      <c r="E98" s="778"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687"/>
      <c r="I98" s="2770"/>
      <c r="J98" s="2771"/>
      <c r="K98" s="2769"/>
      <c r="L98" s="2769"/>
      <c r="M98" s="2769"/>
      <c r="N98" s="2769"/>
      <c r="O98" s="2769"/>
      <c r="P98" s="2769"/>
      <c r="Q98" s="2769"/>
      <c r="R98" s="2769"/>
      <c r="S98" s="2769"/>
      <c r="T98" s="2769"/>
      <c r="U98" s="2769"/>
      <c r="V98" s="2769"/>
      <c r="W98" s="2783"/>
      <c r="X98" s="2783"/>
      <c r="Y98" s="2783"/>
      <c r="Z98" s="2783"/>
    </row>
    <row r="99" spans="1:26" s="2449" customFormat="1" ht="24">
      <c r="A99" s="2704" t="s">
        <v>918</v>
      </c>
      <c r="B99" s="2675" t="s">
        <v>919</v>
      </c>
      <c r="C99" s="2705">
        <f ca="1">ROUND(IF(C97&lt;=0,0,IF(C98&gt;=200%,C97*60%-C91*35%,IF(C98&gt;=100%,C97*50%-C91*15%,IF(C98&gt;=50%,C97*40%-C91*5%,IF(C98&lt;50%,C97*30%,0))))),0)</f>
        <v>86389</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49"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49" customFormat="1" ht="14.25">
      <c r="A101" s="3818" t="s">
        <v>920</v>
      </c>
      <c r="B101" s="3819"/>
      <c r="C101" s="3819"/>
      <c r="D101" s="3819"/>
      <c r="E101" s="3819"/>
      <c r="F101" s="3819"/>
      <c r="G101" s="3819"/>
      <c r="H101" s="3819"/>
      <c r="I101" s="2617"/>
      <c r="J101" s="2769"/>
      <c r="K101" s="2769"/>
      <c r="L101" s="2769"/>
      <c r="M101" s="2769"/>
      <c r="N101" s="2769"/>
      <c r="O101" s="2769"/>
      <c r="P101" s="2769"/>
      <c r="Q101" s="2769"/>
      <c r="R101" s="2769"/>
      <c r="S101" s="2769"/>
      <c r="T101" s="2769"/>
      <c r="U101" s="2769"/>
      <c r="V101" s="2769"/>
      <c r="W101" s="2783"/>
      <c r="X101" s="2783"/>
      <c r="Y101" s="2783"/>
      <c r="Z101" s="2783"/>
    </row>
    <row r="102" spans="1:26" s="2449" customFormat="1" ht="14.25">
      <c r="A102" s="3807" t="s">
        <v>874</v>
      </c>
      <c r="B102" s="3808"/>
      <c r="C102" s="2658"/>
      <c r="D102" s="2658" t="s">
        <v>875</v>
      </c>
      <c r="E102" s="2684" t="s">
        <v>832</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49" customFormat="1" ht="14.25">
      <c r="A103" s="2660" t="s">
        <v>876</v>
      </c>
      <c r="B103" s="2669" t="s">
        <v>901</v>
      </c>
      <c r="C103" s="2673">
        <f ca="1">ROUND(D63/(1+'数据-取费表'!C42),0)</f>
        <v>145131</v>
      </c>
      <c r="D103" s="1999" t="s">
        <v>138</v>
      </c>
      <c r="E103" s="693"/>
      <c r="F103" s="694"/>
      <c r="G103" s="694"/>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49" customFormat="1" ht="14.25">
      <c r="A104" s="2660" t="s">
        <v>885</v>
      </c>
      <c r="B104" s="2622" t="s">
        <v>902</v>
      </c>
      <c r="C104" s="2673">
        <f ca="1">IF(H106="仅含出让金",C105+C108+C109+C110+C111+C112,C105+C109+C110+C111+C112)</f>
        <v>726</v>
      </c>
      <c r="D104" s="2715"/>
      <c r="E104" s="693"/>
      <c r="F104" s="694"/>
      <c r="G104" s="694"/>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49" customFormat="1" ht="14.25">
      <c r="A105" s="2688" t="s">
        <v>879</v>
      </c>
      <c r="B105" s="2665" t="s">
        <v>921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49" customFormat="1" ht="14.25">
      <c r="A106" s="2688" t="s">
        <v>904</v>
      </c>
      <c r="B106" s="2665" t="s">
        <v>922</v>
      </c>
      <c r="C106" s="2717"/>
      <c r="D106" s="2699"/>
      <c r="E106" s="2718" t="s">
        <v>923</v>
      </c>
      <c r="F106" s="2700"/>
      <c r="G106" s="2719" t="s">
        <v>924</v>
      </c>
      <c r="H106" s="2720"/>
      <c r="I106" s="2617"/>
      <c r="J106" s="2769"/>
      <c r="K106" s="2776" t="s">
        <v>925</v>
      </c>
      <c r="L106" s="2769"/>
      <c r="M106" s="2769"/>
      <c r="N106" s="2769"/>
      <c r="O106" s="2769"/>
      <c r="P106" s="2769"/>
      <c r="Q106" s="2769"/>
      <c r="R106" s="2769"/>
      <c r="S106" s="2769"/>
      <c r="T106" s="2769"/>
      <c r="U106" s="2769"/>
      <c r="V106" s="2769"/>
      <c r="W106" s="2783"/>
      <c r="X106" s="2783"/>
      <c r="Y106" s="2783"/>
      <c r="Z106" s="2783"/>
    </row>
    <row r="107" spans="1:26" s="2449" customFormat="1" ht="14.25">
      <c r="A107" s="2688" t="s">
        <v>908</v>
      </c>
      <c r="B107" s="2665" t="s">
        <v>912</v>
      </c>
      <c r="C107" s="2698">
        <f>ROUND(C106*D107,0)</f>
        <v>0</v>
      </c>
      <c r="D107" s="2699">
        <f>'数据-取费表'!B48+'数据-取费表'!B49</f>
        <v>3.0499999999999999E-2</v>
      </c>
      <c r="E107" s="2718" t="s">
        <v>926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49" customFormat="1" ht="14.25">
      <c r="A108" s="2688" t="s">
        <v>881</v>
      </c>
      <c r="B108" s="2665" t="s">
        <v>927</v>
      </c>
      <c r="C108" s="2717"/>
      <c r="D108" s="2699"/>
      <c r="E108" s="2718" t="str">
        <f>IF(H106="-","土地取得成本中已包含该笔费用"," ")</f>
        <v/>
      </c>
      <c r="F108" s="2700"/>
      <c r="G108" s="3813" t="s">
        <v>928</v>
      </c>
      <c r="H108" s="3814"/>
      <c r="I108" s="2777"/>
      <c r="J108" s="2769"/>
      <c r="K108" s="2776" t="s">
        <v>929</v>
      </c>
      <c r="L108" s="2769"/>
      <c r="M108" s="2769"/>
      <c r="N108" s="2769"/>
      <c r="O108" s="2769"/>
      <c r="P108" s="2769"/>
      <c r="Q108" s="2769"/>
      <c r="R108" s="2769"/>
      <c r="S108" s="2769"/>
      <c r="T108" s="2769"/>
      <c r="U108" s="2769"/>
      <c r="V108" s="2769"/>
      <c r="W108" s="2783"/>
      <c r="X108" s="2783"/>
      <c r="Y108" s="2783"/>
      <c r="Z108" s="2783"/>
    </row>
    <row r="109" spans="1:26" s="2449" customFormat="1" ht="24" customHeight="1">
      <c r="A109" s="2721" t="s">
        <v>930</v>
      </c>
      <c r="B109" s="2665" t="s">
        <v>931</v>
      </c>
      <c r="C109" s="2698">
        <f>IF(H109="——",IF(F1="现房",'剩余法-现房'!C18,0),I109)</f>
        <v>0</v>
      </c>
      <c r="D109" s="2699"/>
      <c r="E109" s="3815" t="s">
        <v>932</v>
      </c>
      <c r="F109" s="3816"/>
      <c r="G109" s="3816"/>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49" customFormat="1" ht="25.5" customHeight="1">
      <c r="A110" s="2721" t="s">
        <v>933</v>
      </c>
      <c r="B110" s="2665" t="s">
        <v>934</v>
      </c>
      <c r="C110" s="2698">
        <f>ROUND((C105+C108+C109)*D110,0)</f>
        <v>0</v>
      </c>
      <c r="D110" s="2723">
        <v>0</v>
      </c>
      <c r="E110" s="3815" t="s">
        <v>935</v>
      </c>
      <c r="F110" s="3816"/>
      <c r="G110" s="3816"/>
      <c r="H110" s="3817"/>
      <c r="I110" s="2617"/>
      <c r="J110" s="2769"/>
      <c r="K110" s="2779" t="s">
        <v>936</v>
      </c>
      <c r="L110" s="2769"/>
      <c r="M110" s="2769"/>
      <c r="N110" s="2769"/>
      <c r="O110" s="2769"/>
      <c r="P110" s="2769"/>
      <c r="Q110" s="2769"/>
      <c r="R110" s="2769"/>
      <c r="S110" s="2769"/>
      <c r="T110" s="2769"/>
      <c r="U110" s="2769"/>
      <c r="V110" s="2769"/>
      <c r="W110" s="2783"/>
      <c r="X110" s="2783"/>
      <c r="Y110" s="2783"/>
      <c r="Z110" s="2783"/>
    </row>
    <row r="111" spans="1:26" s="2449" customFormat="1" ht="25.5" customHeight="1">
      <c r="A111" s="2721" t="s">
        <v>937</v>
      </c>
      <c r="B111" s="2665" t="s">
        <v>914</v>
      </c>
      <c r="C111" s="2698">
        <f ca="1">ROUND(D63*D111/(1+'数据-取费表'!C42),0)</f>
        <v>726</v>
      </c>
      <c r="D111" s="2699">
        <f>'数据-取费表'!B43</f>
        <v>5.0000000000000001E-3</v>
      </c>
      <c r="E111" s="3822" t="s">
        <v>915</v>
      </c>
      <c r="F111" s="3816"/>
      <c r="G111" s="3816"/>
      <c r="H111" s="3817"/>
      <c r="I111" s="2617"/>
      <c r="J111" s="2769"/>
      <c r="K111" s="2769"/>
      <c r="L111" s="2769"/>
      <c r="M111" s="2769"/>
      <c r="N111" s="2769"/>
      <c r="O111" s="2769"/>
      <c r="P111" s="2769"/>
      <c r="Q111" s="2769"/>
      <c r="R111" s="2769"/>
      <c r="S111" s="2769"/>
      <c r="T111" s="2769"/>
      <c r="U111" s="2769"/>
      <c r="V111" s="2769"/>
      <c r="W111" s="2783"/>
      <c r="X111" s="2783"/>
      <c r="Y111" s="2783"/>
      <c r="Z111" s="2783"/>
    </row>
    <row r="112" spans="1:26" s="2449" customFormat="1" ht="25.5" customHeight="1">
      <c r="A112" s="2721" t="s">
        <v>938</v>
      </c>
      <c r="B112" s="2665" t="s">
        <v>939</v>
      </c>
      <c r="C112" s="2698">
        <f>ROUND(C108*D112,0)</f>
        <v>0</v>
      </c>
      <c r="D112" s="2699">
        <v>0.2</v>
      </c>
      <c r="E112" s="3815" t="s">
        <v>940</v>
      </c>
      <c r="F112" s="3816"/>
      <c r="G112" s="3816"/>
      <c r="H112" s="3817"/>
      <c r="I112" s="2617"/>
      <c r="J112" s="2769"/>
      <c r="K112" s="2769"/>
      <c r="L112" s="2769"/>
      <c r="M112" s="2769"/>
      <c r="N112" s="2769"/>
      <c r="O112" s="2769"/>
      <c r="P112" s="2769"/>
      <c r="Q112" s="2769"/>
      <c r="R112" s="2769"/>
      <c r="S112" s="2769"/>
      <c r="T112" s="2769"/>
      <c r="U112" s="2769"/>
      <c r="V112" s="2769"/>
      <c r="W112" s="2783"/>
      <c r="X112" s="2783"/>
      <c r="Y112" s="2783"/>
      <c r="Z112" s="2783"/>
    </row>
    <row r="113" spans="1:26" s="2449" customFormat="1" ht="14.25">
      <c r="A113" s="2702" t="s">
        <v>890</v>
      </c>
      <c r="B113" s="2669" t="s">
        <v>916</v>
      </c>
      <c r="C113" s="2673">
        <f ca="1">ROUND(C103-C104,0)</f>
        <v>144405</v>
      </c>
      <c r="D113" s="1999" t="s">
        <v>138</v>
      </c>
      <c r="E113" s="693"/>
      <c r="F113" s="694"/>
      <c r="G113" s="694"/>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49" customFormat="1" ht="24">
      <c r="A114" s="2702" t="s">
        <v>893</v>
      </c>
      <c r="B114" s="2669" t="s">
        <v>917</v>
      </c>
      <c r="C114" s="2703">
        <f ca="1">IF(C113&lt;=0,0,C113/C104)</f>
        <v>198.90495867768595</v>
      </c>
      <c r="D114" s="1999" t="s">
        <v>138</v>
      </c>
      <c r="E114" s="778" t="str">
        <f ca="1">IF(C114&gt;=200%,"增值额超过扣除项目金额200%",IF(C114&gt;=100%,"增值额超过扣除项目金额100%，未超过200%",IF(C114&gt;=50%,"增值额超过扣除项目金额50%，未超过100%",IF(C114&lt;50%,"增值额未超过扣除项目金额50%"))))</f>
        <v>增值额超过扣除项目金额200%</v>
      </c>
      <c r="F114" s="694"/>
      <c r="G114" s="694"/>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49" customFormat="1" ht="24">
      <c r="A115" s="2704" t="s">
        <v>918</v>
      </c>
      <c r="B115" s="2675" t="s">
        <v>919</v>
      </c>
      <c r="C115" s="2705">
        <f ca="1">ROUND(IF(C113&lt;=0,0,IF(C114&gt;=200%,C113*60%-C104*35%,IF(C114&gt;=100%,C113*50%-C104*15%,IF(C114&gt;=50%,C113*40%-C104*5%,IF(C114&lt;50%,C113*30%,0))))),0)</f>
        <v>86389</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987" customWidth="1"/>
    <col min="2" max="2" width="25.75" style="988" customWidth="1"/>
    <col min="3" max="3" width="11.5" style="989" customWidth="1"/>
    <col min="4" max="4" width="12" style="988" customWidth="1"/>
    <col min="5" max="5" width="9.5" style="987" customWidth="1"/>
    <col min="6" max="6" width="10.125" style="988" customWidth="1"/>
    <col min="7" max="7" width="9.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41" s="161" customFormat="1" ht="20.25">
      <c r="A1" s="1124"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41" s="161" customFormat="1" ht="18" customHeight="1">
      <c r="A2" s="214" t="s">
        <v>942</v>
      </c>
      <c r="B2" s="2371">
        <f ca="1">C27</f>
        <v>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41" s="161" customFormat="1" ht="18" customHeight="1">
      <c r="A3" s="1130" t="s">
        <v>943</v>
      </c>
      <c r="B3" s="1128">
        <f ca="1">ROUND(B2*10000/IF(B1="",'数据-汇总表'!E3,INDIRECT("'数据-取费表'!K"&amp;$K$1)),0)</f>
        <v>0</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41" s="161" customFormat="1" ht="18" customHeight="1">
      <c r="A4" s="997" t="s">
        <v>944</v>
      </c>
      <c r="B4" s="998">
        <f ca="1">ROUND(B2*10000/IF(B1="",'数据-汇总表'!D3,INDIRECT("'数据-取费表'!R"&amp;$K$1)),0)</f>
        <v>0</v>
      </c>
      <c r="C4" s="479"/>
      <c r="D4" s="992"/>
      <c r="E4" s="992"/>
      <c r="F4" s="992"/>
      <c r="G4" s="992"/>
      <c r="H4" s="992"/>
      <c r="I4" s="992"/>
      <c r="J4" s="992"/>
      <c r="K4" s="992"/>
      <c r="L4" s="1087"/>
      <c r="M4" s="1087"/>
      <c r="N4" s="1087"/>
      <c r="O4" s="1087"/>
      <c r="P4" s="1087"/>
      <c r="Q4" s="1087"/>
      <c r="R4" s="1087"/>
      <c r="S4" s="1087"/>
      <c r="T4" s="1087"/>
      <c r="U4" s="1087"/>
      <c r="V4" s="1087"/>
      <c r="W4" s="1087"/>
      <c r="X4" s="1087"/>
      <c r="Y4" s="1087"/>
      <c r="Z4" s="1087"/>
    </row>
    <row r="5" spans="1:41" s="161" customFormat="1" ht="18" customHeight="1">
      <c r="A5" s="1001"/>
      <c r="B5" s="1002">
        <f ca="1">ROUND(B2/(IF(B1="",'数据-汇总表'!D3,INDIRECT("'数据-取费表'!R"&amp;$K$1))/666.67),0)</f>
        <v>0</v>
      </c>
      <c r="C5" s="1003" t="s">
        <v>945</v>
      </c>
      <c r="D5" s="992"/>
      <c r="E5" s="992"/>
      <c r="F5" s="992"/>
      <c r="G5" s="992"/>
      <c r="H5" s="992"/>
      <c r="I5" s="992"/>
      <c r="J5" s="992"/>
      <c r="K5" s="992"/>
      <c r="L5" s="1087"/>
      <c r="M5" s="1087"/>
      <c r="N5" s="1087"/>
      <c r="O5" s="1087"/>
      <c r="P5" s="1087"/>
      <c r="Q5" s="1087"/>
      <c r="R5" s="1087"/>
      <c r="S5" s="1087"/>
      <c r="T5" s="1087"/>
      <c r="U5" s="1087"/>
      <c r="V5" s="1087"/>
      <c r="W5" s="1087"/>
      <c r="X5" s="1087"/>
      <c r="Y5" s="1087"/>
      <c r="Z5" s="1087"/>
    </row>
    <row r="6" spans="1:41" s="976" customFormat="1" ht="16.5" customHeight="1">
      <c r="A6" s="2372" t="s">
        <v>946</v>
      </c>
      <c r="B6" s="2373"/>
      <c r="C6" s="2374">
        <f>SUM(C10:K10)</f>
        <v>0</v>
      </c>
      <c r="D6" s="2375"/>
      <c r="E6" s="2375"/>
      <c r="F6" s="2375"/>
      <c r="G6" s="2375"/>
      <c r="H6" s="2375"/>
      <c r="I6" s="2375"/>
      <c r="J6" s="2375"/>
      <c r="K6" s="2434"/>
      <c r="L6" s="1089"/>
      <c r="M6" s="1089"/>
      <c r="N6" s="1089"/>
      <c r="O6" s="1089"/>
      <c r="P6" s="1089"/>
      <c r="Q6" s="1089"/>
      <c r="R6" s="1089"/>
      <c r="S6" s="1089"/>
      <c r="T6" s="1089"/>
      <c r="U6" s="1089"/>
      <c r="V6" s="1089"/>
      <c r="W6" s="1089"/>
      <c r="X6" s="1089"/>
      <c r="Y6" s="1089"/>
      <c r="Z6" s="1089"/>
    </row>
    <row r="7" spans="1:41" s="977" customFormat="1" ht="15">
      <c r="A7" s="2376" t="s">
        <v>947</v>
      </c>
      <c r="B7" s="2377" t="s">
        <v>948</v>
      </c>
      <c r="C7" s="2378"/>
      <c r="D7" s="1009"/>
      <c r="E7" s="1009"/>
      <c r="F7" s="1009"/>
      <c r="G7" s="1009"/>
      <c r="H7" s="1009"/>
      <c r="I7" s="1009"/>
      <c r="J7" s="1009"/>
      <c r="K7" s="1090"/>
      <c r="AA7" s="1108"/>
      <c r="AB7" s="1108"/>
      <c r="AC7" s="1108"/>
      <c r="AD7" s="1108"/>
      <c r="AE7" s="1108"/>
      <c r="AF7" s="1108"/>
      <c r="AG7" s="1108"/>
      <c r="AH7" s="1108"/>
      <c r="AI7" s="1108"/>
      <c r="AJ7" s="1108"/>
      <c r="AK7" s="1108"/>
      <c r="AL7" s="1108"/>
      <c r="AM7" s="1108"/>
      <c r="AN7" s="1108"/>
      <c r="AO7" s="1108"/>
    </row>
    <row r="8" spans="1:41" s="978" customFormat="1" ht="13.5" customHeight="1">
      <c r="A8" s="2379" t="s">
        <v>879</v>
      </c>
      <c r="B8" s="2380" t="s">
        <v>949</v>
      </c>
      <c r="C8" s="2381"/>
      <c r="D8" s="2381"/>
      <c r="E8" s="2381"/>
      <c r="F8" s="2381"/>
      <c r="G8" s="2381"/>
      <c r="H8" s="2381"/>
      <c r="I8" s="2381"/>
      <c r="J8" s="2381"/>
      <c r="K8" s="2435"/>
      <c r="AA8" s="988"/>
      <c r="AB8" s="988"/>
      <c r="AC8" s="988"/>
      <c r="AD8" s="988"/>
      <c r="AE8" s="988"/>
      <c r="AF8" s="988"/>
      <c r="AG8" s="988"/>
      <c r="AH8" s="988"/>
      <c r="AI8" s="988"/>
      <c r="AJ8" s="988"/>
      <c r="AK8" s="988"/>
      <c r="AL8" s="988"/>
      <c r="AM8" s="988"/>
      <c r="AN8" s="988"/>
      <c r="AO8" s="988"/>
    </row>
    <row r="9" spans="1:41" s="978" customFormat="1" ht="13.5" customHeight="1">
      <c r="A9" s="2379" t="s">
        <v>881</v>
      </c>
      <c r="B9" s="2380" t="s">
        <v>503</v>
      </c>
      <c r="C9" s="1012">
        <f>SUMIF('数据-汇总表'!$C19:$C33,'剩余法-现房'!C7,'数据-汇总表'!$E19:$E33)</f>
        <v>0</v>
      </c>
      <c r="D9" s="1012">
        <f>SUMIF('数据-汇总表'!$C19:$C33,'剩余法-现房'!D7,'数据-汇总表'!$E19:$E33)</f>
        <v>0</v>
      </c>
      <c r="E9" s="1012">
        <f>SUMIF('数据-汇总表'!$C19:$C33,'剩余法-现房'!E7,'数据-汇总表'!$E19:$E33)</f>
        <v>0</v>
      </c>
      <c r="F9" s="1012">
        <f>SUMIF('数据-汇总表'!$C19:$C33,'剩余法-现房'!F7,'数据-汇总表'!$E19:$E33)</f>
        <v>0</v>
      </c>
      <c r="G9" s="1012">
        <f>SUMIF('数据-汇总表'!$C19:$C33,'剩余法-现房'!G7,'数据-汇总表'!$E19:$E33)</f>
        <v>0</v>
      </c>
      <c r="H9" s="1012">
        <f>SUMIF('数据-汇总表'!$C19:$C33,'剩余法-现房'!H7,'数据-汇总表'!$E19:$E33)</f>
        <v>0</v>
      </c>
      <c r="I9" s="1012">
        <f>SUMIF('数据-汇总表'!$C19:$C33,'剩余法-现房'!I7,'数据-汇总表'!$E19:$E33)</f>
        <v>0</v>
      </c>
      <c r="J9" s="1012">
        <f>SUMIF('数据-汇总表'!$C19:$C33,'剩余法-现房'!J7,'数据-汇总表'!$E19:$E33)</f>
        <v>0</v>
      </c>
      <c r="K9" s="1092">
        <f>SUMIF('数据-汇总表'!$C19:$C33,'剩余法-现房'!K7,'数据-汇总表'!$E19:$E33)</f>
        <v>0</v>
      </c>
      <c r="AA9" s="988"/>
      <c r="AB9" s="988"/>
      <c r="AC9" s="988"/>
      <c r="AD9" s="988"/>
      <c r="AE9" s="988"/>
      <c r="AF9" s="988"/>
      <c r="AG9" s="988"/>
      <c r="AH9" s="988"/>
      <c r="AI9" s="988"/>
      <c r="AJ9" s="988"/>
      <c r="AK9" s="988"/>
      <c r="AL9" s="988"/>
      <c r="AM9" s="988"/>
      <c r="AN9" s="988"/>
      <c r="AO9" s="988"/>
    </row>
    <row r="10" spans="1:41" s="978" customFormat="1" ht="13.5" customHeight="1">
      <c r="A10" s="2382" t="s">
        <v>950</v>
      </c>
      <c r="B10" s="2383" t="s">
        <v>951</v>
      </c>
      <c r="C10" s="2384"/>
      <c r="D10" s="2384"/>
      <c r="E10" s="2384"/>
      <c r="F10" s="2385"/>
      <c r="G10" s="2385"/>
      <c r="H10" s="2385"/>
      <c r="I10" s="2385"/>
      <c r="J10" s="2385"/>
      <c r="K10" s="2436"/>
      <c r="AA10" s="988"/>
      <c r="AB10" s="988"/>
      <c r="AC10" s="988"/>
      <c r="AD10" s="988"/>
      <c r="AE10" s="988"/>
      <c r="AF10" s="988"/>
      <c r="AG10" s="988"/>
      <c r="AH10" s="988"/>
      <c r="AI10" s="988"/>
      <c r="AJ10" s="988"/>
      <c r="AK10" s="988"/>
      <c r="AL10" s="988"/>
      <c r="AM10" s="988"/>
      <c r="AN10" s="988"/>
      <c r="AO10" s="988"/>
    </row>
    <row r="11" spans="1:41" s="976" customFormat="1" ht="16.5" customHeight="1">
      <c r="A11" s="2386" t="s">
        <v>952</v>
      </c>
      <c r="B11" s="2387"/>
      <c r="C11" s="2387"/>
      <c r="D11" s="2387"/>
      <c r="E11" s="2387"/>
      <c r="F11" s="2387"/>
      <c r="G11" s="2387"/>
      <c r="H11" s="2387"/>
      <c r="I11" s="2387"/>
      <c r="J11" s="2387"/>
      <c r="K11" s="2437"/>
      <c r="L11" s="1089"/>
      <c r="M11" s="1089"/>
      <c r="N11" s="1089"/>
      <c r="O11" s="1089"/>
      <c r="P11" s="1089"/>
      <c r="Q11" s="1089"/>
      <c r="R11" s="1089"/>
      <c r="S11" s="1089"/>
      <c r="T11" s="1089"/>
      <c r="U11" s="1089"/>
      <c r="V11" s="1089"/>
      <c r="W11" s="1089"/>
      <c r="X11" s="1089"/>
      <c r="Y11" s="1089"/>
      <c r="Z11" s="1089"/>
    </row>
    <row r="12" spans="1:41" s="754" customFormat="1" ht="13.5" customHeight="1">
      <c r="A12" s="2376" t="s">
        <v>947</v>
      </c>
      <c r="B12" s="2388" t="s">
        <v>948</v>
      </c>
      <c r="C12" s="2389" t="s">
        <v>953</v>
      </c>
      <c r="D12" s="2390" t="s">
        <v>954</v>
      </c>
      <c r="E12" s="2390" t="s">
        <v>955</v>
      </c>
      <c r="F12" s="2390" t="s">
        <v>956</v>
      </c>
      <c r="G12" s="2388"/>
      <c r="H12" s="2391"/>
      <c r="I12" s="2391"/>
      <c r="J12" s="2391"/>
      <c r="K12" s="2438"/>
      <c r="L12" s="1095"/>
      <c r="M12" s="1095"/>
      <c r="N12" s="1095"/>
      <c r="O12" s="1095"/>
      <c r="P12" s="1095"/>
      <c r="Q12" s="1095"/>
      <c r="R12" s="1095"/>
      <c r="S12" s="1095"/>
      <c r="T12" s="1095"/>
      <c r="U12" s="1095"/>
      <c r="V12" s="1095"/>
      <c r="W12" s="1095"/>
      <c r="X12" s="1095"/>
      <c r="Y12" s="1095"/>
      <c r="Z12" s="1095"/>
    </row>
    <row r="13" spans="1:41" s="979" customFormat="1" ht="13.5" customHeight="1">
      <c r="A13" s="2392" t="s">
        <v>904</v>
      </c>
      <c r="B13" s="2393" t="s">
        <v>957</v>
      </c>
      <c r="C13" s="1025">
        <f ca="1">IF(B1="",'数据-取费表'!M16,INDIRECT("'数据-取费表'!M"&amp;$K$1)+INDIRECT("'数据-取费表'!t"&amp;$K$1))</f>
        <v>85681</v>
      </c>
      <c r="D13" s="2394"/>
      <c r="E13" s="84"/>
      <c r="F13" s="2395"/>
      <c r="G13" s="2388"/>
      <c r="H13" s="2391"/>
      <c r="I13" s="2391"/>
      <c r="J13" s="2391"/>
      <c r="K13" s="2438"/>
      <c r="L13" s="980"/>
      <c r="M13" s="980"/>
      <c r="N13" s="980"/>
      <c r="O13" s="980"/>
      <c r="P13" s="980"/>
      <c r="Q13" s="980"/>
      <c r="R13" s="980"/>
      <c r="S13" s="980"/>
      <c r="T13" s="980"/>
      <c r="U13" s="980"/>
      <c r="V13" s="980"/>
      <c r="W13" s="980"/>
      <c r="X13" s="980"/>
      <c r="Y13" s="980"/>
      <c r="Z13" s="980"/>
    </row>
    <row r="14" spans="1:41" s="979" customFormat="1" ht="13.5" customHeight="1">
      <c r="A14" s="2392" t="s">
        <v>958</v>
      </c>
      <c r="B14" s="2393" t="s">
        <v>959</v>
      </c>
      <c r="C14" s="127">
        <f ca="1">ROUND(C13*F14,0)</f>
        <v>2570</v>
      </c>
      <c r="D14" s="2394"/>
      <c r="E14" s="84"/>
      <c r="F14" s="2396">
        <f>'数据-取费表'!B33</f>
        <v>0.03</v>
      </c>
      <c r="G14" s="2388" t="s">
        <v>960</v>
      </c>
      <c r="H14" s="2391"/>
      <c r="I14" s="2391"/>
      <c r="J14" s="2391"/>
      <c r="K14" s="2438"/>
      <c r="L14" s="980"/>
      <c r="M14" s="980"/>
      <c r="N14" s="980"/>
      <c r="O14" s="980"/>
      <c r="P14" s="980"/>
      <c r="Q14" s="980"/>
      <c r="R14" s="980"/>
      <c r="S14" s="980"/>
      <c r="T14" s="980"/>
      <c r="U14" s="980"/>
      <c r="V14" s="980"/>
      <c r="W14" s="980"/>
      <c r="X14" s="980"/>
      <c r="Y14" s="980"/>
      <c r="Z14" s="980"/>
    </row>
    <row r="15" spans="1:41" s="979" customFormat="1" ht="13.5" customHeight="1">
      <c r="A15" s="2392" t="s">
        <v>961</v>
      </c>
      <c r="B15" s="2393" t="s">
        <v>962</v>
      </c>
      <c r="C15" s="127">
        <f ca="1">ROUND(IF(B1="",SUMIF('数据-取费表'!C:C,"住宅",'数据-取费表'!M:M)*F15,IF(INDIRECT("'数据-取费表'!c"&amp;$K$1)="住宅",INDIRECT("'数据-取费表'!M"&amp;$K$1)*F15,0)),0)</f>
        <v>1967</v>
      </c>
      <c r="D15" s="2394"/>
      <c r="E15" s="84"/>
      <c r="F15" s="2396">
        <f>'数据-取费表'!B34</f>
        <v>0.03</v>
      </c>
      <c r="G15" s="2388" t="s">
        <v>960</v>
      </c>
      <c r="H15" s="2391"/>
      <c r="I15" s="2391"/>
      <c r="J15" s="2391"/>
      <c r="K15" s="2438"/>
      <c r="L15" s="980"/>
      <c r="M15" s="980"/>
      <c r="N15" s="980"/>
      <c r="O15" s="980"/>
      <c r="P15" s="980"/>
      <c r="Q15" s="980"/>
      <c r="R15" s="980"/>
      <c r="S15" s="980"/>
      <c r="T15" s="980"/>
      <c r="U15" s="980"/>
      <c r="V15" s="980"/>
      <c r="W15" s="980"/>
      <c r="X15" s="980"/>
      <c r="Y15" s="980"/>
      <c r="Z15" s="980"/>
    </row>
    <row r="16" spans="1:41" s="980" customFormat="1" ht="13.5" customHeight="1">
      <c r="A16" s="2392" t="s">
        <v>963</v>
      </c>
      <c r="B16" s="2393" t="s">
        <v>964</v>
      </c>
      <c r="C16" s="127">
        <f ca="1">ROUND(D16*E16/10000,0)</f>
        <v>3477</v>
      </c>
      <c r="D16" s="2394">
        <f ca="1">IF(B1="",'数据-汇总表'!E3,INDIRECT("'数据-取费表'!K"&amp;$K$1)+INDIRECT("'数据-取费表'!S"&amp;$K$1))</f>
        <v>173827.12999999998</v>
      </c>
      <c r="E16" s="127">
        <f>'数据-取费表'!B35</f>
        <v>200</v>
      </c>
      <c r="F16" s="2397"/>
      <c r="G16" s="2388"/>
      <c r="H16" s="2391"/>
      <c r="I16" s="2391"/>
      <c r="J16" s="2391"/>
      <c r="K16" s="2438"/>
      <c r="AA16" s="979"/>
      <c r="AB16" s="979"/>
      <c r="AC16" s="979"/>
      <c r="AD16" s="979"/>
      <c r="AE16" s="979"/>
      <c r="AF16" s="979"/>
      <c r="AG16" s="979"/>
      <c r="AH16" s="979"/>
      <c r="AI16" s="979"/>
      <c r="AJ16" s="979"/>
      <c r="AK16" s="979"/>
      <c r="AL16" s="979"/>
      <c r="AM16" s="979"/>
      <c r="AN16" s="979"/>
      <c r="AO16" s="979"/>
    </row>
    <row r="17" spans="1:26" s="979" customFormat="1" ht="13.5" customHeight="1">
      <c r="A17" s="2392" t="s">
        <v>965</v>
      </c>
      <c r="B17" s="2393" t="s">
        <v>966</v>
      </c>
      <c r="C17" s="2398">
        <f ca="1">ROUND(C13*F17,0)</f>
        <v>1285</v>
      </c>
      <c r="D17" s="2399"/>
      <c r="E17" s="2398"/>
      <c r="F17" s="2396">
        <f>'数据-取费表'!B36</f>
        <v>1.4999999999999999E-2</v>
      </c>
      <c r="G17" s="2388" t="s">
        <v>960</v>
      </c>
      <c r="H17" s="2400"/>
      <c r="I17" s="2400"/>
      <c r="J17" s="2400"/>
      <c r="K17" s="2439"/>
      <c r="L17" s="980"/>
      <c r="M17" s="980"/>
      <c r="N17" s="980"/>
      <c r="O17" s="980"/>
      <c r="P17" s="980"/>
      <c r="Q17" s="980"/>
      <c r="R17" s="980"/>
      <c r="S17" s="980"/>
      <c r="T17" s="980"/>
      <c r="U17" s="980"/>
      <c r="V17" s="980"/>
      <c r="W17" s="980"/>
      <c r="X17" s="980"/>
      <c r="Y17" s="980"/>
      <c r="Z17" s="980"/>
    </row>
    <row r="18" spans="1:26" s="981" customFormat="1" ht="13.5" customHeight="1">
      <c r="A18" s="2401" t="s">
        <v>967</v>
      </c>
      <c r="B18" s="2402" t="s">
        <v>968</v>
      </c>
      <c r="C18" s="2403">
        <f ca="1">SUM(C13:C17)</f>
        <v>94980</v>
      </c>
      <c r="D18" s="2404"/>
      <c r="E18" s="1051"/>
      <c r="F18" s="1051"/>
      <c r="G18" s="2405" t="s">
        <v>969</v>
      </c>
      <c r="H18" s="2391"/>
      <c r="I18" s="2391"/>
      <c r="J18" s="2391"/>
      <c r="K18" s="2438"/>
      <c r="L18" s="1101"/>
      <c r="M18" s="1101"/>
      <c r="N18" s="1101"/>
      <c r="O18" s="1101"/>
      <c r="P18" s="1101"/>
      <c r="Q18" s="1101"/>
      <c r="R18" s="1101"/>
      <c r="S18" s="1101"/>
      <c r="T18" s="1101"/>
      <c r="U18" s="1101"/>
      <c r="V18" s="1101"/>
      <c r="W18" s="1101"/>
      <c r="X18" s="1101"/>
      <c r="Y18" s="1101"/>
      <c r="Z18" s="1101"/>
    </row>
    <row r="19" spans="1:26" s="981" customFormat="1" ht="13.5" customHeight="1">
      <c r="A19" s="2401" t="s">
        <v>970</v>
      </c>
      <c r="B19" s="2402" t="s">
        <v>971</v>
      </c>
      <c r="C19" s="2403">
        <f ca="1">ROUND(C18*F19,0)</f>
        <v>1425</v>
      </c>
      <c r="D19" s="2404"/>
      <c r="E19" s="1051"/>
      <c r="F19" s="2406">
        <f>'数据-取费表'!B37</f>
        <v>1.4999999999999999E-2</v>
      </c>
      <c r="G19" s="2388" t="s">
        <v>972</v>
      </c>
      <c r="H19" s="2391"/>
      <c r="I19" s="2391"/>
      <c r="J19" s="2391"/>
      <c r="K19" s="2438"/>
      <c r="L19" s="1103"/>
      <c r="M19" s="1103"/>
      <c r="N19" s="1103"/>
      <c r="O19" s="1101"/>
      <c r="P19" s="1101"/>
      <c r="Q19" s="1101"/>
      <c r="R19" s="1101"/>
      <c r="S19" s="1101"/>
      <c r="T19" s="1101"/>
      <c r="U19" s="1101"/>
      <c r="V19" s="1101"/>
      <c r="W19" s="1101"/>
      <c r="X19" s="1101"/>
      <c r="Y19" s="1101"/>
      <c r="Z19" s="1101"/>
    </row>
    <row r="20" spans="1:26" s="984" customFormat="1" ht="13.5" customHeight="1">
      <c r="A20" s="2401" t="s">
        <v>973</v>
      </c>
      <c r="B20" s="2404" t="s">
        <v>974</v>
      </c>
      <c r="C20" s="2407">
        <f ca="1">ROUND(IF('数据-取费表'!B22&lt;=1,(C18+C19)*F20*'数据-取费表'!B20/2,(C18+C19)*(POWER((1+F20),'数据-取费表'!B20/2)-1)),0)</f>
        <v>3326</v>
      </c>
      <c r="D20" s="1051">
        <f ca="1">ROUND(((1+F20)^'数据-取费表'!B20)-1,4)</f>
        <v>7.0199999999999999E-2</v>
      </c>
      <c r="E20" s="1051"/>
      <c r="F20" s="1056">
        <f ca="1">'数据-取费表'!B40</f>
        <v>3.4500000000000003E-2</v>
      </c>
      <c r="G20" s="2405" t="str">
        <f>IF('数据-取费表'!B22&lt;=1,"单利计息。","复利计息。")&amp;"建造成本、管理费用产生的利息 / 地价及税费产生的利息。"</f>
        <v>复利计息。建造成本、管理费用产生的利息 / 地价及税费产生的利息。</v>
      </c>
      <c r="H20" s="2391"/>
      <c r="I20" s="2391"/>
      <c r="J20" s="2391"/>
      <c r="K20" s="2438"/>
      <c r="L20" s="2440" t="s">
        <v>975</v>
      </c>
      <c r="M20" s="2441"/>
      <c r="N20" s="2441"/>
      <c r="O20" s="2441"/>
      <c r="P20" s="2441"/>
      <c r="Q20" s="1103"/>
      <c r="R20" s="1103"/>
      <c r="S20" s="1103"/>
      <c r="T20" s="1103"/>
      <c r="U20" s="1103"/>
      <c r="V20" s="1103"/>
      <c r="W20" s="1103"/>
      <c r="X20" s="1103"/>
      <c r="Y20" s="1103"/>
      <c r="Z20" s="1103"/>
    </row>
    <row r="21" spans="1:26" s="983" customFormat="1" ht="13.5" customHeight="1">
      <c r="A21" s="2401" t="s">
        <v>976</v>
      </c>
      <c r="B21" s="1068" t="s">
        <v>977</v>
      </c>
      <c r="C21" s="1069">
        <f ca="1">ROUND((C18+C19)*F21,0)</f>
        <v>11569</v>
      </c>
      <c r="D21" s="2408"/>
      <c r="E21" s="1051"/>
      <c r="F21" s="1070">
        <f ca="1">IF(B1="",'数据-取费表'!Q16,INDIRECT("'数据-取费表'!q"&amp;$K$1))</f>
        <v>0.12</v>
      </c>
      <c r="G21" s="2388"/>
      <c r="H21" s="2391"/>
      <c r="I21" s="2391"/>
      <c r="J21" s="2391"/>
      <c r="K21" s="2438"/>
      <c r="L21" s="1102"/>
      <c r="M21" s="1102"/>
      <c r="N21" s="1102"/>
      <c r="O21" s="1102"/>
      <c r="P21" s="1102"/>
      <c r="Q21" s="1102"/>
      <c r="R21" s="1102"/>
      <c r="S21" s="1102"/>
      <c r="T21" s="1102"/>
      <c r="U21" s="1102"/>
      <c r="V21" s="1102"/>
      <c r="W21" s="1102"/>
      <c r="X21" s="1102"/>
      <c r="Y21" s="1102"/>
      <c r="Z21" s="1102"/>
    </row>
    <row r="22" spans="1:26" s="984" customFormat="1" ht="13.5" customHeight="1">
      <c r="A22" s="2401" t="s">
        <v>978</v>
      </c>
      <c r="B22" s="2409" t="s">
        <v>979</v>
      </c>
      <c r="C22" s="2410"/>
      <c r="D22" s="2410"/>
      <c r="E22" s="2411"/>
      <c r="F22" s="2412">
        <f ca="1">IF(B1="",'数据-取费表'!N16,INDIRECT("'数据-取费表'!N"&amp;$K$1))</f>
        <v>0</v>
      </c>
      <c r="G22" s="2388"/>
      <c r="H22" s="2391"/>
      <c r="I22" s="2391"/>
      <c r="J22" s="2391"/>
      <c r="K22" s="2438"/>
      <c r="L22" s="1103"/>
      <c r="M22" s="1103"/>
      <c r="N22" s="1103"/>
      <c r="O22" s="1103"/>
      <c r="P22" s="1103"/>
      <c r="Q22" s="1103"/>
      <c r="R22" s="1103"/>
      <c r="S22" s="1103"/>
      <c r="T22" s="1103"/>
      <c r="U22" s="1103"/>
      <c r="V22" s="1103"/>
      <c r="W22" s="1103"/>
      <c r="X22" s="1103"/>
      <c r="Y22" s="1103"/>
      <c r="Z22" s="1103"/>
    </row>
    <row r="23" spans="1:26" s="984" customFormat="1" ht="13.5" customHeight="1">
      <c r="A23" s="2413" t="s">
        <v>980</v>
      </c>
      <c r="B23" s="2414" t="s">
        <v>981</v>
      </c>
      <c r="C23" s="2415">
        <f ca="1">ROUND((C18+C19+C20+C21)*F22,0)</f>
        <v>0</v>
      </c>
      <c r="D23" s="2416"/>
      <c r="E23" s="2417"/>
      <c r="F23" s="2418"/>
      <c r="G23" s="2377"/>
      <c r="H23" s="2419"/>
      <c r="I23" s="2419"/>
      <c r="J23" s="2419"/>
      <c r="K23" s="2442"/>
      <c r="L23" s="1103"/>
      <c r="M23" s="1103"/>
      <c r="N23" s="1103"/>
      <c r="O23" s="1103"/>
      <c r="P23" s="1103"/>
      <c r="Q23" s="1103"/>
      <c r="R23" s="1103"/>
      <c r="S23" s="1103"/>
      <c r="T23" s="1103"/>
      <c r="U23" s="1103"/>
      <c r="V23" s="1103"/>
      <c r="W23" s="1103"/>
      <c r="X23" s="1103"/>
      <c r="Y23" s="1103"/>
      <c r="Z23" s="1103"/>
    </row>
    <row r="24" spans="1:26" s="984" customFormat="1" ht="13.5" customHeight="1">
      <c r="A24" s="3843" t="s">
        <v>982</v>
      </c>
      <c r="B24" s="3844"/>
      <c r="C24" s="2420">
        <f>ROUND(C6*F24/(1+'数据-取费表'!B42),0)</f>
        <v>0</v>
      </c>
      <c r="D24" s="2421"/>
      <c r="E24" s="2422"/>
      <c r="F24" s="2423">
        <f>'数据-取费表'!B41</f>
        <v>5.5E-2</v>
      </c>
      <c r="G24" s="2424"/>
      <c r="H24" s="2424"/>
      <c r="I24" s="2424"/>
      <c r="J24" s="2424"/>
      <c r="K24" s="2443"/>
      <c r="L24" s="1103"/>
      <c r="M24" s="1103"/>
      <c r="N24" s="1103"/>
      <c r="O24" s="1103"/>
      <c r="P24" s="1103"/>
      <c r="Q24" s="1103"/>
      <c r="R24" s="1103"/>
      <c r="S24" s="1103"/>
      <c r="T24" s="1103"/>
      <c r="U24" s="1103"/>
      <c r="V24" s="1103"/>
      <c r="W24" s="1103"/>
      <c r="X24" s="1103"/>
      <c r="Y24" s="1103"/>
      <c r="Z24" s="1103"/>
    </row>
    <row r="25" spans="1:26" s="984" customFormat="1" ht="13.5" customHeight="1">
      <c r="A25" s="3843" t="s">
        <v>983</v>
      </c>
      <c r="B25" s="3844"/>
      <c r="C25" s="2420">
        <f>ROUND(C6*F25,0)</f>
        <v>0</v>
      </c>
      <c r="D25" s="2421"/>
      <c r="E25" s="2422"/>
      <c r="F25" s="2425">
        <f>'数据-取费表'!B38</f>
        <v>1.4999999999999999E-2</v>
      </c>
      <c r="G25" s="2426"/>
      <c r="H25" s="2424"/>
      <c r="I25" s="2424"/>
      <c r="J25" s="2424"/>
      <c r="K25" s="2443"/>
      <c r="L25" s="1103"/>
      <c r="M25" s="1103"/>
      <c r="N25" s="1103"/>
      <c r="O25" s="1103"/>
      <c r="P25" s="1103"/>
      <c r="Q25" s="1103"/>
      <c r="R25" s="1103"/>
      <c r="S25" s="1103"/>
      <c r="T25" s="1103"/>
      <c r="U25" s="1103"/>
      <c r="V25" s="1103"/>
      <c r="W25" s="1103"/>
      <c r="X25" s="1103"/>
      <c r="Y25" s="1103"/>
      <c r="Z25" s="1103"/>
    </row>
    <row r="26" spans="1:26" s="2369" customFormat="1" ht="13.5" customHeight="1">
      <c r="A26" s="3843" t="s">
        <v>984</v>
      </c>
      <c r="B26" s="3844"/>
      <c r="C26" s="2427"/>
      <c r="D26" s="2428"/>
      <c r="E26" s="2428"/>
      <c r="F26" s="2429">
        <f>'数据-取费表'!B48+'数据-取费表'!B49</f>
        <v>3.0499999999999999E-2</v>
      </c>
      <c r="G26" s="2430"/>
      <c r="H26" s="2430"/>
      <c r="I26" s="2430"/>
      <c r="J26" s="2444"/>
      <c r="K26" s="2445"/>
      <c r="L26" s="2446"/>
      <c r="M26" s="2446"/>
      <c r="N26" s="2446"/>
      <c r="O26" s="2446"/>
      <c r="P26" s="2446"/>
      <c r="Q26" s="2446"/>
      <c r="R26" s="2446"/>
      <c r="S26" s="2446"/>
      <c r="T26" s="2446"/>
      <c r="U26" s="2446"/>
      <c r="V26" s="2446"/>
      <c r="W26" s="2446"/>
      <c r="X26" s="2446"/>
      <c r="Y26" s="2446"/>
      <c r="Z26" s="2446"/>
    </row>
    <row r="27" spans="1:26" s="2370" customFormat="1" ht="13.5" customHeight="1">
      <c r="A27" s="3845" t="s">
        <v>985</v>
      </c>
      <c r="B27" s="3846"/>
      <c r="C27" s="2431">
        <f ca="1">(C6-C23-C24-C25)/((1+F26)*(1+D20+F21))</f>
        <v>0</v>
      </c>
      <c r="D27" s="2432"/>
      <c r="E27" s="2432"/>
      <c r="F27" s="2432"/>
      <c r="G27" s="2433" t="s">
        <v>986</v>
      </c>
      <c r="H27" s="2432"/>
      <c r="I27" s="2432"/>
      <c r="J27" s="2432"/>
      <c r="K27" s="2447"/>
    </row>
    <row r="28" spans="1:26" s="978" customFormat="1">
      <c r="A28" s="1085"/>
      <c r="C28" s="1086"/>
      <c r="E28" s="1085"/>
    </row>
    <row r="29" spans="1:26" s="978" customFormat="1" ht="12.75" customHeight="1">
      <c r="A29" s="1085"/>
      <c r="C29" s="1086"/>
      <c r="E29" s="1085"/>
    </row>
    <row r="30" spans="1:26" s="978" customFormat="1">
      <c r="A30" s="1085"/>
      <c r="C30" s="1086"/>
      <c r="E30" s="1085"/>
    </row>
    <row r="31" spans="1:26" s="978" customFormat="1">
      <c r="A31" s="1085"/>
      <c r="C31" s="1086"/>
      <c r="E31" s="1085"/>
    </row>
    <row r="32" spans="1:26" s="978" customFormat="1">
      <c r="A32" s="1085"/>
      <c r="C32" s="1086"/>
      <c r="E32" s="1085"/>
    </row>
    <row r="33" spans="1:5" s="978" customFormat="1">
      <c r="A33" s="1085"/>
      <c r="C33" s="1086"/>
      <c r="E33" s="1085"/>
    </row>
    <row r="34" spans="1:5" s="978" customFormat="1">
      <c r="A34" s="1085"/>
      <c r="C34" s="1086"/>
      <c r="E34" s="1085"/>
    </row>
    <row r="35" spans="1:5" s="978" customFormat="1">
      <c r="A35" s="1085"/>
      <c r="C35" s="1086"/>
      <c r="E35" s="1085"/>
    </row>
    <row r="36" spans="1:5" s="978" customFormat="1">
      <c r="A36" s="1085"/>
      <c r="C36" s="1086"/>
      <c r="E36" s="1085"/>
    </row>
    <row r="37" spans="1:5" s="978" customFormat="1">
      <c r="A37" s="1085"/>
      <c r="C37" s="1086"/>
      <c r="E37" s="1085"/>
    </row>
    <row r="38" spans="1:5" s="978" customFormat="1">
      <c r="A38" s="1085"/>
      <c r="C38" s="1086"/>
      <c r="E38" s="1085"/>
    </row>
    <row r="39" spans="1:5" s="978" customFormat="1">
      <c r="A39" s="1085"/>
      <c r="C39" s="1086"/>
      <c r="E39" s="1085"/>
    </row>
    <row r="40" spans="1:5" s="978" customFormat="1">
      <c r="A40" s="1085"/>
      <c r="C40" s="1086"/>
      <c r="E40" s="1085"/>
    </row>
    <row r="41" spans="1:5" s="978" customFormat="1">
      <c r="A41" s="1085"/>
      <c r="C41" s="1086"/>
      <c r="E41" s="1085"/>
    </row>
    <row r="42" spans="1:5" s="978" customFormat="1">
      <c r="A42" s="1085"/>
      <c r="C42" s="1086"/>
      <c r="E42" s="1085"/>
    </row>
    <row r="43" spans="1:5" s="978" customFormat="1">
      <c r="A43" s="1085"/>
      <c r="C43" s="1086"/>
      <c r="E43" s="1085"/>
    </row>
    <row r="44" spans="1:5" s="978" customFormat="1">
      <c r="A44" s="1085"/>
      <c r="C44" s="1086"/>
      <c r="E44" s="1085"/>
    </row>
    <row r="45" spans="1:5" s="978" customFormat="1">
      <c r="A45" s="1085"/>
      <c r="C45" s="1086"/>
      <c r="E45" s="1085"/>
    </row>
    <row r="46" spans="1:5" s="978" customFormat="1">
      <c r="A46" s="1085"/>
      <c r="C46" s="1086"/>
      <c r="E46" s="1085"/>
    </row>
    <row r="47" spans="1:5" s="978" customFormat="1">
      <c r="A47" s="1085"/>
      <c r="C47" s="1086"/>
      <c r="E47" s="1085"/>
    </row>
    <row r="48" spans="1:5"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0" customWidth="1"/>
    <col min="2" max="2" width="10.75" style="3610" customWidth="1"/>
    <col min="3" max="4" width="11.625" style="3610" customWidth="1"/>
    <col min="5" max="5" width="6.625" style="3610" customWidth="1"/>
    <col min="6" max="16384" width="9" style="3610"/>
  </cols>
  <sheetData>
    <row r="36" spans="1:9">
      <c r="A36" s="3609" t="s">
        <v>75</v>
      </c>
      <c r="B36" s="3609" t="s">
        <v>76</v>
      </c>
    </row>
    <row r="37" spans="1:9" ht="28.5" customHeight="1">
      <c r="A37" s="3609"/>
      <c r="B37" s="3672" t="str">
        <f>项目基本情况!B1</f>
        <v>北京市出让国有建设用地使用权抵押价格预评估</v>
      </c>
      <c r="C37" s="3672"/>
      <c r="D37" s="3672"/>
      <c r="E37" s="3672"/>
      <c r="F37" s="3672"/>
      <c r="G37" s="3672"/>
      <c r="H37" s="3672"/>
      <c r="I37" s="3672"/>
    </row>
    <row r="38" spans="1:9">
      <c r="A38" s="3611"/>
      <c r="B38" s="3611"/>
    </row>
    <row r="39" spans="1:9">
      <c r="A39" s="3609" t="s">
        <v>75</v>
      </c>
      <c r="B39" s="3609" t="s">
        <v>77</v>
      </c>
    </row>
    <row r="40" spans="1:9">
      <c r="A40" s="3609"/>
      <c r="B40" s="3609">
        <f>项目基本情况!B5</f>
        <v>0</v>
      </c>
    </row>
    <row r="41" spans="1:9">
      <c r="A41" s="3609"/>
      <c r="B41" s="3609"/>
    </row>
    <row r="42" spans="1:9">
      <c r="A42" s="3609" t="s">
        <v>75</v>
      </c>
      <c r="B42" s="3609" t="s">
        <v>78</v>
      </c>
    </row>
    <row r="43" spans="1:9">
      <c r="A43" s="3609"/>
      <c r="B43" s="3609" t="s">
        <v>79</v>
      </c>
    </row>
    <row r="44" spans="1:9">
      <c r="A44" s="3609"/>
      <c r="B44" s="3609"/>
    </row>
    <row r="45" spans="1:9">
      <c r="A45" s="3609" t="s">
        <v>75</v>
      </c>
      <c r="B45" s="3609" t="s">
        <v>80</v>
      </c>
    </row>
    <row r="46" spans="1:9" s="3609" customFormat="1" ht="12.75">
      <c r="B46" s="3609" t="str">
        <f>项目基本情况!K4</f>
        <v>土地估价师、土地估价师</v>
      </c>
    </row>
    <row r="47" spans="1:9">
      <c r="A47" s="3609"/>
      <c r="B47" s="3609"/>
    </row>
    <row r="48" spans="1:9">
      <c r="A48" s="3609" t="s">
        <v>75</v>
      </c>
      <c r="B48" s="3609" t="s">
        <v>81</v>
      </c>
    </row>
    <row r="49" spans="2:2">
      <c r="B49" s="3609"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1" zoomScale="80" zoomScaleNormal="95" workbookViewId="0">
      <selection activeCell="F67" sqref="F67"/>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987</v>
      </c>
      <c r="B1" s="509"/>
      <c r="C1" s="209" t="s">
        <v>988</v>
      </c>
      <c r="D1" s="2220" t="s">
        <v>989</v>
      </c>
      <c r="E1" s="211"/>
      <c r="F1" s="999"/>
      <c r="G1" s="211"/>
      <c r="H1" s="211"/>
      <c r="I1" s="211"/>
      <c r="J1" s="211"/>
      <c r="K1" s="382"/>
      <c r="L1" s="383"/>
      <c r="M1" s="384"/>
      <c r="N1" s="384"/>
      <c r="O1" s="384"/>
      <c r="P1" s="385"/>
      <c r="Q1" s="385"/>
      <c r="R1" s="385"/>
      <c r="S1" s="385"/>
      <c r="T1" s="385"/>
      <c r="U1" s="385"/>
      <c r="V1" s="385"/>
      <c r="W1" s="385"/>
      <c r="X1" s="385"/>
      <c r="Y1" s="385"/>
      <c r="Z1" s="385"/>
      <c r="AA1" s="385"/>
      <c r="AB1" s="385"/>
      <c r="AC1" s="477"/>
      <c r="AD1" s="2350"/>
    </row>
    <row r="2" spans="1:30" s="198" customFormat="1" ht="28.5" customHeight="1">
      <c r="A2" s="214" t="s">
        <v>942</v>
      </c>
      <c r="B2" s="2222">
        <f>F67</f>
        <v>148816</v>
      </c>
      <c r="C2" s="2327"/>
      <c r="D2" s="2327"/>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c r="AD2" s="2350"/>
    </row>
    <row r="3" spans="1:30" s="198" customFormat="1" ht="28.5" customHeight="1">
      <c r="A3" s="1130" t="s">
        <v>943</v>
      </c>
      <c r="B3" s="220">
        <f>ROUND(B2*10000/'数据-汇总表'!E3,0)</f>
        <v>8561</v>
      </c>
      <c r="C3" s="1131"/>
      <c r="D3" s="2328"/>
      <c r="E3" s="1131"/>
      <c r="F3" s="1131"/>
      <c r="G3" s="2223"/>
      <c r="H3" s="2223"/>
      <c r="I3" s="2223"/>
      <c r="J3" s="2223"/>
      <c r="K3" s="2287"/>
      <c r="L3" s="387"/>
      <c r="M3" s="385"/>
      <c r="N3" s="385"/>
      <c r="O3" s="385"/>
      <c r="P3" s="385"/>
      <c r="Q3" s="385"/>
      <c r="R3" s="385"/>
      <c r="S3" s="385"/>
      <c r="T3" s="385"/>
      <c r="U3" s="385"/>
      <c r="V3" s="385"/>
      <c r="W3" s="385"/>
      <c r="X3" s="385"/>
      <c r="Y3" s="385"/>
      <c r="Z3" s="385"/>
      <c r="AA3" s="385"/>
      <c r="AB3" s="478"/>
      <c r="AC3" s="479"/>
    </row>
    <row r="4" spans="1:30" s="198" customFormat="1" ht="28.5" customHeight="1">
      <c r="A4" s="2226" t="s">
        <v>990</v>
      </c>
      <c r="B4" s="998">
        <f>IF(B48="单位面积地价",C50,ROUND(B2*10000/'数据-汇总表'!D3,0))</f>
        <v>28857</v>
      </c>
      <c r="C4" s="1131"/>
      <c r="D4" s="2328"/>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30" s="198" customFormat="1" ht="28.5" customHeight="1">
      <c r="A5" s="1001"/>
      <c r="B5" s="1002">
        <f>ROUND(B2/('数据-汇总表'!D3/666.67),0)</f>
        <v>1924</v>
      </c>
      <c r="C5" s="1003" t="s">
        <v>945</v>
      </c>
      <c r="D5" s="1131"/>
      <c r="E5" s="1131"/>
      <c r="F5" s="1131"/>
      <c r="G5" s="2329" t="s">
        <v>991</v>
      </c>
      <c r="H5" s="2223"/>
      <c r="I5" s="2329" t="s">
        <v>992</v>
      </c>
      <c r="J5" s="2223"/>
      <c r="K5" s="2287"/>
      <c r="L5" s="387"/>
      <c r="M5" s="385"/>
      <c r="N5" s="385"/>
      <c r="O5" s="385"/>
      <c r="P5" s="385"/>
      <c r="Q5" s="385"/>
      <c r="R5" s="385"/>
      <c r="S5" s="385"/>
      <c r="T5" s="385"/>
      <c r="U5" s="385"/>
      <c r="V5" s="385"/>
      <c r="W5" s="385"/>
      <c r="X5" s="385"/>
      <c r="Y5" s="385"/>
      <c r="Z5" s="385"/>
      <c r="AA5" s="385"/>
      <c r="AB5" s="385"/>
      <c r="AC5" s="479"/>
    </row>
    <row r="6" spans="1:30" ht="20.25">
      <c r="A6" s="223" t="s">
        <v>993</v>
      </c>
      <c r="B6" s="224"/>
      <c r="C6" s="3847" t="s">
        <v>994</v>
      </c>
      <c r="D6" s="3848"/>
      <c r="E6" s="3847" t="s">
        <v>995</v>
      </c>
      <c r="F6" s="3848"/>
      <c r="G6" s="3847" t="s">
        <v>996</v>
      </c>
      <c r="H6" s="3848"/>
      <c r="I6" s="3847" t="s">
        <v>997</v>
      </c>
      <c r="J6" s="3848"/>
      <c r="K6" s="388" t="s">
        <v>998</v>
      </c>
      <c r="L6" s="389"/>
      <c r="M6" s="385"/>
      <c r="N6" s="385"/>
      <c r="O6" s="390"/>
      <c r="P6" s="3877" t="s">
        <v>999</v>
      </c>
      <c r="Q6" s="3878"/>
      <c r="R6" s="3868" t="s">
        <v>995</v>
      </c>
      <c r="S6" s="3869"/>
      <c r="T6" s="3868" t="s">
        <v>996</v>
      </c>
      <c r="U6" s="3869"/>
      <c r="V6" s="3859" t="s">
        <v>997</v>
      </c>
      <c r="W6" s="3859"/>
      <c r="X6" s="460"/>
      <c r="Y6" s="3868" t="s">
        <v>999</v>
      </c>
      <c r="Z6" s="3869"/>
      <c r="AA6" s="3874" t="s">
        <v>995</v>
      </c>
      <c r="AB6" s="3875" t="s">
        <v>996</v>
      </c>
      <c r="AC6" s="3874" t="s">
        <v>997</v>
      </c>
    </row>
    <row r="7" spans="1:30" ht="46.5" customHeight="1">
      <c r="A7" s="225"/>
      <c r="B7" s="226"/>
      <c r="C7" s="3849" t="s">
        <v>1000</v>
      </c>
      <c r="D7" s="3850"/>
      <c r="E7" s="3849" t="str">
        <f>土地案例!A13</f>
        <v>北京市延庆区南辛堡村、民主村、百眼泉村棚户区改造项目YQ00-0309-0007地块R2二类居住用地</v>
      </c>
      <c r="F7" s="3850"/>
      <c r="G7" s="3849" t="str">
        <f>土地案例!A7</f>
        <v>北京市密云区水源路南侧MY00-0104-6016等地块R2二类居住用地</v>
      </c>
      <c r="H7" s="3850"/>
      <c r="I7" s="3849" t="str">
        <f>土地案例!A8</f>
        <v>北京市密云区檀营乡6005地块R2二类居住用地</v>
      </c>
      <c r="J7" s="3850"/>
      <c r="K7" s="388"/>
      <c r="L7" s="389"/>
      <c r="M7" s="385"/>
      <c r="N7" s="385"/>
      <c r="O7" s="390"/>
      <c r="P7" s="3879"/>
      <c r="Q7" s="3880"/>
      <c r="R7" s="3870"/>
      <c r="S7" s="3871"/>
      <c r="T7" s="3870"/>
      <c r="U7" s="3871"/>
      <c r="V7" s="3859"/>
      <c r="W7" s="3859"/>
      <c r="X7" s="460"/>
      <c r="Y7" s="3870"/>
      <c r="Z7" s="3871"/>
      <c r="AA7" s="3875"/>
      <c r="AB7" s="3875"/>
      <c r="AC7" s="3875"/>
    </row>
    <row r="8" spans="1:30" ht="20.25">
      <c r="A8" s="225"/>
      <c r="B8" s="226"/>
      <c r="C8" s="3851" t="s">
        <v>1001</v>
      </c>
      <c r="D8" s="3852"/>
      <c r="E8" s="3851" t="s">
        <v>1001</v>
      </c>
      <c r="F8" s="3852"/>
      <c r="G8" s="3853" t="s">
        <v>1001</v>
      </c>
      <c r="H8" s="3854"/>
      <c r="I8" s="3853" t="s">
        <v>1001</v>
      </c>
      <c r="J8" s="3854"/>
      <c r="K8" s="388" t="s">
        <v>1002</v>
      </c>
      <c r="L8" s="389"/>
      <c r="M8" s="385"/>
      <c r="N8" s="385"/>
      <c r="O8" s="390"/>
      <c r="P8" s="3881"/>
      <c r="Q8" s="3882"/>
      <c r="R8" s="3870"/>
      <c r="S8" s="3871"/>
      <c r="T8" s="3872"/>
      <c r="U8" s="3873"/>
      <c r="V8" s="3859"/>
      <c r="W8" s="3859"/>
      <c r="X8" s="460"/>
      <c r="Y8" s="3872"/>
      <c r="Z8" s="3873"/>
      <c r="AA8" s="3876"/>
      <c r="AB8" s="3876"/>
      <c r="AC8" s="3876"/>
    </row>
    <row r="9" spans="1:30" s="199" customFormat="1" ht="20.25">
      <c r="A9" s="229"/>
      <c r="B9" s="230" t="s">
        <v>1003</v>
      </c>
      <c r="C9" s="2330">
        <f>'数据-取费表'!B2</f>
        <v>45271</v>
      </c>
      <c r="D9" s="232">
        <v>100</v>
      </c>
      <c r="E9" s="233">
        <f>土地案例!AD13</f>
        <v>45147.000497685185</v>
      </c>
      <c r="F9" s="234">
        <f>SUMIF(71:71,YEAR(E9)&amp;"-"&amp;INT((MONTH(E9)+2)/3),72:72)</f>
        <v>99.7</v>
      </c>
      <c r="G9" s="235">
        <f>土地案例!M7</f>
        <v>44554.0004976852</v>
      </c>
      <c r="H9" s="232">
        <f>SUMIF(71:71,YEAR(G9)&amp;"-"&amp;INT((MONTH(G9)+2)/3),72:72)</f>
        <v>97.600000000000023</v>
      </c>
      <c r="I9" s="235">
        <f>土地案例!M8</f>
        <v>44341.0004976852</v>
      </c>
      <c r="J9" s="232">
        <f>SUMIF(71:71,YEAR(I9)&amp;"-"&amp;INT((MONTH(I9)+2)/3),72:72)</f>
        <v>97.000000000000028</v>
      </c>
      <c r="K9" s="391"/>
      <c r="L9" s="392"/>
      <c r="M9" s="385"/>
      <c r="N9" s="385"/>
      <c r="O9" s="393"/>
      <c r="P9" s="3855" t="s">
        <v>1004</v>
      </c>
      <c r="Q9" s="3856"/>
      <c r="R9" s="461" t="s">
        <v>1005</v>
      </c>
      <c r="S9" s="462">
        <f t="shared" ref="S9:S17" si="0">F9</f>
        <v>99.7</v>
      </c>
      <c r="T9" s="461" t="s">
        <v>1005</v>
      </c>
      <c r="U9" s="462">
        <f t="shared" ref="U9:U17" si="1">H9</f>
        <v>97.600000000000023</v>
      </c>
      <c r="V9" s="461" t="s">
        <v>1005</v>
      </c>
      <c r="W9" s="462">
        <f t="shared" ref="W9:W17" si="2">J9</f>
        <v>97.000000000000028</v>
      </c>
      <c r="X9" s="463"/>
      <c r="Y9" s="3855" t="s">
        <v>1004</v>
      </c>
      <c r="Z9" s="3857"/>
      <c r="AA9" s="480">
        <f>D9/F9</f>
        <v>1.0030090270812437</v>
      </c>
      <c r="AB9" s="480">
        <f>D9/H9</f>
        <v>1.0245901639344259</v>
      </c>
      <c r="AC9" s="480">
        <f>D9/J9</f>
        <v>1.0309278350515461</v>
      </c>
    </row>
    <row r="10" spans="1:30" s="199" customFormat="1" ht="20.25">
      <c r="A10" s="236"/>
      <c r="B10" s="237" t="s">
        <v>1006</v>
      </c>
      <c r="C10" s="898" t="s">
        <v>1007</v>
      </c>
      <c r="D10" s="232">
        <v>100</v>
      </c>
      <c r="E10" s="238" t="s">
        <v>1008</v>
      </c>
      <c r="F10" s="234">
        <f>SUMIF(74:74,E10,75:75)-SUMIF(74:74,C10,75:75)+100</f>
        <v>100</v>
      </c>
      <c r="G10" s="238" t="s">
        <v>1008</v>
      </c>
      <c r="H10" s="232">
        <f>SUMIF(74:74,G10,75:75)-SUMIF(74:74,C10,75:75)+100</f>
        <v>100</v>
      </c>
      <c r="I10" s="238" t="s">
        <v>1008</v>
      </c>
      <c r="J10" s="232">
        <f>SUMIF(74:74,I10,75:75)-SUMIF(74:74,C10,75:75)+100</f>
        <v>100</v>
      </c>
      <c r="K10" s="391"/>
      <c r="L10" s="392"/>
      <c r="M10" s="385"/>
      <c r="N10" s="385"/>
      <c r="O10" s="393"/>
      <c r="P10" s="3855" t="s">
        <v>1009</v>
      </c>
      <c r="Q10" s="3857"/>
      <c r="R10" s="461" t="s">
        <v>1005</v>
      </c>
      <c r="S10" s="462">
        <f t="shared" si="0"/>
        <v>100</v>
      </c>
      <c r="T10" s="461" t="s">
        <v>1005</v>
      </c>
      <c r="U10" s="462">
        <f t="shared" si="1"/>
        <v>100</v>
      </c>
      <c r="V10" s="461" t="s">
        <v>1005</v>
      </c>
      <c r="W10" s="462">
        <f t="shared" si="2"/>
        <v>100</v>
      </c>
      <c r="X10" s="463"/>
      <c r="Y10" s="3855" t="s">
        <v>1009</v>
      </c>
      <c r="Z10" s="3857"/>
      <c r="AA10" s="480">
        <f t="shared" ref="AA10:AA47" si="3">D10/F10</f>
        <v>1</v>
      </c>
      <c r="AB10" s="480">
        <f t="shared" ref="AB10:AB47" si="4">D10/H10</f>
        <v>1</v>
      </c>
      <c r="AC10" s="480">
        <f t="shared" ref="AC10:AC47" si="5">D10/J10</f>
        <v>1</v>
      </c>
    </row>
    <row r="11" spans="1:30" s="199" customFormat="1" ht="20.25">
      <c r="A11" s="239"/>
      <c r="B11" s="240" t="s">
        <v>1010</v>
      </c>
      <c r="C11" s="2331" t="s">
        <v>402</v>
      </c>
      <c r="D11" s="242">
        <v>100</v>
      </c>
      <c r="E11" s="2331" t="s">
        <v>402</v>
      </c>
      <c r="F11" s="242">
        <f>SUMIF(76:76,E11,77:77)-SUMIF(76:76,C11,77:77)+100</f>
        <v>100</v>
      </c>
      <c r="G11" s="2331" t="s">
        <v>402</v>
      </c>
      <c r="H11" s="242">
        <f>SUMIF(76:76,G11,77:77)-SUMIF(76:76,C11,77:77)+100</f>
        <v>100</v>
      </c>
      <c r="I11" s="2331" t="s">
        <v>402</v>
      </c>
      <c r="J11" s="242">
        <f>SUMIF(76:76,I11,77:77)-SUMIF(76:76,C11,77:77)+100</f>
        <v>100</v>
      </c>
      <c r="K11" s="391"/>
      <c r="L11" s="392"/>
      <c r="M11" s="385"/>
      <c r="N11" s="385"/>
      <c r="O11" s="394"/>
      <c r="P11" s="3858" t="s">
        <v>1011</v>
      </c>
      <c r="Q11" s="464" t="str">
        <f t="shared" ref="Q11:Q17" si="6">B11</f>
        <v>用途</v>
      </c>
      <c r="R11" s="461" t="s">
        <v>1005</v>
      </c>
      <c r="S11" s="462">
        <f t="shared" si="0"/>
        <v>100</v>
      </c>
      <c r="T11" s="461" t="s">
        <v>1005</v>
      </c>
      <c r="U11" s="462">
        <f t="shared" si="1"/>
        <v>100</v>
      </c>
      <c r="V11" s="461" t="s">
        <v>1005</v>
      </c>
      <c r="W11" s="462">
        <f t="shared" si="2"/>
        <v>100</v>
      </c>
      <c r="X11" s="463"/>
      <c r="Y11" s="3776" t="s">
        <v>1012</v>
      </c>
      <c r="Z11" s="481" t="str">
        <f t="shared" ref="Z11:Z17" si="7">Q11</f>
        <v>用途</v>
      </c>
      <c r="AA11" s="480">
        <f t="shared" si="3"/>
        <v>1</v>
      </c>
      <c r="AB11" s="480">
        <f t="shared" si="4"/>
        <v>1</v>
      </c>
      <c r="AC11" s="480">
        <f t="shared" si="5"/>
        <v>1</v>
      </c>
    </row>
    <row r="12" spans="1:30" s="200" customFormat="1" ht="27">
      <c r="A12" s="244"/>
      <c r="B12" s="237" t="s">
        <v>1013</v>
      </c>
      <c r="C12" s="550"/>
      <c r="D12" s="246">
        <v>100</v>
      </c>
      <c r="E12" s="903"/>
      <c r="F12" s="246">
        <f>ROUND(100/'数据-取费表'!G16,0)</f>
        <v>100</v>
      </c>
      <c r="G12" s="902"/>
      <c r="H12" s="246">
        <f>ROUND(100/'数据-取费表'!G16,0)</f>
        <v>100</v>
      </c>
      <c r="I12" s="902"/>
      <c r="J12" s="246">
        <f>ROUND(100/'数据-取费表'!G16,0)</f>
        <v>100</v>
      </c>
      <c r="K12" s="2288"/>
      <c r="L12" s="396"/>
      <c r="M12" s="385"/>
      <c r="N12" s="385"/>
      <c r="O12" s="398"/>
      <c r="P12" s="3858"/>
      <c r="Q12" s="464" t="str">
        <f t="shared" si="6"/>
        <v>土地使用年限（年）</v>
      </c>
      <c r="R12" s="461" t="s">
        <v>1005</v>
      </c>
      <c r="S12" s="462">
        <f t="shared" si="0"/>
        <v>100</v>
      </c>
      <c r="T12" s="461" t="s">
        <v>1005</v>
      </c>
      <c r="U12" s="462">
        <f t="shared" si="1"/>
        <v>100</v>
      </c>
      <c r="V12" s="461" t="s">
        <v>1005</v>
      </c>
      <c r="W12" s="462">
        <f t="shared" si="2"/>
        <v>100</v>
      </c>
      <c r="X12" s="463"/>
      <c r="Y12" s="3776"/>
      <c r="Z12" s="481" t="str">
        <f t="shared" si="7"/>
        <v>土地使用年限（年）</v>
      </c>
      <c r="AA12" s="480">
        <f t="shared" si="3"/>
        <v>1</v>
      </c>
      <c r="AB12" s="480">
        <f t="shared" si="4"/>
        <v>1</v>
      </c>
      <c r="AC12" s="480">
        <f t="shared" si="5"/>
        <v>1</v>
      </c>
    </row>
    <row r="13" spans="1:30" ht="20.25">
      <c r="A13" s="511"/>
      <c r="B13" s="237" t="s">
        <v>1014</v>
      </c>
      <c r="C13" s="513">
        <v>2.2000000000000002</v>
      </c>
      <c r="D13" s="246">
        <v>100</v>
      </c>
      <c r="E13" s="512">
        <f>土地案例!K13</f>
        <v>1.6</v>
      </c>
      <c r="F13" s="246">
        <f>LOOKUP(E13,81:81,82:82)-LOOKUP(C13,81:81,82:82)+100</f>
        <v>101</v>
      </c>
      <c r="G13" s="513">
        <v>2</v>
      </c>
      <c r="H13" s="246">
        <f>LOOKUP(G13,81:81,82:82)-LOOKUP(C13,81:81,82:82)+100</f>
        <v>100</v>
      </c>
      <c r="I13" s="512">
        <v>2</v>
      </c>
      <c r="J13" s="246">
        <f>LOOKUP(I13,81:81,82:82)-LOOKUP(C13,81:81,82:82)+100</f>
        <v>100</v>
      </c>
      <c r="K13" s="2289">
        <v>1</v>
      </c>
      <c r="L13" s="400"/>
      <c r="M13" s="385"/>
      <c r="N13" s="385"/>
      <c r="O13" s="401"/>
      <c r="P13" s="3858"/>
      <c r="Q13" s="464" t="str">
        <f t="shared" si="6"/>
        <v>容积率</v>
      </c>
      <c r="R13" s="461" t="s">
        <v>1005</v>
      </c>
      <c r="S13" s="462">
        <f t="shared" si="0"/>
        <v>101</v>
      </c>
      <c r="T13" s="461" t="s">
        <v>1005</v>
      </c>
      <c r="U13" s="462">
        <f t="shared" si="1"/>
        <v>100</v>
      </c>
      <c r="V13" s="461" t="s">
        <v>1005</v>
      </c>
      <c r="W13" s="462">
        <f t="shared" si="2"/>
        <v>100</v>
      </c>
      <c r="X13" s="463"/>
      <c r="Y13" s="3776"/>
      <c r="Z13" s="481" t="str">
        <f t="shared" si="7"/>
        <v>容积率</v>
      </c>
      <c r="AA13" s="480">
        <f t="shared" si="3"/>
        <v>0.99009900990099009</v>
      </c>
      <c r="AB13" s="480">
        <f t="shared" si="4"/>
        <v>1</v>
      </c>
      <c r="AC13" s="480">
        <f t="shared" si="5"/>
        <v>1</v>
      </c>
    </row>
    <row r="14" spans="1:30" s="199" customFormat="1" ht="20.25">
      <c r="A14" s="236"/>
      <c r="B14" s="2332" t="s">
        <v>1015</v>
      </c>
      <c r="C14" s="2333"/>
      <c r="D14" s="252">
        <v>100</v>
      </c>
      <c r="E14" s="2334"/>
      <c r="F14" s="246">
        <f>SUMIF(83:83,E14,84:84)-SUMIF(83:83,C14,84:84)+100</f>
        <v>100</v>
      </c>
      <c r="G14" s="902"/>
      <c r="H14" s="246">
        <f>SUMIF(83:83,G14,84:84)-SUMIF(83:83,C14,84:84)+100</f>
        <v>100</v>
      </c>
      <c r="I14" s="903"/>
      <c r="J14" s="246">
        <f>SUMIF(83:83,I14,84:84)-SUMIF(83:83,C14,84:84)+100</f>
        <v>100</v>
      </c>
      <c r="K14" s="2288"/>
      <c r="L14" s="392"/>
      <c r="M14" s="385"/>
      <c r="N14" s="385"/>
      <c r="O14" s="394"/>
      <c r="P14" s="3858"/>
      <c r="Q14" s="464" t="str">
        <f t="shared" si="6"/>
        <v>配建</v>
      </c>
      <c r="R14" s="461" t="s">
        <v>1005</v>
      </c>
      <c r="S14" s="462">
        <f t="shared" si="0"/>
        <v>100</v>
      </c>
      <c r="T14" s="461" t="s">
        <v>1005</v>
      </c>
      <c r="U14" s="462">
        <f t="shared" si="1"/>
        <v>100</v>
      </c>
      <c r="V14" s="461" t="s">
        <v>1005</v>
      </c>
      <c r="W14" s="462">
        <f t="shared" si="2"/>
        <v>100</v>
      </c>
      <c r="X14" s="463"/>
      <c r="Y14" s="3776"/>
      <c r="Z14" s="481" t="str">
        <f t="shared" si="7"/>
        <v>配建</v>
      </c>
      <c r="AA14" s="480">
        <f t="shared" si="3"/>
        <v>1</v>
      </c>
      <c r="AB14" s="480">
        <f t="shared" si="4"/>
        <v>1</v>
      </c>
      <c r="AC14" s="480">
        <f t="shared" si="5"/>
        <v>1</v>
      </c>
    </row>
    <row r="15" spans="1:30" ht="20.25">
      <c r="A15" s="248"/>
      <c r="B15" s="3668" t="s">
        <v>2703</v>
      </c>
      <c r="C15" s="3669" t="s">
        <v>2704</v>
      </c>
      <c r="D15" s="256">
        <v>100</v>
      </c>
      <c r="E15" s="3669" t="s">
        <v>2704</v>
      </c>
      <c r="F15" s="246">
        <f>SUMIF(85:85,E15,86:86)-SUMIF(85:85,C15,86:86)+100</f>
        <v>100</v>
      </c>
      <c r="G15" s="3669" t="s">
        <v>2704</v>
      </c>
      <c r="H15" s="256">
        <f>SUMIF(85:85,G15,86:86)-SUMIF(85:85,C15,86:86)+100</f>
        <v>100</v>
      </c>
      <c r="I15" s="3670" t="s">
        <v>2705</v>
      </c>
      <c r="J15" s="256">
        <f>SUMIF(85:85,I15,86:86)-SUMIF(85:85,C15,86:86)+100</f>
        <v>105</v>
      </c>
      <c r="K15" s="2288"/>
      <c r="L15" s="402"/>
      <c r="M15" s="385"/>
      <c r="N15" s="385"/>
      <c r="O15" s="401"/>
      <c r="P15" s="3858"/>
      <c r="Q15" s="464" t="str">
        <f t="shared" si="6"/>
        <v>限价</v>
      </c>
      <c r="R15" s="461" t="s">
        <v>1005</v>
      </c>
      <c r="S15" s="462">
        <f t="shared" si="0"/>
        <v>100</v>
      </c>
      <c r="T15" s="461" t="s">
        <v>1005</v>
      </c>
      <c r="U15" s="462">
        <f t="shared" si="1"/>
        <v>100</v>
      </c>
      <c r="V15" s="461" t="s">
        <v>1005</v>
      </c>
      <c r="W15" s="462">
        <f t="shared" si="2"/>
        <v>105</v>
      </c>
      <c r="X15" s="463"/>
      <c r="Y15" s="3776"/>
      <c r="Z15" s="481" t="str">
        <f t="shared" si="7"/>
        <v>限价</v>
      </c>
      <c r="AA15" s="480">
        <f t="shared" si="3"/>
        <v>1</v>
      </c>
      <c r="AB15" s="480">
        <f t="shared" si="4"/>
        <v>1</v>
      </c>
      <c r="AC15" s="480">
        <f t="shared" si="5"/>
        <v>0.95238095238095233</v>
      </c>
    </row>
    <row r="16" spans="1:30" ht="20.25">
      <c r="A16" s="253"/>
      <c r="B16" s="254">
        <v>111</v>
      </c>
      <c r="C16" s="565"/>
      <c r="D16" s="309">
        <v>100</v>
      </c>
      <c r="E16" s="371"/>
      <c r="F16" s="309">
        <f>SUMIF(87:87,E16,88:88)-SUMIF(87:87,C16,88:88)+100</f>
        <v>100</v>
      </c>
      <c r="G16" s="2228"/>
      <c r="H16" s="309">
        <f>SUMIF(87:87,G16,88:88)-SUMIF(87:87,C16,88:88)+100</f>
        <v>100</v>
      </c>
      <c r="I16" s="2228"/>
      <c r="J16" s="309">
        <f>SUMIF(87:87,I16,88:88)-SUMIF(87:87,C16,88:88)+100</f>
        <v>100</v>
      </c>
      <c r="K16" s="2288"/>
      <c r="L16" s="402"/>
      <c r="M16" s="385"/>
      <c r="N16" s="385"/>
      <c r="O16" s="401"/>
      <c r="P16" s="3858"/>
      <c r="Q16" s="464">
        <f t="shared" si="6"/>
        <v>111</v>
      </c>
      <c r="R16" s="461" t="s">
        <v>1005</v>
      </c>
      <c r="S16" s="462">
        <f t="shared" si="0"/>
        <v>100</v>
      </c>
      <c r="T16" s="461" t="s">
        <v>1005</v>
      </c>
      <c r="U16" s="462">
        <f t="shared" si="1"/>
        <v>100</v>
      </c>
      <c r="V16" s="461" t="s">
        <v>1005</v>
      </c>
      <c r="W16" s="462">
        <f t="shared" si="2"/>
        <v>100</v>
      </c>
      <c r="X16" s="463"/>
      <c r="Y16" s="3776"/>
      <c r="Z16" s="481">
        <f t="shared" si="7"/>
        <v>111</v>
      </c>
      <c r="AA16" s="480">
        <f t="shared" si="3"/>
        <v>1</v>
      </c>
      <c r="AB16" s="480">
        <f t="shared" si="4"/>
        <v>1</v>
      </c>
      <c r="AC16" s="480">
        <f t="shared" si="5"/>
        <v>1</v>
      </c>
    </row>
    <row r="17" spans="1:29" ht="128.25">
      <c r="A17" s="257" t="s">
        <v>1016</v>
      </c>
      <c r="B17" s="282" t="s">
        <v>223</v>
      </c>
      <c r="C17" s="553" t="str">
        <f>估价对象房地状况!C15</f>
        <v>估价对象周边居住用地比例、居住小区规模和社区发展完善程度，有王各庄新庄、明珠花园、枫林园公寓综合评价居住社区成熟度一般</v>
      </c>
      <c r="D17" s="262">
        <v>100</v>
      </c>
      <c r="E17" s="263"/>
      <c r="F17" s="260">
        <f>SUMIF(89:89,E18,90:90)-SUMIF(89:89,C18,90:90)+100</f>
        <v>102</v>
      </c>
      <c r="G17" s="261"/>
      <c r="H17" s="260">
        <f>SUMIF(89:89,G18,90:90)-SUMIF(89:89,C18,90:90)+100</f>
        <v>102</v>
      </c>
      <c r="I17" s="263"/>
      <c r="J17" s="260">
        <f>SUMIF(89:89,I18,90:90)-SUMIF(89:89,C18,90:90)+100</f>
        <v>102</v>
      </c>
      <c r="K17" s="2289">
        <v>2</v>
      </c>
      <c r="L17" s="402"/>
      <c r="M17" s="385"/>
      <c r="N17" s="385"/>
      <c r="O17" s="401"/>
      <c r="P17" s="3860" t="s">
        <v>1017</v>
      </c>
      <c r="Q17" s="395" t="str">
        <f t="shared" si="6"/>
        <v>居住社区成熟度</v>
      </c>
      <c r="R17" s="465" t="s">
        <v>1005</v>
      </c>
      <c r="S17" s="466">
        <f t="shared" si="0"/>
        <v>102</v>
      </c>
      <c r="T17" s="465" t="s">
        <v>1005</v>
      </c>
      <c r="U17" s="466">
        <f t="shared" si="1"/>
        <v>102</v>
      </c>
      <c r="V17" s="465" t="s">
        <v>1005</v>
      </c>
      <c r="W17" s="466">
        <f t="shared" si="2"/>
        <v>102</v>
      </c>
      <c r="X17" s="460"/>
      <c r="Y17" s="3860" t="s">
        <v>1017</v>
      </c>
      <c r="Z17" s="459" t="str">
        <f t="shared" si="7"/>
        <v>居住社区成熟度</v>
      </c>
      <c r="AA17" s="471">
        <f t="shared" si="3"/>
        <v>0.98039215686274495</v>
      </c>
      <c r="AB17" s="471">
        <f t="shared" si="4"/>
        <v>0.98039215686274495</v>
      </c>
      <c r="AC17" s="471">
        <f t="shared" si="5"/>
        <v>0.98039215686274495</v>
      </c>
    </row>
    <row r="18" spans="1:29" ht="20.25">
      <c r="A18" s="264"/>
      <c r="B18" s="554"/>
      <c r="C18" s="555" t="s">
        <v>1018</v>
      </c>
      <c r="D18" s="268"/>
      <c r="E18" s="518" t="s">
        <v>1019</v>
      </c>
      <c r="F18" s="267"/>
      <c r="G18" s="517" t="s">
        <v>1019</v>
      </c>
      <c r="H18" s="269"/>
      <c r="I18" s="518" t="s">
        <v>1019</v>
      </c>
      <c r="J18" s="267"/>
      <c r="K18" s="2288"/>
      <c r="L18" s="402"/>
      <c r="M18" s="385"/>
      <c r="N18" s="385"/>
      <c r="O18" s="401"/>
      <c r="P18" s="3861"/>
      <c r="Q18" s="395"/>
      <c r="R18" s="465"/>
      <c r="S18" s="466"/>
      <c r="T18" s="465"/>
      <c r="U18" s="466"/>
      <c r="V18" s="465"/>
      <c r="W18" s="466"/>
      <c r="X18" s="460"/>
      <c r="Y18" s="3861"/>
      <c r="Z18" s="459"/>
      <c r="AA18" s="471">
        <v>1</v>
      </c>
      <c r="AB18" s="471">
        <v>1</v>
      </c>
      <c r="AC18" s="471">
        <v>1</v>
      </c>
    </row>
    <row r="19" spans="1:29" ht="20.25" hidden="1">
      <c r="A19" s="264"/>
      <c r="B19" s="556" t="s">
        <v>224</v>
      </c>
      <c r="C19" s="2335">
        <f>估价对象房地状况!C16</f>
        <v>0</v>
      </c>
      <c r="D19" s="280">
        <v>100</v>
      </c>
      <c r="E19" s="281"/>
      <c r="F19" s="269">
        <f>SUMIF(91:91,E20,92:92)-SUMIF(91:91,C20,92:92)+100</f>
        <v>100</v>
      </c>
      <c r="G19" s="279"/>
      <c r="H19" s="272">
        <f>SUMIF(91:91,G20,92:92)-SUMIF(91:91,C20,92:92)+100</f>
        <v>100</v>
      </c>
      <c r="I19" s="281"/>
      <c r="J19" s="272">
        <f>SUMIF(91:91,I20,92:92)-SUMIF(91:91,C20,92:92)+100</f>
        <v>100</v>
      </c>
      <c r="K19" s="2289"/>
      <c r="L19" s="402"/>
      <c r="M19" s="385"/>
      <c r="N19" s="385"/>
      <c r="O19" s="401"/>
      <c r="P19" s="3861"/>
      <c r="Q19" s="395" t="str">
        <f>B19</f>
        <v>商业繁华度</v>
      </c>
      <c r="R19" s="465" t="s">
        <v>1005</v>
      </c>
      <c r="S19" s="466">
        <f>F19</f>
        <v>100</v>
      </c>
      <c r="T19" s="465" t="s">
        <v>1005</v>
      </c>
      <c r="U19" s="466">
        <f>H19</f>
        <v>100</v>
      </c>
      <c r="V19" s="465" t="s">
        <v>1005</v>
      </c>
      <c r="W19" s="466">
        <f>J19</f>
        <v>100</v>
      </c>
      <c r="X19" s="460"/>
      <c r="Y19" s="3861"/>
      <c r="Z19" s="459" t="str">
        <f>Q19</f>
        <v>商业繁华度</v>
      </c>
      <c r="AA19" s="471">
        <f t="shared" si="3"/>
        <v>1</v>
      </c>
      <c r="AB19" s="471">
        <f t="shared" si="4"/>
        <v>1</v>
      </c>
      <c r="AC19" s="471">
        <f t="shared" si="5"/>
        <v>1</v>
      </c>
    </row>
    <row r="20" spans="1:29" ht="20.25" hidden="1">
      <c r="A20" s="264"/>
      <c r="B20" s="276"/>
      <c r="C20" s="558"/>
      <c r="D20" s="280"/>
      <c r="E20" s="516"/>
      <c r="F20" s="269"/>
      <c r="G20" s="515"/>
      <c r="H20" s="267"/>
      <c r="I20" s="516"/>
      <c r="J20" s="267"/>
      <c r="K20" s="2288"/>
      <c r="L20" s="402"/>
      <c r="M20" s="385"/>
      <c r="N20" s="385"/>
      <c r="O20" s="401"/>
      <c r="P20" s="3861"/>
      <c r="Q20" s="395"/>
      <c r="R20" s="465"/>
      <c r="S20" s="466"/>
      <c r="T20" s="465"/>
      <c r="U20" s="466"/>
      <c r="V20" s="465"/>
      <c r="W20" s="466"/>
      <c r="X20" s="460"/>
      <c r="Y20" s="3861"/>
      <c r="Z20" s="459"/>
      <c r="AA20" s="471">
        <v>1</v>
      </c>
      <c r="AB20" s="471">
        <v>1</v>
      </c>
      <c r="AC20" s="471">
        <v>1</v>
      </c>
    </row>
    <row r="21" spans="1:29" ht="20.25" hidden="1">
      <c r="A21" s="264"/>
      <c r="B21" s="556" t="s">
        <v>225</v>
      </c>
      <c r="C21" s="2335">
        <f>估价对象房地状况!C17</f>
        <v>0</v>
      </c>
      <c r="D21" s="274">
        <v>100</v>
      </c>
      <c r="E21" s="275"/>
      <c r="F21" s="272">
        <f>SUMIF(93:93,E22,94:94)-SUMIF(93:93,C22,94:94)+100</f>
        <v>100</v>
      </c>
      <c r="G21" s="273"/>
      <c r="H21" s="269">
        <f>SUMIF(93:93,G22,94:94)-SUMIF(93:93,C22,94:94)+100</f>
        <v>100</v>
      </c>
      <c r="I21" s="275"/>
      <c r="J21" s="269">
        <f>SUMIF(93:93,I22,94:94)-SUMIF(93:93,C22,94:94)+100</f>
        <v>100</v>
      </c>
      <c r="K21" s="2289"/>
      <c r="L21" s="402"/>
      <c r="M21" s="385"/>
      <c r="N21" s="385"/>
      <c r="O21" s="401"/>
      <c r="P21" s="3861"/>
      <c r="Q21" s="395" t="str">
        <f>B21</f>
        <v>办公集聚程度</v>
      </c>
      <c r="R21" s="465" t="s">
        <v>1005</v>
      </c>
      <c r="S21" s="466">
        <f>F21</f>
        <v>100</v>
      </c>
      <c r="T21" s="465" t="s">
        <v>1005</v>
      </c>
      <c r="U21" s="466">
        <f>H21</f>
        <v>100</v>
      </c>
      <c r="V21" s="465" t="s">
        <v>1005</v>
      </c>
      <c r="W21" s="466">
        <f>J21</f>
        <v>100</v>
      </c>
      <c r="X21" s="460"/>
      <c r="Y21" s="3861"/>
      <c r="Z21" s="459" t="str">
        <f>Q21</f>
        <v>办公集聚程度</v>
      </c>
      <c r="AA21" s="471">
        <f t="shared" si="3"/>
        <v>1</v>
      </c>
      <c r="AB21" s="471">
        <f t="shared" si="4"/>
        <v>1</v>
      </c>
      <c r="AC21" s="471">
        <f t="shared" si="5"/>
        <v>1</v>
      </c>
    </row>
    <row r="22" spans="1:29" ht="20.25" hidden="1">
      <c r="A22" s="264"/>
      <c r="B22" s="276"/>
      <c r="C22" s="555"/>
      <c r="D22" s="268"/>
      <c r="E22" s="518"/>
      <c r="F22" s="267"/>
      <c r="G22" s="517"/>
      <c r="H22" s="267"/>
      <c r="I22" s="518"/>
      <c r="J22" s="267"/>
      <c r="K22" s="2288"/>
      <c r="L22" s="402"/>
      <c r="M22" s="385"/>
      <c r="N22" s="385"/>
      <c r="O22" s="401"/>
      <c r="P22" s="3861"/>
      <c r="Q22" s="395"/>
      <c r="R22" s="465"/>
      <c r="S22" s="466"/>
      <c r="T22" s="465"/>
      <c r="U22" s="466"/>
      <c r="V22" s="465"/>
      <c r="W22" s="466"/>
      <c r="X22" s="460"/>
      <c r="Y22" s="3861"/>
      <c r="Z22" s="459"/>
      <c r="AA22" s="471">
        <v>1</v>
      </c>
      <c r="AB22" s="471">
        <v>1</v>
      </c>
      <c r="AC22" s="471">
        <v>1</v>
      </c>
    </row>
    <row r="23" spans="1:29" ht="99.75">
      <c r="A23" s="264"/>
      <c r="B23" s="556" t="s">
        <v>227</v>
      </c>
      <c r="C23" s="557" t="str">
        <f>估价对象房地状况!C18</f>
        <v>估价对象周边道路状况、公共交通通达情况970、980、郊80、密6路等、停车便捷程度，综合评价交通便捷度一般</v>
      </c>
      <c r="D23" s="280">
        <v>100</v>
      </c>
      <c r="E23" s="281"/>
      <c r="F23" s="272">
        <f>SUMIF(95:95,E24,96:96)-SUMIF(95:95,C24,96:96)+100</f>
        <v>100</v>
      </c>
      <c r="G23" s="279"/>
      <c r="H23" s="269">
        <f>SUMIF(95:95,G24,96:96)-SUMIF(95:95,C24,96:96)+100</f>
        <v>100</v>
      </c>
      <c r="I23" s="281"/>
      <c r="J23" s="269">
        <f>SUMIF(95:95,I24,96:96)-SUMIF(95:95,C24,96:96)+100</f>
        <v>100</v>
      </c>
      <c r="K23" s="2289">
        <v>2</v>
      </c>
      <c r="L23" s="402"/>
      <c r="M23" s="385"/>
      <c r="N23" s="385"/>
      <c r="O23" s="401"/>
      <c r="P23" s="3861"/>
      <c r="Q23" s="395" t="str">
        <f>B23</f>
        <v>交通便捷度</v>
      </c>
      <c r="R23" s="465" t="s">
        <v>1005</v>
      </c>
      <c r="S23" s="466">
        <f>F23</f>
        <v>100</v>
      </c>
      <c r="T23" s="465" t="s">
        <v>1005</v>
      </c>
      <c r="U23" s="466">
        <f>H23</f>
        <v>100</v>
      </c>
      <c r="V23" s="465" t="s">
        <v>1005</v>
      </c>
      <c r="W23" s="466">
        <f>J23</f>
        <v>100</v>
      </c>
      <c r="X23" s="460"/>
      <c r="Y23" s="3861"/>
      <c r="Z23" s="459" t="str">
        <f>Q23</f>
        <v>交通便捷度</v>
      </c>
      <c r="AA23" s="471">
        <f t="shared" si="3"/>
        <v>1</v>
      </c>
      <c r="AB23" s="471">
        <f t="shared" si="4"/>
        <v>1</v>
      </c>
      <c r="AC23" s="471">
        <f t="shared" si="5"/>
        <v>1</v>
      </c>
    </row>
    <row r="24" spans="1:29" ht="20.25">
      <c r="A24" s="264"/>
      <c r="B24" s="282"/>
      <c r="C24" s="555" t="s">
        <v>1018</v>
      </c>
      <c r="D24" s="268"/>
      <c r="E24" s="555" t="s">
        <v>1018</v>
      </c>
      <c r="F24" s="267"/>
      <c r="G24" s="555" t="s">
        <v>1018</v>
      </c>
      <c r="H24" s="267"/>
      <c r="I24" s="555" t="s">
        <v>1018</v>
      </c>
      <c r="J24" s="267"/>
      <c r="K24" s="2288"/>
      <c r="L24" s="402"/>
      <c r="M24" s="385"/>
      <c r="N24" s="385"/>
      <c r="O24" s="401"/>
      <c r="P24" s="3861"/>
      <c r="Q24" s="395"/>
      <c r="R24" s="465"/>
      <c r="S24" s="466"/>
      <c r="T24" s="465"/>
      <c r="U24" s="466"/>
      <c r="V24" s="465"/>
      <c r="W24" s="466"/>
      <c r="X24" s="460"/>
      <c r="Y24" s="3861"/>
      <c r="Z24" s="459"/>
      <c r="AA24" s="471">
        <v>1</v>
      </c>
      <c r="AB24" s="471">
        <v>1</v>
      </c>
      <c r="AC24" s="471">
        <v>1</v>
      </c>
    </row>
    <row r="25" spans="1:29" ht="27">
      <c r="A25" s="225"/>
      <c r="B25" s="2336" t="s">
        <v>228</v>
      </c>
      <c r="C25" s="557">
        <f>估价对象房地状况!C19</f>
        <v>0</v>
      </c>
      <c r="D25" s="280">
        <v>100</v>
      </c>
      <c r="E25" s="281"/>
      <c r="F25" s="272">
        <f>SUMIF(97:97,E26,98:98)-SUMIF(97:97,C26,98:98)+100</f>
        <v>100</v>
      </c>
      <c r="G25" s="279"/>
      <c r="H25" s="269">
        <f>SUMIF(97:97,G26,98:98)-SUMIF(97:97,C26,98:98)+100</f>
        <v>100</v>
      </c>
      <c r="I25" s="281"/>
      <c r="J25" s="269">
        <f>SUMIF(97:97,I26,98:98)-SUMIF(97:97,C26,98:98)+100</f>
        <v>100</v>
      </c>
      <c r="K25" s="2289">
        <v>1</v>
      </c>
      <c r="L25" s="402"/>
      <c r="M25" s="385"/>
      <c r="N25" s="385"/>
      <c r="O25" s="401"/>
      <c r="P25" s="3861"/>
      <c r="Q25" s="395" t="str">
        <f t="shared" ref="Q25:Q40" si="8">B25</f>
        <v>区域土地利用方向</v>
      </c>
      <c r="R25" s="465" t="s">
        <v>1005</v>
      </c>
      <c r="S25" s="466">
        <f>F25</f>
        <v>100</v>
      </c>
      <c r="T25" s="465" t="s">
        <v>1005</v>
      </c>
      <c r="U25" s="466">
        <f>H25</f>
        <v>100</v>
      </c>
      <c r="V25" s="465" t="s">
        <v>1005</v>
      </c>
      <c r="W25" s="466">
        <f>J25</f>
        <v>100</v>
      </c>
      <c r="X25" s="460"/>
      <c r="Y25" s="3861"/>
      <c r="Z25" s="459" t="str">
        <f>Q25</f>
        <v>区域土地利用方向</v>
      </c>
      <c r="AA25" s="471">
        <f t="shared" si="3"/>
        <v>1</v>
      </c>
      <c r="AB25" s="471">
        <f t="shared" si="4"/>
        <v>1</v>
      </c>
      <c r="AC25" s="471">
        <f t="shared" si="5"/>
        <v>1</v>
      </c>
    </row>
    <row r="26" spans="1:29" ht="20.25">
      <c r="A26" s="225"/>
      <c r="B26" s="2337"/>
      <c r="C26" s="555" t="s">
        <v>1019</v>
      </c>
      <c r="D26" s="268"/>
      <c r="E26" s="555" t="s">
        <v>1019</v>
      </c>
      <c r="F26" s="267"/>
      <c r="G26" s="555" t="s">
        <v>1019</v>
      </c>
      <c r="H26" s="267"/>
      <c r="I26" s="555" t="s">
        <v>1019</v>
      </c>
      <c r="J26" s="267"/>
      <c r="K26" s="2288"/>
      <c r="L26" s="402"/>
      <c r="M26" s="385"/>
      <c r="N26" s="385"/>
      <c r="O26" s="401"/>
      <c r="P26" s="3861"/>
      <c r="Q26" s="395"/>
      <c r="R26" s="465"/>
      <c r="S26" s="466"/>
      <c r="T26" s="465"/>
      <c r="U26" s="466"/>
      <c r="V26" s="465"/>
      <c r="W26" s="466"/>
      <c r="X26" s="460"/>
      <c r="Y26" s="3861"/>
      <c r="Z26" s="459"/>
      <c r="AA26" s="471"/>
      <c r="AB26" s="471"/>
      <c r="AC26" s="471"/>
    </row>
    <row r="27" spans="1:29" ht="57">
      <c r="A27" s="225"/>
      <c r="B27" s="282" t="s">
        <v>1020</v>
      </c>
      <c r="C27" s="233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100</v>
      </c>
      <c r="K27" s="2289">
        <v>2</v>
      </c>
      <c r="L27" s="402"/>
      <c r="M27" s="385"/>
      <c r="N27" s="385"/>
      <c r="O27" s="401"/>
      <c r="P27" s="3861"/>
      <c r="Q27" s="395" t="str">
        <f t="shared" si="8"/>
        <v>自然及人文环境状况</v>
      </c>
      <c r="R27" s="465" t="s">
        <v>1005</v>
      </c>
      <c r="S27" s="466">
        <f>F27</f>
        <v>102</v>
      </c>
      <c r="T27" s="465" t="s">
        <v>1005</v>
      </c>
      <c r="U27" s="466">
        <f>H27</f>
        <v>100</v>
      </c>
      <c r="V27" s="465" t="s">
        <v>1005</v>
      </c>
      <c r="W27" s="466">
        <f>J27</f>
        <v>100</v>
      </c>
      <c r="X27" s="460"/>
      <c r="Y27" s="3861"/>
      <c r="Z27" s="459" t="str">
        <f>Q27</f>
        <v>自然及人文环境状况</v>
      </c>
      <c r="AA27" s="471">
        <f t="shared" si="3"/>
        <v>0.98039215686274506</v>
      </c>
      <c r="AB27" s="471">
        <f t="shared" si="4"/>
        <v>1</v>
      </c>
      <c r="AC27" s="471">
        <f t="shared" si="5"/>
        <v>1</v>
      </c>
    </row>
    <row r="28" spans="1:29" ht="20.25">
      <c r="A28" s="225"/>
      <c r="B28" s="276"/>
      <c r="C28" s="555" t="s">
        <v>1018</v>
      </c>
      <c r="D28" s="268"/>
      <c r="E28" s="266" t="s">
        <v>1019</v>
      </c>
      <c r="F28" s="267"/>
      <c r="G28" s="555" t="s">
        <v>1018</v>
      </c>
      <c r="H28" s="267"/>
      <c r="I28" s="266" t="s">
        <v>1018</v>
      </c>
      <c r="J28" s="267"/>
      <c r="K28" s="2288"/>
      <c r="L28" s="402"/>
      <c r="M28" s="385"/>
      <c r="N28" s="385"/>
      <c r="O28" s="401"/>
      <c r="P28" s="3861"/>
      <c r="Q28" s="395"/>
      <c r="R28" s="465"/>
      <c r="S28" s="466"/>
      <c r="T28" s="465"/>
      <c r="U28" s="466"/>
      <c r="V28" s="465"/>
      <c r="W28" s="466"/>
      <c r="X28" s="460"/>
      <c r="Y28" s="3861"/>
      <c r="Z28" s="459"/>
      <c r="AA28" s="471">
        <v>1</v>
      </c>
      <c r="AB28" s="471">
        <v>1</v>
      </c>
      <c r="AC28" s="471">
        <v>1</v>
      </c>
    </row>
    <row r="29" spans="1:29" s="199" customFormat="1" ht="42.75">
      <c r="A29" s="600"/>
      <c r="B29" s="278" t="s">
        <v>229</v>
      </c>
      <c r="C29" s="557" t="str">
        <f>估价对象房地状况!C21</f>
        <v>估价对象所在区域公共配套设施齐备情况较差</v>
      </c>
      <c r="D29" s="280">
        <v>100</v>
      </c>
      <c r="E29" s="281"/>
      <c r="F29" s="269">
        <f>SUMIF(101:101,E30,102:102)-SUMIF(101:101,C30,102:102)+100</f>
        <v>102</v>
      </c>
      <c r="G29" s="279"/>
      <c r="H29" s="269">
        <f>SUMIF(101:101,G30,102:102)-SUMIF(101:101,C30,102:102)+100</f>
        <v>102</v>
      </c>
      <c r="I29" s="281"/>
      <c r="J29" s="269">
        <f>SUMIF(101:101,I30,102:102)-SUMIF(101:101,C30,102:102)+100</f>
        <v>102</v>
      </c>
      <c r="K29" s="2289">
        <v>2</v>
      </c>
      <c r="L29" s="392"/>
      <c r="M29" s="385"/>
      <c r="N29" s="385"/>
      <c r="O29" s="394"/>
      <c r="P29" s="3861"/>
      <c r="Q29" s="464" t="str">
        <f t="shared" si="8"/>
        <v>公共配套设施</v>
      </c>
      <c r="R29" s="461" t="s">
        <v>1005</v>
      </c>
      <c r="S29" s="462">
        <f>F29</f>
        <v>102</v>
      </c>
      <c r="T29" s="461" t="s">
        <v>1005</v>
      </c>
      <c r="U29" s="462">
        <f>H29</f>
        <v>102</v>
      </c>
      <c r="V29" s="461" t="s">
        <v>1005</v>
      </c>
      <c r="W29" s="462">
        <f>J29</f>
        <v>102</v>
      </c>
      <c r="X29" s="463"/>
      <c r="Y29" s="3861"/>
      <c r="Z29" s="481" t="str">
        <f>Q29</f>
        <v>公共配套设施</v>
      </c>
      <c r="AA29" s="471">
        <f>D29/F29</f>
        <v>0.98039215686274495</v>
      </c>
      <c r="AB29" s="471">
        <f>D29/H29</f>
        <v>0.98039215686274495</v>
      </c>
      <c r="AC29" s="471">
        <f>D29/J29</f>
        <v>0.98039215686274506</v>
      </c>
    </row>
    <row r="30" spans="1:29" s="199" customFormat="1" ht="20.25">
      <c r="A30" s="600"/>
      <c r="B30" s="276"/>
      <c r="C30" s="2230" t="s">
        <v>1021</v>
      </c>
      <c r="D30" s="268"/>
      <c r="E30" s="266" t="s">
        <v>1018</v>
      </c>
      <c r="F30" s="267"/>
      <c r="G30" s="555" t="s">
        <v>1018</v>
      </c>
      <c r="H30" s="267"/>
      <c r="I30" s="266" t="s">
        <v>1018</v>
      </c>
      <c r="J30" s="267"/>
      <c r="K30" s="2288"/>
      <c r="L30" s="392"/>
      <c r="M30" s="385"/>
      <c r="N30" s="385"/>
      <c r="O30" s="394"/>
      <c r="P30" s="3861"/>
      <c r="Q30" s="464"/>
      <c r="R30" s="461"/>
      <c r="S30" s="462"/>
      <c r="T30" s="461"/>
      <c r="U30" s="462"/>
      <c r="V30" s="461"/>
      <c r="W30" s="462"/>
      <c r="X30" s="463"/>
      <c r="Y30" s="3861"/>
      <c r="Z30" s="481"/>
      <c r="AA30" s="471">
        <v>1</v>
      </c>
      <c r="AB30" s="471">
        <v>1</v>
      </c>
      <c r="AC30" s="471">
        <v>1</v>
      </c>
    </row>
    <row r="31" spans="1:29" s="199" customFormat="1" ht="28.5">
      <c r="A31" s="600"/>
      <c r="B31" s="278" t="s">
        <v>230</v>
      </c>
      <c r="C31" s="55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9">
        <v>1</v>
      </c>
      <c r="L31" s="392"/>
      <c r="M31" s="385"/>
      <c r="N31" s="385"/>
      <c r="O31" s="394"/>
      <c r="P31" s="3861"/>
      <c r="Q31" s="464" t="str">
        <f>B31</f>
        <v>基础设施水平</v>
      </c>
      <c r="R31" s="461" t="s">
        <v>1005</v>
      </c>
      <c r="S31" s="462">
        <f>F31</f>
        <v>100</v>
      </c>
      <c r="T31" s="461" t="s">
        <v>1005</v>
      </c>
      <c r="U31" s="462">
        <f>H31</f>
        <v>100</v>
      </c>
      <c r="V31" s="461" t="s">
        <v>1005</v>
      </c>
      <c r="W31" s="462">
        <f>J31</f>
        <v>100</v>
      </c>
      <c r="X31" s="463"/>
      <c r="Y31" s="3861"/>
      <c r="Z31" s="481" t="str">
        <f>Q31</f>
        <v>基础设施水平</v>
      </c>
      <c r="AA31" s="471">
        <f>D31/F31</f>
        <v>1</v>
      </c>
      <c r="AB31" s="471">
        <f>D31/H31</f>
        <v>1</v>
      </c>
      <c r="AC31" s="471">
        <f>D31/J31</f>
        <v>1</v>
      </c>
    </row>
    <row r="32" spans="1:29" s="199" customFormat="1" ht="20.25">
      <c r="A32" s="600"/>
      <c r="B32" s="276"/>
      <c r="C32" s="2230" t="s">
        <v>245</v>
      </c>
      <c r="D32" s="268"/>
      <c r="E32" s="2230" t="s">
        <v>245</v>
      </c>
      <c r="F32" s="267"/>
      <c r="G32" s="2230" t="s">
        <v>245</v>
      </c>
      <c r="H32" s="267"/>
      <c r="I32" s="2230" t="s">
        <v>245</v>
      </c>
      <c r="J32" s="267"/>
      <c r="K32" s="2288"/>
      <c r="L32" s="392"/>
      <c r="M32" s="385"/>
      <c r="N32" s="385"/>
      <c r="O32" s="394"/>
      <c r="P32" s="3861"/>
      <c r="Q32" s="464"/>
      <c r="R32" s="461"/>
      <c r="S32" s="462"/>
      <c r="T32" s="461"/>
      <c r="U32" s="462"/>
      <c r="V32" s="461"/>
      <c r="W32" s="462"/>
      <c r="X32" s="463"/>
      <c r="Y32" s="3861"/>
      <c r="Z32" s="481"/>
      <c r="AA32" s="471">
        <v>1</v>
      </c>
      <c r="AB32" s="471">
        <v>1</v>
      </c>
      <c r="AC32" s="471">
        <v>1</v>
      </c>
    </row>
    <row r="33" spans="1:29" ht="20.25">
      <c r="A33" s="264"/>
      <c r="B33" s="276" t="s">
        <v>232</v>
      </c>
      <c r="C33" s="560" t="s">
        <v>1022</v>
      </c>
      <c r="D33" s="286">
        <v>100</v>
      </c>
      <c r="E33" s="560" t="s">
        <v>1022</v>
      </c>
      <c r="F33" s="256">
        <f>SUMIF(105:105,E33,106:106)-SUMIF(105:105,C33,106:106)+100</f>
        <v>100</v>
      </c>
      <c r="G33" s="560" t="s">
        <v>1022</v>
      </c>
      <c r="H33" s="256">
        <f>SUMIF(105:105,G33,106:106)-SUMIF(105:105,C33,106:106)+100</f>
        <v>100</v>
      </c>
      <c r="I33" s="560" t="s">
        <v>1023</v>
      </c>
      <c r="J33" s="256">
        <f>SUMIF(105:105,I33,106:106)-SUMIF(105:105,C33,106:106)+100</f>
        <v>102</v>
      </c>
      <c r="K33" s="2289">
        <v>2</v>
      </c>
      <c r="L33" s="402"/>
      <c r="M33" s="385"/>
      <c r="N33" s="385"/>
      <c r="O33" s="401"/>
      <c r="P33" s="3861"/>
      <c r="Q33" s="395" t="str">
        <f t="shared" si="8"/>
        <v>临街状况</v>
      </c>
      <c r="R33" s="465" t="s">
        <v>1005</v>
      </c>
      <c r="S33" s="466">
        <f t="shared" ref="S33:S47" si="9">F33</f>
        <v>100</v>
      </c>
      <c r="T33" s="465" t="s">
        <v>1005</v>
      </c>
      <c r="U33" s="466">
        <f t="shared" ref="U33:U47" si="10">H33</f>
        <v>100</v>
      </c>
      <c r="V33" s="465" t="s">
        <v>1005</v>
      </c>
      <c r="W33" s="466">
        <f t="shared" ref="W33:W47" si="11">J33</f>
        <v>102</v>
      </c>
      <c r="X33" s="460"/>
      <c r="Y33" s="3861"/>
      <c r="Z33" s="459" t="str">
        <f t="shared" ref="Z33:Z47" si="12">Q33</f>
        <v>临街状况</v>
      </c>
      <c r="AA33" s="471">
        <f t="shared" si="3"/>
        <v>1</v>
      </c>
      <c r="AB33" s="471">
        <f t="shared" si="4"/>
        <v>1</v>
      </c>
      <c r="AC33" s="471">
        <f t="shared" si="5"/>
        <v>0.98039215686274506</v>
      </c>
    </row>
    <row r="34" spans="1:29" ht="27">
      <c r="A34" s="264"/>
      <c r="B34" s="282" t="s">
        <v>1024</v>
      </c>
      <c r="C34" s="279"/>
      <c r="D34" s="280">
        <v>100</v>
      </c>
      <c r="E34" s="281"/>
      <c r="F34" s="269">
        <f>SUMIF(107:107,E35,108:108)-SUMIF(107:107,C35,108:108)+100</f>
        <v>99</v>
      </c>
      <c r="G34" s="279"/>
      <c r="H34" s="269">
        <f>SUMIF(107:107,G35,108:108)-SUMIF(107:107,C35,108:108)+100</f>
        <v>99</v>
      </c>
      <c r="I34" s="281"/>
      <c r="J34" s="269">
        <f>SUMIF(107:107,I35,108:108)-SUMIF(107:107,C35,108:108)+100</f>
        <v>99</v>
      </c>
      <c r="K34" s="2289">
        <v>1</v>
      </c>
      <c r="L34" s="402"/>
      <c r="M34" s="385"/>
      <c r="N34" s="385"/>
      <c r="O34" s="401"/>
      <c r="P34" s="3861"/>
      <c r="Q34" s="395" t="str">
        <f t="shared" si="8"/>
        <v>毗邻道路的类型与等级</v>
      </c>
      <c r="R34" s="465" t="s">
        <v>1005</v>
      </c>
      <c r="S34" s="466">
        <f t="shared" si="9"/>
        <v>99</v>
      </c>
      <c r="T34" s="465" t="s">
        <v>1005</v>
      </c>
      <c r="U34" s="466">
        <f t="shared" si="10"/>
        <v>99</v>
      </c>
      <c r="V34" s="465" t="s">
        <v>1005</v>
      </c>
      <c r="W34" s="466">
        <f t="shared" si="11"/>
        <v>99</v>
      </c>
      <c r="X34" s="460"/>
      <c r="Y34" s="3861"/>
      <c r="Z34" s="459" t="str">
        <f t="shared" si="12"/>
        <v>毗邻道路的类型与等级</v>
      </c>
      <c r="AA34" s="471">
        <f t="shared" si="3"/>
        <v>1.0101010101010102</v>
      </c>
      <c r="AB34" s="471">
        <f t="shared" si="4"/>
        <v>1.0101010101010102</v>
      </c>
      <c r="AC34" s="471">
        <f t="shared" si="5"/>
        <v>1.0101010101010102</v>
      </c>
    </row>
    <row r="35" spans="1:29" ht="20.25">
      <c r="A35" s="264"/>
      <c r="B35" s="276"/>
      <c r="C35" s="555" t="s">
        <v>1025</v>
      </c>
      <c r="D35" s="268"/>
      <c r="E35" s="266" t="s">
        <v>1026</v>
      </c>
      <c r="F35" s="267"/>
      <c r="G35" s="555" t="s">
        <v>1026</v>
      </c>
      <c r="H35" s="267"/>
      <c r="I35" s="266" t="s">
        <v>1026</v>
      </c>
      <c r="J35" s="267"/>
      <c r="K35" s="399"/>
      <c r="L35" s="402"/>
      <c r="M35" s="385"/>
      <c r="N35" s="385"/>
      <c r="O35" s="401"/>
      <c r="P35" s="3861"/>
      <c r="Q35" s="395"/>
      <c r="R35" s="465"/>
      <c r="S35" s="466"/>
      <c r="T35" s="465"/>
      <c r="U35" s="466"/>
      <c r="V35" s="465"/>
      <c r="W35" s="466"/>
      <c r="X35" s="460"/>
      <c r="Y35" s="3861"/>
      <c r="Z35" s="459"/>
      <c r="AA35" s="471">
        <v>1</v>
      </c>
      <c r="AB35" s="471">
        <v>1</v>
      </c>
      <c r="AC35" s="471">
        <v>1</v>
      </c>
    </row>
    <row r="36" spans="1:29" ht="20.25">
      <c r="A36" s="264"/>
      <c r="B36" s="606" t="s">
        <v>1027</v>
      </c>
      <c r="C36" s="560"/>
      <c r="D36" s="286">
        <v>100</v>
      </c>
      <c r="E36" s="285"/>
      <c r="F36" s="256">
        <f>SUMIF(109:109,E36,110:110)-SUMIF(109:109,C36,110:110)+100</f>
        <v>100</v>
      </c>
      <c r="G36" s="560"/>
      <c r="H36" s="256">
        <f>SUMIF(109:109,G36,110:110)-SUMIF(109:109,C36,110:110)+100</f>
        <v>100</v>
      </c>
      <c r="I36" s="285"/>
      <c r="J36" s="256">
        <f>SUMIF(109:109,I36,110:110)-SUMIF(109:109,C36,110:110)+100</f>
        <v>100</v>
      </c>
      <c r="K36" s="406"/>
      <c r="L36" s="402"/>
      <c r="M36" s="385"/>
      <c r="N36" s="385"/>
      <c r="O36" s="401"/>
      <c r="P36" s="3861"/>
      <c r="Q36" s="395" t="str">
        <f t="shared" si="8"/>
        <v>土地级别</v>
      </c>
      <c r="R36" s="465" t="s">
        <v>1005</v>
      </c>
      <c r="S36" s="466">
        <f t="shared" si="9"/>
        <v>100</v>
      </c>
      <c r="T36" s="465" t="s">
        <v>1005</v>
      </c>
      <c r="U36" s="466">
        <f t="shared" si="10"/>
        <v>100</v>
      </c>
      <c r="V36" s="465" t="s">
        <v>1005</v>
      </c>
      <c r="W36" s="466">
        <f t="shared" si="11"/>
        <v>100</v>
      </c>
      <c r="X36" s="460"/>
      <c r="Y36" s="3861"/>
      <c r="Z36" s="459" t="str">
        <f t="shared" si="12"/>
        <v>土地级别</v>
      </c>
      <c r="AA36" s="471">
        <f t="shared" si="3"/>
        <v>1</v>
      </c>
      <c r="AB36" s="471">
        <f t="shared" si="4"/>
        <v>1</v>
      </c>
      <c r="AC36" s="471">
        <f t="shared" si="5"/>
        <v>1</v>
      </c>
    </row>
    <row r="37" spans="1:29" ht="20.25">
      <c r="A37" s="225"/>
      <c r="B37" s="563">
        <v>111</v>
      </c>
      <c r="C37" s="918"/>
      <c r="D37" s="286">
        <v>100</v>
      </c>
      <c r="E37" s="2228"/>
      <c r="F37" s="256">
        <f>SUMIF(111:111,E37,112:112)-SUMIF(111:111,C37,112:112)+100</f>
        <v>100</v>
      </c>
      <c r="G37" s="918"/>
      <c r="H37" s="256">
        <f>SUMIF(111:111,G37,112:112)-SUMIF(111:111,C37,112:112)+100</f>
        <v>100</v>
      </c>
      <c r="I37" s="2228"/>
      <c r="J37" s="256">
        <f>SUMIF(111:111,I37,112:112)-SUMIF(111:111,C37,112:112)+100</f>
        <v>100</v>
      </c>
      <c r="K37" s="399"/>
      <c r="L37" s="402"/>
      <c r="M37" s="385"/>
      <c r="N37" s="385"/>
      <c r="O37" s="401"/>
      <c r="P37" s="3861"/>
      <c r="Q37" s="395">
        <f t="shared" si="8"/>
        <v>111</v>
      </c>
      <c r="R37" s="465" t="s">
        <v>1005</v>
      </c>
      <c r="S37" s="466">
        <f t="shared" si="9"/>
        <v>100</v>
      </c>
      <c r="T37" s="465" t="s">
        <v>1005</v>
      </c>
      <c r="U37" s="466">
        <f t="shared" si="10"/>
        <v>100</v>
      </c>
      <c r="V37" s="465" t="s">
        <v>1005</v>
      </c>
      <c r="W37" s="466">
        <f t="shared" si="11"/>
        <v>100</v>
      </c>
      <c r="X37" s="460"/>
      <c r="Y37" s="3861"/>
      <c r="Z37" s="459">
        <f t="shared" si="12"/>
        <v>111</v>
      </c>
      <c r="AA37" s="471">
        <f t="shared" si="3"/>
        <v>1</v>
      </c>
      <c r="AB37" s="471">
        <f t="shared" si="4"/>
        <v>1</v>
      </c>
      <c r="AC37" s="471">
        <f t="shared" si="5"/>
        <v>1</v>
      </c>
    </row>
    <row r="38" spans="1:29" ht="20.25">
      <c r="A38" s="2233"/>
      <c r="B38" s="2338">
        <v>111</v>
      </c>
      <c r="C38" s="918"/>
      <c r="D38" s="286">
        <v>100</v>
      </c>
      <c r="E38" s="2228"/>
      <c r="F38" s="256">
        <f>SUMIF(113:113,E39,114:114)-SUMIF(113:113,C39,114:114)+100</f>
        <v>100</v>
      </c>
      <c r="G38" s="918"/>
      <c r="H38" s="256">
        <f>SUMIF(113:113,G38,114:114)-SUMIF(113:113,C38,114:114)+100</f>
        <v>100</v>
      </c>
      <c r="I38" s="2228"/>
      <c r="J38" s="256">
        <f>SUMIF(113:113,I38,114:114)-SUMIF(113:113,C38,114:114)+100</f>
        <v>100</v>
      </c>
      <c r="K38" s="399"/>
      <c r="L38" s="402"/>
      <c r="M38" s="385"/>
      <c r="N38" s="385"/>
      <c r="O38" s="401"/>
      <c r="P38" s="3862" t="s">
        <v>1028</v>
      </c>
      <c r="Q38" s="395">
        <f t="shared" si="8"/>
        <v>111</v>
      </c>
      <c r="R38" s="465" t="s">
        <v>1005</v>
      </c>
      <c r="S38" s="466">
        <f t="shared" si="9"/>
        <v>100</v>
      </c>
      <c r="T38" s="465" t="s">
        <v>1005</v>
      </c>
      <c r="U38" s="466">
        <f t="shared" si="10"/>
        <v>100</v>
      </c>
      <c r="V38" s="465" t="s">
        <v>1005</v>
      </c>
      <c r="W38" s="466">
        <f t="shared" si="11"/>
        <v>100</v>
      </c>
      <c r="X38" s="460"/>
      <c r="Y38" s="3863" t="s">
        <v>1028</v>
      </c>
      <c r="Z38" s="459">
        <f t="shared" si="12"/>
        <v>111</v>
      </c>
      <c r="AA38" s="471">
        <f t="shared" si="3"/>
        <v>1</v>
      </c>
      <c r="AB38" s="471">
        <f t="shared" si="4"/>
        <v>1</v>
      </c>
      <c r="AC38" s="471">
        <f t="shared" si="5"/>
        <v>1</v>
      </c>
    </row>
    <row r="39" spans="1:29" s="201" customFormat="1" ht="20.25">
      <c r="A39" s="2235"/>
      <c r="B39" s="2339">
        <v>111</v>
      </c>
      <c r="C39" s="2340"/>
      <c r="D39" s="2341">
        <v>100</v>
      </c>
      <c r="E39" s="2237"/>
      <c r="F39" s="309">
        <f>SUMIF(115:115,E39,116:116)-SUMIF(115:115,C39,116:116)+100</f>
        <v>100</v>
      </c>
      <c r="G39" s="2239"/>
      <c r="H39" s="309">
        <f>SUMIF(115:115,G39,116:116)-SUMIF(115:115,C39,116:116)+100</f>
        <v>100</v>
      </c>
      <c r="I39" s="2237"/>
      <c r="J39" s="309">
        <f>SUMIF(115:115,I39,116:116)-SUMIF(115:115,C39,116:116)+100</f>
        <v>100</v>
      </c>
      <c r="K39" s="399"/>
      <c r="L39" s="400"/>
      <c r="M39" s="385"/>
      <c r="N39" s="385"/>
      <c r="O39" s="408"/>
      <c r="P39" s="3863"/>
      <c r="Q39" s="395">
        <f t="shared" si="8"/>
        <v>111</v>
      </c>
      <c r="R39" s="468" t="s">
        <v>1005</v>
      </c>
      <c r="S39" s="469">
        <f t="shared" si="9"/>
        <v>100</v>
      </c>
      <c r="T39" s="468" t="s">
        <v>1005</v>
      </c>
      <c r="U39" s="469">
        <f t="shared" si="10"/>
        <v>100</v>
      </c>
      <c r="V39" s="468" t="s">
        <v>1005</v>
      </c>
      <c r="W39" s="469">
        <f t="shared" si="11"/>
        <v>100</v>
      </c>
      <c r="X39" s="470"/>
      <c r="Y39" s="3863"/>
      <c r="Z39" s="482">
        <f t="shared" si="12"/>
        <v>111</v>
      </c>
      <c r="AA39" s="471">
        <f t="shared" si="3"/>
        <v>1</v>
      </c>
      <c r="AB39" s="471">
        <f t="shared" si="4"/>
        <v>1</v>
      </c>
      <c r="AC39" s="471">
        <f t="shared" si="5"/>
        <v>1</v>
      </c>
    </row>
    <row r="40" spans="1:29" ht="20.25">
      <c r="A40" s="292" t="s">
        <v>1029</v>
      </c>
      <c r="B40" s="284" t="s">
        <v>1030</v>
      </c>
      <c r="C40" s="2240">
        <f>'数据-基础表'!A3</f>
        <v>55570.2</v>
      </c>
      <c r="D40" s="295">
        <v>100</v>
      </c>
      <c r="E40" s="2240">
        <f>土地案例!I13</f>
        <v>25569.01</v>
      </c>
      <c r="F40" s="295">
        <f>LOOKUP(E40,118:118,119:119)-LOOKUP(C40,118:118,119:119)+100</f>
        <v>98</v>
      </c>
      <c r="G40" s="2240">
        <f>土地案例!E7</f>
        <v>103325.51</v>
      </c>
      <c r="H40" s="295">
        <f>LOOKUP(G40,118:118,119:119)-LOOKUP(C40,118:118,119:119)+100</f>
        <v>98</v>
      </c>
      <c r="I40" s="363">
        <f>土地案例!E8</f>
        <v>58351.58</v>
      </c>
      <c r="J40" s="295">
        <f>LOOKUP(I40,118:118,119:119)-LOOKUP(C40,118:118,119:119)+100</f>
        <v>100</v>
      </c>
      <c r="K40" s="399"/>
      <c r="L40" s="402"/>
      <c r="M40" s="385"/>
      <c r="N40" s="385"/>
      <c r="O40" s="401"/>
      <c r="P40" s="3863"/>
      <c r="Q40" s="395" t="str">
        <f t="shared" si="8"/>
        <v>宗地面积</v>
      </c>
      <c r="R40" s="465" t="s">
        <v>1005</v>
      </c>
      <c r="S40" s="466">
        <f t="shared" si="9"/>
        <v>98</v>
      </c>
      <c r="T40" s="465" t="s">
        <v>1005</v>
      </c>
      <c r="U40" s="466">
        <f t="shared" si="10"/>
        <v>98</v>
      </c>
      <c r="V40" s="465" t="s">
        <v>1005</v>
      </c>
      <c r="W40" s="466">
        <f t="shared" si="11"/>
        <v>100</v>
      </c>
      <c r="X40" s="460"/>
      <c r="Y40" s="3863"/>
      <c r="Z40" s="459" t="str">
        <f t="shared" si="12"/>
        <v>宗地面积</v>
      </c>
      <c r="AA40" s="471">
        <f t="shared" si="3"/>
        <v>1.0204081632653061</v>
      </c>
      <c r="AB40" s="471">
        <f t="shared" si="4"/>
        <v>1.0204081632653061</v>
      </c>
      <c r="AC40" s="471">
        <f t="shared" si="5"/>
        <v>1</v>
      </c>
    </row>
    <row r="41" spans="1:29" ht="20.25">
      <c r="A41" s="302"/>
      <c r="B41" s="298" t="s">
        <v>1031</v>
      </c>
      <c r="C41" s="566" t="s">
        <v>1032</v>
      </c>
      <c r="D41" s="256">
        <v>100</v>
      </c>
      <c r="E41" s="566" t="s">
        <v>1032</v>
      </c>
      <c r="F41" s="256">
        <f>SUMIF(120:120,E41,121:121)-SUMIF(120:120,C41,121:121)+100</f>
        <v>100</v>
      </c>
      <c r="G41" s="566" t="s">
        <v>1032</v>
      </c>
      <c r="H41" s="256">
        <f>SUMIF(120:120,G41,121:121)-SUMIF(120:120,C41,121:121)+100</f>
        <v>100</v>
      </c>
      <c r="I41" s="566" t="s">
        <v>1032</v>
      </c>
      <c r="J41" s="256">
        <f>SUMIF(120:120,I41,121:121)-SUMIF(120:120,C41,121:121)+100</f>
        <v>100</v>
      </c>
      <c r="K41" s="406">
        <v>2</v>
      </c>
      <c r="L41" s="402"/>
      <c r="M41" s="385"/>
      <c r="N41" s="385"/>
      <c r="O41" s="401"/>
      <c r="P41" s="3863"/>
      <c r="Q41" s="395" t="str">
        <f t="shared" ref="Q41:Q47" si="13">B41</f>
        <v>宗地形状</v>
      </c>
      <c r="R41" s="465" t="s">
        <v>1005</v>
      </c>
      <c r="S41" s="466">
        <f t="shared" si="9"/>
        <v>100</v>
      </c>
      <c r="T41" s="465" t="s">
        <v>1005</v>
      </c>
      <c r="U41" s="466">
        <f t="shared" si="10"/>
        <v>100</v>
      </c>
      <c r="V41" s="465" t="s">
        <v>1005</v>
      </c>
      <c r="W41" s="466">
        <f t="shared" si="11"/>
        <v>100</v>
      </c>
      <c r="X41" s="460"/>
      <c r="Y41" s="3863"/>
      <c r="Z41" s="459" t="str">
        <f t="shared" si="12"/>
        <v>宗地形状</v>
      </c>
      <c r="AA41" s="471">
        <f t="shared" si="3"/>
        <v>1</v>
      </c>
      <c r="AB41" s="471">
        <f t="shared" si="4"/>
        <v>1</v>
      </c>
      <c r="AC41" s="471">
        <f t="shared" si="5"/>
        <v>1</v>
      </c>
    </row>
    <row r="42" spans="1:29" ht="20.25">
      <c r="A42" s="302"/>
      <c r="B42" s="298" t="s">
        <v>1033</v>
      </c>
      <c r="C42" s="566" t="s">
        <v>2699</v>
      </c>
      <c r="D42" s="256">
        <v>100</v>
      </c>
      <c r="E42" s="566" t="s">
        <v>2699</v>
      </c>
      <c r="F42" s="256">
        <f>SUMIF(122:122,E42,123:123)-SUMIF(122:122,C42,123:123)+100</f>
        <v>100</v>
      </c>
      <c r="G42" s="566" t="s">
        <v>2699</v>
      </c>
      <c r="H42" s="256">
        <f>SUMIF(122:122,G42,123:123)-SUMIF(122:122,C42,123:123)+100</f>
        <v>100</v>
      </c>
      <c r="I42" s="566" t="s">
        <v>2699</v>
      </c>
      <c r="J42" s="256">
        <f>SUMIF(122:122,I42,123:123)-SUMIF(122:122,C42,123:123)+100</f>
        <v>100</v>
      </c>
      <c r="K42" s="406">
        <v>2</v>
      </c>
      <c r="L42" s="402"/>
      <c r="M42" s="385"/>
      <c r="N42" s="385"/>
      <c r="O42" s="401"/>
      <c r="P42" s="3863"/>
      <c r="Q42" s="395" t="str">
        <f t="shared" si="13"/>
        <v>临街宽度及深度</v>
      </c>
      <c r="R42" s="465" t="s">
        <v>1005</v>
      </c>
      <c r="S42" s="466">
        <f t="shared" si="9"/>
        <v>100</v>
      </c>
      <c r="T42" s="465" t="s">
        <v>1005</v>
      </c>
      <c r="U42" s="466">
        <f t="shared" si="10"/>
        <v>100</v>
      </c>
      <c r="V42" s="465" t="s">
        <v>1005</v>
      </c>
      <c r="W42" s="466">
        <f t="shared" si="11"/>
        <v>100</v>
      </c>
      <c r="X42" s="460"/>
      <c r="Y42" s="3863"/>
      <c r="Z42" s="459" t="str">
        <f t="shared" si="12"/>
        <v>临街宽度及深度</v>
      </c>
      <c r="AA42" s="471">
        <f t="shared" si="3"/>
        <v>1</v>
      </c>
      <c r="AB42" s="471">
        <f t="shared" si="4"/>
        <v>1</v>
      </c>
      <c r="AC42" s="471">
        <f t="shared" si="5"/>
        <v>1</v>
      </c>
    </row>
    <row r="43" spans="1:29" s="199" customFormat="1" ht="20.25">
      <c r="A43" s="305"/>
      <c r="B43" s="525" t="s">
        <v>1034</v>
      </c>
      <c r="C43" s="2241" t="s">
        <v>257</v>
      </c>
      <c r="D43" s="246">
        <v>100</v>
      </c>
      <c r="E43" s="2241" t="s">
        <v>268</v>
      </c>
      <c r="F43" s="256">
        <f>SUMIF(124:124,E43,125:125)-SUMIF(124:124,C43,125:125)+100</f>
        <v>99</v>
      </c>
      <c r="G43" s="2241" t="s">
        <v>268</v>
      </c>
      <c r="H43" s="256">
        <f>SUMIF(124:124,G43,125:125)-SUMIF(124:124,C43,125:125)+100</f>
        <v>99</v>
      </c>
      <c r="I43" s="2241" t="s">
        <v>268</v>
      </c>
      <c r="J43" s="256">
        <f>SUMIF(124:124,I43,125:125)-SUMIF(124:124,C43,125:125)+100</f>
        <v>99</v>
      </c>
      <c r="K43" s="406">
        <v>1</v>
      </c>
      <c r="L43" s="392"/>
      <c r="M43" s="385"/>
      <c r="N43" s="385"/>
      <c r="O43" s="394"/>
      <c r="P43" s="3863"/>
      <c r="Q43" s="395" t="str">
        <f t="shared" si="13"/>
        <v>宗地开发程度</v>
      </c>
      <c r="R43" s="461" t="s">
        <v>1005</v>
      </c>
      <c r="S43" s="462">
        <f t="shared" si="9"/>
        <v>99</v>
      </c>
      <c r="T43" s="461" t="s">
        <v>1005</v>
      </c>
      <c r="U43" s="462">
        <f t="shared" si="10"/>
        <v>99</v>
      </c>
      <c r="V43" s="461" t="s">
        <v>1005</v>
      </c>
      <c r="W43" s="462">
        <f t="shared" si="11"/>
        <v>99</v>
      </c>
      <c r="X43" s="463"/>
      <c r="Y43" s="3863"/>
      <c r="Z43" s="481" t="str">
        <f t="shared" si="12"/>
        <v>宗地开发程度</v>
      </c>
      <c r="AA43" s="480">
        <f t="shared" si="3"/>
        <v>1.0101010101010099</v>
      </c>
      <c r="AB43" s="480">
        <f t="shared" si="4"/>
        <v>1.0101010101010099</v>
      </c>
      <c r="AC43" s="480">
        <f t="shared" si="5"/>
        <v>1.0101010101010099</v>
      </c>
    </row>
    <row r="44" spans="1:29" ht="20.25">
      <c r="A44" s="302"/>
      <c r="B44" s="298" t="s">
        <v>1035</v>
      </c>
      <c r="C44" s="566" t="s">
        <v>1019</v>
      </c>
      <c r="D44" s="256">
        <v>100</v>
      </c>
      <c r="E44" s="566" t="s">
        <v>1019</v>
      </c>
      <c r="F44" s="256">
        <f>SUMIF(126:126,E44,127:127)-SUMIF(126:126,C44,127:127)+100</f>
        <v>100</v>
      </c>
      <c r="G44" s="566" t="s">
        <v>1019</v>
      </c>
      <c r="H44" s="256">
        <f>SUMIF(126:126,G44,127:127)-SUMIF(126:126,C44,127:127)+100</f>
        <v>100</v>
      </c>
      <c r="I44" s="566" t="s">
        <v>1019</v>
      </c>
      <c r="J44" s="256">
        <f>SUMIF(126:126,I44,127:127)-SUMIF(126:126,C44,127:127)+100</f>
        <v>100</v>
      </c>
      <c r="K44" s="406">
        <v>2</v>
      </c>
      <c r="L44" s="402"/>
      <c r="M44" s="385"/>
      <c r="N44" s="385"/>
      <c r="O44" s="401"/>
      <c r="P44" s="3863" t="s">
        <v>1028</v>
      </c>
      <c r="Q44" s="395" t="str">
        <f t="shared" si="13"/>
        <v>工程地质条件</v>
      </c>
      <c r="R44" s="465" t="s">
        <v>1005</v>
      </c>
      <c r="S44" s="466">
        <f t="shared" si="9"/>
        <v>100</v>
      </c>
      <c r="T44" s="465" t="s">
        <v>1005</v>
      </c>
      <c r="U44" s="466">
        <f t="shared" si="10"/>
        <v>100</v>
      </c>
      <c r="V44" s="465" t="s">
        <v>1005</v>
      </c>
      <c r="W44" s="466">
        <f t="shared" si="11"/>
        <v>100</v>
      </c>
      <c r="X44" s="460"/>
      <c r="Y44" s="3863" t="s">
        <v>1028</v>
      </c>
      <c r="Z44" s="459" t="str">
        <f t="shared" si="12"/>
        <v>工程地质条件</v>
      </c>
      <c r="AA44" s="471">
        <f t="shared" si="3"/>
        <v>1</v>
      </c>
      <c r="AB44" s="471">
        <f t="shared" si="4"/>
        <v>1</v>
      </c>
      <c r="AC44" s="471">
        <f t="shared" si="5"/>
        <v>1</v>
      </c>
    </row>
    <row r="45" spans="1:29" ht="20.25">
      <c r="A45" s="302"/>
      <c r="B45" s="2234">
        <v>111</v>
      </c>
      <c r="C45" s="2228"/>
      <c r="D45" s="256">
        <v>100</v>
      </c>
      <c r="E45" s="2228"/>
      <c r="F45" s="256">
        <f>SUMIF(128:128,E45,129:129)-SUMIF(128:128,C45,129:129)+100</f>
        <v>100</v>
      </c>
      <c r="G45" s="2228"/>
      <c r="H45" s="256">
        <f>SUMIF(128:128,G45,129:129)-SUMIF(128:128,C45,129:129)+100</f>
        <v>100</v>
      </c>
      <c r="I45" s="371"/>
      <c r="J45" s="256">
        <f>SUMIF(128:128,I45,129:129)-SUMIF(128:128,C45,129:129)+100</f>
        <v>100</v>
      </c>
      <c r="K45" s="399"/>
      <c r="L45" s="402"/>
      <c r="M45" s="385"/>
      <c r="N45" s="385"/>
      <c r="O45" s="401"/>
      <c r="P45" s="3863"/>
      <c r="Q45" s="395">
        <f t="shared" si="13"/>
        <v>111</v>
      </c>
      <c r="R45" s="465" t="s">
        <v>1005</v>
      </c>
      <c r="S45" s="466">
        <f t="shared" si="9"/>
        <v>100</v>
      </c>
      <c r="T45" s="465" t="s">
        <v>1005</v>
      </c>
      <c r="U45" s="466">
        <f t="shared" si="10"/>
        <v>100</v>
      </c>
      <c r="V45" s="465" t="s">
        <v>1005</v>
      </c>
      <c r="W45" s="466">
        <f t="shared" si="11"/>
        <v>100</v>
      </c>
      <c r="X45" s="460"/>
      <c r="Y45" s="3863"/>
      <c r="Z45" s="459">
        <f t="shared" si="12"/>
        <v>111</v>
      </c>
      <c r="AA45" s="471">
        <f t="shared" si="3"/>
        <v>1</v>
      </c>
      <c r="AB45" s="471">
        <f t="shared" si="4"/>
        <v>1</v>
      </c>
      <c r="AC45" s="471">
        <f t="shared" si="5"/>
        <v>1</v>
      </c>
    </row>
    <row r="46" spans="1:29" ht="20.25">
      <c r="A46" s="302"/>
      <c r="B46" s="2234">
        <v>111</v>
      </c>
      <c r="C46" s="2228"/>
      <c r="D46" s="256">
        <v>100</v>
      </c>
      <c r="E46" s="2228"/>
      <c r="F46" s="256">
        <f>SUMIF(130:130,E46,131:131)-SUMIF(130:130,C46,131:131)+100</f>
        <v>100</v>
      </c>
      <c r="G46" s="2228"/>
      <c r="H46" s="256">
        <f>SUMIF(130:130,G46,131:131)-SUMIF(130:130,C46,131:131)+100</f>
        <v>100</v>
      </c>
      <c r="I46" s="371"/>
      <c r="J46" s="256">
        <f>SUMIF(130:130,I46,131:131)-SUMIF(130:130,C46,131:131)+100</f>
        <v>100</v>
      </c>
      <c r="K46" s="399"/>
      <c r="L46" s="402"/>
      <c r="M46" s="385"/>
      <c r="N46" s="385"/>
      <c r="O46" s="401"/>
      <c r="P46" s="3863"/>
      <c r="Q46" s="395">
        <f t="shared" si="13"/>
        <v>111</v>
      </c>
      <c r="R46" s="465" t="s">
        <v>1005</v>
      </c>
      <c r="S46" s="466">
        <f t="shared" si="9"/>
        <v>100</v>
      </c>
      <c r="T46" s="465" t="s">
        <v>1005</v>
      </c>
      <c r="U46" s="466">
        <f t="shared" si="10"/>
        <v>100</v>
      </c>
      <c r="V46" s="465" t="s">
        <v>1005</v>
      </c>
      <c r="W46" s="466">
        <f t="shared" si="11"/>
        <v>100</v>
      </c>
      <c r="X46" s="460"/>
      <c r="Y46" s="3863"/>
      <c r="Z46" s="459">
        <f t="shared" si="12"/>
        <v>111</v>
      </c>
      <c r="AA46" s="471">
        <f t="shared" si="3"/>
        <v>1</v>
      </c>
      <c r="AB46" s="471">
        <f t="shared" si="4"/>
        <v>1</v>
      </c>
      <c r="AC46" s="471">
        <f t="shared" si="5"/>
        <v>1</v>
      </c>
    </row>
    <row r="47" spans="1:29" s="201" customFormat="1" ht="20.25">
      <c r="A47" s="297"/>
      <c r="B47" s="2234">
        <v>111</v>
      </c>
      <c r="C47" s="2242"/>
      <c r="D47" s="2342">
        <v>100</v>
      </c>
      <c r="E47" s="2228"/>
      <c r="F47" s="309">
        <f>SUMIF(132:132,E47,133:133)-SUMIF(132:132,C47,133:133)+100</f>
        <v>100</v>
      </c>
      <c r="G47" s="2228"/>
      <c r="H47" s="309">
        <f>SUMIF(132:132,G47,133:133)-SUMIF(132:132,C47,133:133)+100</f>
        <v>100</v>
      </c>
      <c r="I47" s="2228"/>
      <c r="J47" s="309">
        <f>SUMIF(132:132,I47,133:133)-SUMIF(132:132,C47,133:133)+100</f>
        <v>100</v>
      </c>
      <c r="K47" s="2292"/>
      <c r="L47" s="400"/>
      <c r="M47" s="385"/>
      <c r="N47" s="385"/>
      <c r="O47" s="408"/>
      <c r="P47" s="3863"/>
      <c r="Q47" s="395">
        <f t="shared" si="13"/>
        <v>111</v>
      </c>
      <c r="R47" s="468" t="s">
        <v>1005</v>
      </c>
      <c r="S47" s="469">
        <f t="shared" si="9"/>
        <v>100</v>
      </c>
      <c r="T47" s="468" t="s">
        <v>1005</v>
      </c>
      <c r="U47" s="469">
        <f t="shared" si="10"/>
        <v>100</v>
      </c>
      <c r="V47" s="468" t="s">
        <v>1005</v>
      </c>
      <c r="W47" s="469">
        <f t="shared" si="11"/>
        <v>100</v>
      </c>
      <c r="X47" s="470"/>
      <c r="Y47" s="3863"/>
      <c r="Z47" s="482">
        <f t="shared" si="12"/>
        <v>111</v>
      </c>
      <c r="AA47" s="471">
        <f t="shared" si="3"/>
        <v>1</v>
      </c>
      <c r="AB47" s="471">
        <f t="shared" si="4"/>
        <v>1</v>
      </c>
      <c r="AC47" s="471">
        <f t="shared" si="5"/>
        <v>1</v>
      </c>
    </row>
    <row r="48" spans="1:29" ht="20.25">
      <c r="A48" s="312" t="s">
        <v>1036</v>
      </c>
      <c r="B48" s="2243" t="s">
        <v>943</v>
      </c>
      <c r="C48" s="2244" t="s">
        <v>138</v>
      </c>
      <c r="D48" s="2245"/>
      <c r="E48" s="2246">
        <f>土地案例!AS13</f>
        <v>12711</v>
      </c>
      <c r="F48" s="2247"/>
      <c r="G48" s="2248">
        <f>土地案例!U7</f>
        <v>10339</v>
      </c>
      <c r="H48" s="2249"/>
      <c r="I48" s="2246">
        <f>土地案例!U8</f>
        <v>14893</v>
      </c>
      <c r="J48" s="2249"/>
      <c r="K48" s="2293"/>
      <c r="L48" s="410"/>
      <c r="M48" s="385"/>
      <c r="N48" s="385"/>
      <c r="O48" s="340"/>
      <c r="P48" s="3858" t="str">
        <f>A48</f>
        <v>成交单价</v>
      </c>
      <c r="Q48" s="3858"/>
      <c r="R48" s="3859">
        <f>E48</f>
        <v>12711</v>
      </c>
      <c r="S48" s="3859"/>
      <c r="T48" s="3859">
        <f>G48</f>
        <v>10339</v>
      </c>
      <c r="U48" s="3859"/>
      <c r="V48" s="3859">
        <f>I48</f>
        <v>14893</v>
      </c>
      <c r="W48" s="3859"/>
      <c r="X48" s="342"/>
      <c r="Y48" s="483"/>
      <c r="Z48" s="342"/>
      <c r="AA48" s="342"/>
      <c r="AB48" s="342"/>
      <c r="AC48" s="342"/>
    </row>
    <row r="49" spans="1:29" ht="20.25">
      <c r="A49" s="320" t="s">
        <v>1037</v>
      </c>
      <c r="B49" s="2250"/>
      <c r="C49" s="2251">
        <f>R50</f>
        <v>12348</v>
      </c>
      <c r="D49" s="323" t="s">
        <v>1038</v>
      </c>
      <c r="E49" s="2251">
        <f>R49</f>
        <v>12384</v>
      </c>
      <c r="F49" s="325">
        <v>0</v>
      </c>
      <c r="G49" s="2252">
        <f>T49</f>
        <v>10601</v>
      </c>
      <c r="H49" s="325">
        <v>0</v>
      </c>
      <c r="I49" s="2251">
        <f>V49</f>
        <v>14059</v>
      </c>
      <c r="J49" s="325">
        <v>0</v>
      </c>
      <c r="K49" s="2294">
        <f>F49+H49+J49</f>
        <v>0</v>
      </c>
      <c r="L49" s="410"/>
      <c r="M49" s="385"/>
      <c r="N49" s="385"/>
      <c r="O49" s="340"/>
      <c r="P49" s="3858" t="str">
        <f>A49</f>
        <v>比较价格（元/平方米）</v>
      </c>
      <c r="Q49" s="3858"/>
      <c r="R49" s="3883">
        <f>ROUND(PRODUCT(R48,AA9:AA47),0)</f>
        <v>12384</v>
      </c>
      <c r="S49" s="3883"/>
      <c r="T49" s="3883">
        <f>ROUND(PRODUCT(T48,AB9:AB47),0)</f>
        <v>10601</v>
      </c>
      <c r="U49" s="3883"/>
      <c r="V49" s="3883">
        <f>ROUND(PRODUCT(V48,AC9:AC47),0)</f>
        <v>14059</v>
      </c>
      <c r="W49" s="3883"/>
      <c r="X49" s="342"/>
      <c r="Y49" s="342"/>
      <c r="Z49" s="342"/>
      <c r="AA49" s="342"/>
      <c r="AB49" s="342"/>
      <c r="AC49" s="342"/>
    </row>
    <row r="50" spans="1:29" ht="20.25">
      <c r="A50" s="326" t="s">
        <v>1039</v>
      </c>
      <c r="B50" s="327"/>
      <c r="C50" s="2253">
        <f>R50</f>
        <v>12348</v>
      </c>
      <c r="D50" s="2253"/>
      <c r="E50" s="2253"/>
      <c r="F50" s="2253"/>
      <c r="G50" s="2253"/>
      <c r="H50" s="2253"/>
      <c r="I50" s="2253"/>
      <c r="J50" s="2253"/>
      <c r="K50" s="2295"/>
      <c r="L50" s="410"/>
      <c r="M50" s="385"/>
      <c r="N50" s="385"/>
      <c r="O50" s="340"/>
      <c r="P50" s="3884" t="str">
        <f>A50</f>
        <v>估价对象XX用房的比较价格（楼面单价，元/平方米）</v>
      </c>
      <c r="Q50" s="3885"/>
      <c r="R50" s="3886">
        <f>ROUND(IF(D49="简单平均",AVERAGE(R49:W49),R49*F49+T49*H49+V49*J49),0)</f>
        <v>12348</v>
      </c>
      <c r="S50" s="3886"/>
      <c r="T50" s="3886"/>
      <c r="U50" s="3886"/>
      <c r="V50" s="3886"/>
      <c r="W50" s="3886"/>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1040</v>
      </c>
      <c r="D53" s="332"/>
      <c r="E53" s="333">
        <f>IF(E48&lt;E49,E49/E48-1,E48/E49-1)</f>
        <v>2.6405038759689914E-2</v>
      </c>
      <c r="F53" s="334" t="str">
        <f>IF(OR(E53&gt;=0.3,E53&lt;=-0.3),"超过30%","")</f>
        <v/>
      </c>
      <c r="G53" s="333">
        <f>IF(G48&lt;G49,G49/G48-1,G48/G49-1)</f>
        <v>2.534094206402937E-2</v>
      </c>
      <c r="H53" s="334" t="str">
        <f>IF(OR(G53&gt;=0.3,G53&lt;=-0.3),"超过30%","")</f>
        <v/>
      </c>
      <c r="I53" s="333">
        <f>IF(I48&lt;I49,I49/I48-1,I48/I49-1)</f>
        <v>5.9321431111743372E-2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1041</v>
      </c>
      <c r="D54" s="335"/>
      <c r="E54" s="333">
        <f>IF(E49&lt;G49,G49/E49-1,E49/G49-1)</f>
        <v>0.16819168003018592</v>
      </c>
      <c r="F54" s="334" t="str">
        <f>IF(OR(E54&gt;=0.2,E54&lt;=-0.2),"超过20%","")</f>
        <v/>
      </c>
      <c r="G54" s="333">
        <f>IF(G49&lt;I49,I49/G49-1,G49/I49-1)</f>
        <v>0.3261956419205736</v>
      </c>
      <c r="H54" s="334" t="str">
        <f>IF(OR(G54&gt;=0.2,G54&lt;=-0.2),"超过20%","")</f>
        <v>超过20%</v>
      </c>
      <c r="I54" s="333">
        <f>IF(I49&lt;E49,E49/I49-1,I49/E49-1)</f>
        <v>0.13525516795865644</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f>IF(E48&lt;G48,G48/E48-1,E48/G48-1)</f>
        <v>0.2294225747170906</v>
      </c>
      <c r="F55" s="334" t="str">
        <f>IF(OR(E55&gt;=0.3,E55&lt;=-0.3),"超过30%","")</f>
        <v/>
      </c>
      <c r="G55" s="333">
        <f>IF(G48&lt;I48,I48/G48-1,G48/I48-1)</f>
        <v>0.44046813038011401</v>
      </c>
      <c r="H55" s="334" t="str">
        <f>IF(OR(G55&gt;=0.3,G55&lt;=-0.3),"超过30%","")</f>
        <v>超过30%</v>
      </c>
      <c r="I55" s="333">
        <f>IF(I48&lt;E48,E48/I48-1,I48/E48-1)</f>
        <v>0.17166233970576661</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5" t="s">
        <v>1043</v>
      </c>
      <c r="B57" s="2256" t="s">
        <v>1044</v>
      </c>
      <c r="C57" s="2257" t="s">
        <v>1045</v>
      </c>
      <c r="D57" s="2258" t="s">
        <v>1046</v>
      </c>
      <c r="E57" s="2259" t="s">
        <v>1047</v>
      </c>
      <c r="F57" s="2343" t="s">
        <v>1048</v>
      </c>
      <c r="G57" s="3864" t="s">
        <v>1049</v>
      </c>
      <c r="H57" s="3865"/>
      <c r="I57" s="2297" t="s">
        <v>425</v>
      </c>
      <c r="J57" s="2297">
        <f>项目基本情况!F41</f>
        <v>0</v>
      </c>
      <c r="K57" s="2298" t="s">
        <v>1050</v>
      </c>
      <c r="L57" s="415"/>
      <c r="M57" s="340"/>
      <c r="N57" s="340"/>
      <c r="O57" s="340"/>
      <c r="P57" s="340"/>
      <c r="Q57" s="340"/>
      <c r="R57" s="340"/>
      <c r="S57" s="340"/>
      <c r="T57" s="340"/>
      <c r="U57" s="340"/>
      <c r="V57" s="340"/>
      <c r="W57" s="340"/>
      <c r="X57" s="340"/>
      <c r="Y57" s="340"/>
      <c r="Z57" s="340"/>
      <c r="AA57" s="340"/>
      <c r="AB57" s="340"/>
      <c r="AC57" s="340"/>
    </row>
    <row r="58" spans="1:29" s="2219" customFormat="1" ht="12.75">
      <c r="A58" s="2261" t="s">
        <v>1051</v>
      </c>
      <c r="B58" s="2262">
        <f>C50</f>
        <v>12348</v>
      </c>
      <c r="C58" s="2263">
        <v>1</v>
      </c>
      <c r="D58" s="2264">
        <v>1</v>
      </c>
      <c r="E58" s="2263">
        <f>'数据-汇总表'!E8+'数据-汇总表'!E9</f>
        <v>119289.25</v>
      </c>
      <c r="F58" s="2344">
        <f t="shared" ref="F58:F66" si="14">ROUND(B58*E58/10000,0)</f>
        <v>147298</v>
      </c>
      <c r="G58" s="3866"/>
      <c r="H58" s="3867"/>
      <c r="I58" s="2300">
        <v>1</v>
      </c>
      <c r="J58" s="2300">
        <v>1</v>
      </c>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1052</v>
      </c>
      <c r="B59" s="2267">
        <f>ROUND($C$50*C59*D59,0)</f>
        <v>1544</v>
      </c>
      <c r="C59" s="1999">
        <f t="shared" ref="C59:C66" si="15">IF($C$57="北京市系数",I59,J59)</f>
        <v>0.5</v>
      </c>
      <c r="D59" s="2268">
        <v>0.25</v>
      </c>
      <c r="E59" s="2269">
        <v>501</v>
      </c>
      <c r="F59" s="2344">
        <f t="shared" si="14"/>
        <v>77</v>
      </c>
      <c r="G59" s="2345" t="s">
        <v>1053</v>
      </c>
      <c r="H59" s="2346" t="str">
        <f>项目基本情况!B43</f>
        <v>十级</v>
      </c>
      <c r="I59" s="2300">
        <f>SUMIF(修正!$A$57:$A$68,H59,修正!B57:B68)</f>
        <v>0.5</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1054</v>
      </c>
      <c r="B60" s="2267">
        <f t="shared" ref="B60:B66" si="16">ROUND($C$50*C60*D60,0)</f>
        <v>617</v>
      </c>
      <c r="C60" s="1999">
        <f t="shared" si="15"/>
        <v>0.2</v>
      </c>
      <c r="D60" s="2268">
        <v>0.25</v>
      </c>
      <c r="E60" s="2269">
        <v>0</v>
      </c>
      <c r="F60" s="2344">
        <f t="shared" si="14"/>
        <v>0</v>
      </c>
      <c r="G60" s="2347"/>
      <c r="H60" s="2346" t="str">
        <f>项目基本情况!B43</f>
        <v>十级</v>
      </c>
      <c r="I60" s="2300">
        <f>SUMIF(修正!$A$57:$A$68,H60,修正!C57:C68)</f>
        <v>0.2</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1055</v>
      </c>
      <c r="B61" s="2267">
        <f t="shared" si="16"/>
        <v>617</v>
      </c>
      <c r="C61" s="1999">
        <f t="shared" si="15"/>
        <v>0.2</v>
      </c>
      <c r="D61" s="2268">
        <v>0.25</v>
      </c>
      <c r="E61" s="2269">
        <v>0</v>
      </c>
      <c r="F61" s="2344">
        <f t="shared" si="14"/>
        <v>0</v>
      </c>
      <c r="G61" s="2347"/>
      <c r="H61" s="2346" t="str">
        <f>项目基本情况!B43</f>
        <v>十级</v>
      </c>
      <c r="I61" s="2300">
        <f>SUMIF(修正!$A$57:$A$68,H61,修正!D57:D68)</f>
        <v>0.2</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74" t="s">
        <v>561</v>
      </c>
      <c r="B62" s="2267">
        <f t="shared" si="16"/>
        <v>617</v>
      </c>
      <c r="C62" s="1999">
        <f t="shared" si="15"/>
        <v>0.2</v>
      </c>
      <c r="D62" s="2268">
        <v>0.25</v>
      </c>
      <c r="E62" s="2275">
        <f>'数据-汇总表'!E11</f>
        <v>58.24</v>
      </c>
      <c r="F62" s="2344">
        <f t="shared" si="14"/>
        <v>4</v>
      </c>
      <c r="G62" s="2348" t="s">
        <v>1056</v>
      </c>
      <c r="H62" s="2346" t="str">
        <f>项目基本情况!C43</f>
        <v>十级</v>
      </c>
      <c r="I62" s="2300">
        <f>SUMIF(修正!$A$57:$A$68,H62,修正!E57:E68)</f>
        <v>0.2</v>
      </c>
      <c r="J62" s="2303"/>
      <c r="K62" s="2301"/>
      <c r="L62" s="2302"/>
      <c r="M62" s="2302"/>
      <c r="N62" s="2302"/>
      <c r="O62" s="2302"/>
      <c r="P62" s="2302"/>
      <c r="Q62" s="2302"/>
      <c r="R62" s="2302"/>
      <c r="S62" s="2302"/>
      <c r="T62" s="2302"/>
      <c r="U62" s="2302"/>
      <c r="V62" s="2302"/>
      <c r="W62" s="2302"/>
      <c r="X62" s="2302"/>
      <c r="Y62" s="2302"/>
      <c r="Z62" s="2302"/>
      <c r="AA62" s="2302"/>
      <c r="AB62" s="2302"/>
      <c r="AC62" s="2302"/>
    </row>
    <row r="63" spans="1:29" s="2219" customFormat="1" ht="12.75">
      <c r="A63" s="2266" t="s">
        <v>1057</v>
      </c>
      <c r="B63" s="2267">
        <f t="shared" si="16"/>
        <v>617</v>
      </c>
      <c r="C63" s="1999">
        <f t="shared" si="15"/>
        <v>0.2</v>
      </c>
      <c r="D63" s="2268">
        <v>0.25</v>
      </c>
      <c r="E63" s="2275">
        <f>'数据-汇总表'!E12</f>
        <v>0</v>
      </c>
      <c r="F63" s="2344">
        <f t="shared" si="14"/>
        <v>0</v>
      </c>
      <c r="G63" s="2277" t="s">
        <v>402</v>
      </c>
      <c r="H63" s="2349" t="str">
        <f>IF(G63="商业",项目基本情况!B43,IF(G63="办公",项目基本情况!C43,IF(G63="住宅",项目基本情况!D43,项目基本情况!E43)))</f>
        <v>十级</v>
      </c>
      <c r="I63" s="2300">
        <f>SUMIF(修正!$A$57:$A$68,H63,修正!F57:F68)</f>
        <v>0.2</v>
      </c>
      <c r="J63" s="2303"/>
      <c r="K63" s="2301"/>
      <c r="L63" s="2302"/>
      <c r="M63" s="2302"/>
      <c r="N63" s="2302"/>
      <c r="O63" s="2302"/>
      <c r="P63" s="2302"/>
      <c r="Q63" s="2302"/>
      <c r="R63" s="2302"/>
      <c r="S63" s="2302"/>
      <c r="T63" s="2302"/>
      <c r="U63" s="2302"/>
      <c r="V63" s="2302"/>
      <c r="W63" s="2302"/>
      <c r="X63" s="2302"/>
      <c r="Y63" s="2302"/>
      <c r="Z63" s="2302"/>
      <c r="AA63" s="2302"/>
      <c r="AB63" s="2302"/>
      <c r="AC63" s="2302"/>
    </row>
    <row r="64" spans="1:29" s="2219" customFormat="1" ht="12.75">
      <c r="A64" s="2266" t="s">
        <v>1058</v>
      </c>
      <c r="B64" s="2267">
        <f t="shared" si="16"/>
        <v>309</v>
      </c>
      <c r="C64" s="1999">
        <f t="shared" si="15"/>
        <v>0.1</v>
      </c>
      <c r="D64" s="2268">
        <v>0.25</v>
      </c>
      <c r="E64" s="2275">
        <f>'数据-汇总表'!E13</f>
        <v>46502.98</v>
      </c>
      <c r="F64" s="2344">
        <f t="shared" si="14"/>
        <v>1437</v>
      </c>
      <c r="G64" s="2277" t="s">
        <v>402</v>
      </c>
      <c r="H64" s="2349" t="str">
        <f>IF(G64="商业",项目基本情况!B43,IF(G64="办公",项目基本情况!C43,IF(G64="住宅",项目基本情况!D43,项目基本情况!E43)))</f>
        <v>十级</v>
      </c>
      <c r="I64" s="2300">
        <f>SUMIF(修正!$A$57:$A$68,H64,修正!G57:G68)</f>
        <v>0.1</v>
      </c>
      <c r="J64" s="2303"/>
      <c r="K64" s="2301"/>
      <c r="L64" s="2302"/>
      <c r="M64" s="2302"/>
      <c r="N64" s="2302"/>
      <c r="O64" s="2302"/>
      <c r="P64" s="2302"/>
      <c r="Q64" s="2302"/>
      <c r="R64" s="2302"/>
      <c r="S64" s="2302"/>
      <c r="T64" s="2302"/>
      <c r="U64" s="2302"/>
      <c r="V64" s="2302"/>
      <c r="W64" s="2302"/>
      <c r="X64" s="2302"/>
      <c r="Y64" s="2302"/>
      <c r="Z64" s="2302"/>
      <c r="AA64" s="2302"/>
      <c r="AB64" s="2302"/>
      <c r="AC64" s="2302"/>
    </row>
    <row r="65" spans="1:29" s="2219" customFormat="1" ht="12.75">
      <c r="A65" s="2266" t="s">
        <v>1059</v>
      </c>
      <c r="B65" s="2267">
        <f t="shared" si="16"/>
        <v>309</v>
      </c>
      <c r="C65" s="1999">
        <f t="shared" si="15"/>
        <v>0.1</v>
      </c>
      <c r="D65" s="2268">
        <v>0.25</v>
      </c>
      <c r="E65" s="2275">
        <f>'数据-汇总表'!E14</f>
        <v>0</v>
      </c>
      <c r="F65" s="2344">
        <f t="shared" si="14"/>
        <v>0</v>
      </c>
      <c r="G65" s="2348" t="s">
        <v>1053</v>
      </c>
      <c r="H65" s="2346" t="str">
        <f>项目基本情况!B43</f>
        <v>十级</v>
      </c>
      <c r="I65" s="2300">
        <f>SUMIF(修正!$A$57:$A$68,H65,修正!G57:G68)</f>
        <v>0.1</v>
      </c>
      <c r="J65" s="2303"/>
      <c r="K65" s="2301"/>
      <c r="L65" s="2302"/>
      <c r="M65" s="2302"/>
      <c r="N65" s="2302"/>
      <c r="O65" s="2302"/>
      <c r="P65" s="2302"/>
      <c r="Q65" s="2302"/>
      <c r="R65" s="2302"/>
      <c r="S65" s="2302"/>
      <c r="T65" s="2302"/>
      <c r="U65" s="2302"/>
      <c r="V65" s="2302"/>
      <c r="W65" s="2302"/>
      <c r="X65" s="2302"/>
      <c r="Y65" s="2302"/>
      <c r="Z65" s="2302"/>
      <c r="AA65" s="2302"/>
      <c r="AB65" s="2302"/>
      <c r="AC65" s="2302"/>
    </row>
    <row r="66" spans="1:29" s="2219" customFormat="1" ht="12.75">
      <c r="A66" s="2266" t="s">
        <v>1060</v>
      </c>
      <c r="B66" s="2267">
        <f t="shared" si="16"/>
        <v>309</v>
      </c>
      <c r="C66" s="1999">
        <f t="shared" si="15"/>
        <v>0.1</v>
      </c>
      <c r="D66" s="2268">
        <v>0.25</v>
      </c>
      <c r="E66" s="2275">
        <f>'数据-汇总表'!E15</f>
        <v>0</v>
      </c>
      <c r="F66" s="2344">
        <f t="shared" si="14"/>
        <v>0</v>
      </c>
      <c r="G66" s="2351" t="s">
        <v>1056</v>
      </c>
      <c r="H66" s="2352" t="str">
        <f>项目基本情况!C43</f>
        <v>十级</v>
      </c>
      <c r="I66" s="2300">
        <f>SUMIF(修正!$A$57:$A$68,H66,修正!G57:G68)</f>
        <v>0.1</v>
      </c>
      <c r="J66" s="2303"/>
      <c r="K66" s="2301"/>
      <c r="L66" s="2302"/>
      <c r="M66" s="2302"/>
      <c r="N66" s="2302"/>
      <c r="O66" s="2302"/>
      <c r="P66" s="2302"/>
      <c r="Q66" s="2302"/>
      <c r="R66" s="2302"/>
      <c r="S66" s="2302"/>
      <c r="T66" s="2302"/>
      <c r="U66" s="2302"/>
      <c r="V66" s="2302"/>
      <c r="W66" s="2302"/>
      <c r="X66" s="2302"/>
      <c r="Y66" s="2302"/>
      <c r="Z66" s="2302"/>
      <c r="AA66" s="2302"/>
      <c r="AB66" s="2302"/>
      <c r="AC66" s="2302"/>
    </row>
    <row r="67" spans="1:29" s="2219" customFormat="1" ht="12.75">
      <c r="A67" s="2280" t="s">
        <v>1061</v>
      </c>
      <c r="B67" s="2281" t="s">
        <v>1062</v>
      </c>
      <c r="C67" s="2281" t="s">
        <v>1062</v>
      </c>
      <c r="D67" s="2281" t="s">
        <v>1062</v>
      </c>
      <c r="E67" s="2281">
        <f>IF(B48="楼面地价",SUM(E58:E66),'数据-汇总表'!D3)</f>
        <v>166351.47</v>
      </c>
      <c r="F67" s="2282">
        <f>IF(B48="楼面地价",SUM(F58:F66),ROUND(C50*E67/10000,0))</f>
        <v>148816</v>
      </c>
      <c r="G67" s="2283"/>
      <c r="H67" s="2283"/>
      <c r="I67" s="2283"/>
      <c r="J67" s="2283"/>
      <c r="K67" s="2283"/>
      <c r="L67" s="2302"/>
      <c r="M67" s="2302"/>
      <c r="N67" s="2302"/>
      <c r="O67" s="2302"/>
      <c r="P67" s="2302"/>
      <c r="Q67" s="2302"/>
      <c r="R67" s="2302"/>
      <c r="S67" s="2302"/>
      <c r="T67" s="2302"/>
      <c r="U67" s="2302"/>
      <c r="V67" s="2302"/>
      <c r="W67" s="2302"/>
      <c r="X67" s="2302"/>
      <c r="Y67" s="2302"/>
      <c r="Z67" s="2302"/>
      <c r="AA67" s="2302"/>
      <c r="AB67" s="2302"/>
      <c r="AC67" s="230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5" t="str">
        <f>YEAR(C9)&amp;"-"&amp;MONTH(C9)&amp;"-1"</f>
        <v>2023-12-1</v>
      </c>
      <c r="D69" s="2285">
        <f>EDATE(C69,-3)</f>
        <v>45170</v>
      </c>
      <c r="E69" s="2285">
        <f t="shared" ref="E69:N69" si="17">EDATE(D69,-3)</f>
        <v>45078</v>
      </c>
      <c r="F69" s="2285">
        <f t="shared" si="17"/>
        <v>44986</v>
      </c>
      <c r="G69" s="2285">
        <f t="shared" si="17"/>
        <v>44896</v>
      </c>
      <c r="H69" s="2285">
        <f t="shared" si="17"/>
        <v>44805</v>
      </c>
      <c r="I69" s="2285">
        <f t="shared" si="17"/>
        <v>44713</v>
      </c>
      <c r="J69" s="2285">
        <f t="shared" si="17"/>
        <v>44621</v>
      </c>
      <c r="K69" s="2285">
        <f t="shared" si="17"/>
        <v>44531</v>
      </c>
      <c r="L69" s="2285">
        <f t="shared" si="17"/>
        <v>44440</v>
      </c>
      <c r="M69" s="2285">
        <f t="shared" si="17"/>
        <v>44348</v>
      </c>
      <c r="N69" s="2285">
        <f t="shared" si="17"/>
        <v>44256</v>
      </c>
      <c r="O69" s="340"/>
      <c r="P69" s="340"/>
      <c r="Q69" s="340"/>
      <c r="R69" s="340"/>
      <c r="S69" s="340"/>
      <c r="T69" s="340"/>
      <c r="U69" s="340"/>
      <c r="V69" s="340"/>
      <c r="W69" s="340"/>
      <c r="X69" s="340"/>
      <c r="Y69" s="340"/>
      <c r="Z69" s="340"/>
      <c r="AA69" s="340"/>
      <c r="AB69" s="340"/>
      <c r="AC69" s="340"/>
    </row>
    <row r="70" spans="1:29" ht="21">
      <c r="A70" s="341" t="s">
        <v>1063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5" t="s">
        <v>1064</v>
      </c>
      <c r="B71" s="2353"/>
      <c r="C71" s="2306" t="str">
        <f>YEAR(C69)&amp;"-"&amp;ROUNDUP(MONTH(C69)/3,0)</f>
        <v>2023-4</v>
      </c>
      <c r="D71" s="2306" t="str">
        <f>YEAR(D69)&amp;"-"&amp;ROUNDUP(MONTH(D69)/3,0)</f>
        <v>2023-3</v>
      </c>
      <c r="E71" s="2306" t="str">
        <f t="shared" ref="E71:N71" si="18">YEAR(E69)&amp;"-"&amp;ROUNDUP(MONTH(E69)/3,0)</f>
        <v>2023-2</v>
      </c>
      <c r="F71" s="2306" t="str">
        <f t="shared" si="18"/>
        <v>2023-1</v>
      </c>
      <c r="G71" s="2306" t="str">
        <f t="shared" si="18"/>
        <v>2022-4</v>
      </c>
      <c r="H71" s="2306" t="str">
        <f t="shared" si="18"/>
        <v>2022-3</v>
      </c>
      <c r="I71" s="2306" t="str">
        <f t="shared" si="18"/>
        <v>2022-2</v>
      </c>
      <c r="J71" s="2306" t="str">
        <f t="shared" si="18"/>
        <v>2022-1</v>
      </c>
      <c r="K71" s="2306" t="str">
        <f t="shared" si="18"/>
        <v>2021-4</v>
      </c>
      <c r="L71" s="2306" t="str">
        <f t="shared" si="18"/>
        <v>2021-3</v>
      </c>
      <c r="M71" s="2306" t="str">
        <f t="shared" si="18"/>
        <v>2021-2</v>
      </c>
      <c r="N71" s="2306" t="str">
        <f t="shared" si="18"/>
        <v>2021-1</v>
      </c>
      <c r="O71" s="2313"/>
      <c r="P71" s="423"/>
      <c r="Q71" s="472"/>
      <c r="R71" s="472"/>
      <c r="S71" s="472"/>
      <c r="T71" s="472"/>
      <c r="U71" s="472"/>
      <c r="V71" s="472"/>
      <c r="W71" s="472"/>
      <c r="X71" s="472"/>
      <c r="Y71" s="472"/>
      <c r="Z71" s="472"/>
      <c r="AA71" s="472"/>
      <c r="AB71" s="472"/>
      <c r="AC71" s="472"/>
    </row>
    <row r="72" spans="1:29" s="199" customFormat="1" ht="27" customHeight="1">
      <c r="A72" s="2354" t="s">
        <v>1065</v>
      </c>
      <c r="B72" s="1070" t="str">
        <f>"北京市平均增长率"&amp;TEXT(SUMIF(基准地价!N25:N29,A72,基准地价!P25:P29),"0.00%")</f>
        <v>北京市平均增长率0.00%</v>
      </c>
      <c r="C72" s="488">
        <v>100</v>
      </c>
      <c r="D72" s="491">
        <f>C72-$C$73</f>
        <v>99.7</v>
      </c>
      <c r="E72" s="491">
        <f t="shared" ref="E72:N72" si="19">D72-$C$73</f>
        <v>99.4</v>
      </c>
      <c r="F72" s="491">
        <f t="shared" si="19"/>
        <v>99.100000000000009</v>
      </c>
      <c r="G72" s="491">
        <f t="shared" si="19"/>
        <v>98.800000000000011</v>
      </c>
      <c r="H72" s="491">
        <f t="shared" si="19"/>
        <v>98.500000000000014</v>
      </c>
      <c r="I72" s="491">
        <f t="shared" si="19"/>
        <v>98.200000000000017</v>
      </c>
      <c r="J72" s="491">
        <f t="shared" si="19"/>
        <v>97.90000000000002</v>
      </c>
      <c r="K72" s="491">
        <f t="shared" si="19"/>
        <v>97.600000000000023</v>
      </c>
      <c r="L72" s="491">
        <f t="shared" si="19"/>
        <v>97.300000000000026</v>
      </c>
      <c r="M72" s="491">
        <f t="shared" si="19"/>
        <v>97.000000000000028</v>
      </c>
      <c r="N72" s="491">
        <f t="shared" si="19"/>
        <v>96.700000000000031</v>
      </c>
      <c r="O72" s="431"/>
      <c r="P72" s="426"/>
      <c r="Q72" s="473"/>
      <c r="R72" s="473"/>
      <c r="S72" s="473"/>
      <c r="T72" s="473"/>
      <c r="U72" s="473"/>
      <c r="V72" s="473"/>
      <c r="W72" s="473"/>
      <c r="X72" s="473"/>
      <c r="Y72" s="473"/>
      <c r="Z72" s="473"/>
      <c r="AA72" s="473"/>
      <c r="AB72" s="473"/>
      <c r="AC72" s="473"/>
    </row>
    <row r="73" spans="1:29" s="199" customFormat="1" ht="15" customHeight="1">
      <c r="A73" s="2355" t="s">
        <v>1066</v>
      </c>
      <c r="B73" s="2356"/>
      <c r="C73" s="3645">
        <v>0.3</v>
      </c>
      <c r="D73" s="2309"/>
      <c r="E73" s="2309"/>
      <c r="F73" s="2309"/>
      <c r="G73" s="2309"/>
      <c r="H73" s="2309"/>
      <c r="I73" s="2309"/>
      <c r="J73" s="2309"/>
      <c r="K73" s="2309"/>
      <c r="L73" s="2309"/>
      <c r="M73" s="2309"/>
      <c r="N73" s="2309"/>
      <c r="O73" s="431"/>
      <c r="P73" s="426"/>
      <c r="Q73" s="426"/>
      <c r="R73" s="473"/>
      <c r="S73" s="473"/>
      <c r="T73" s="473"/>
      <c r="U73" s="473"/>
      <c r="V73" s="473"/>
      <c r="W73" s="473"/>
      <c r="X73" s="473"/>
      <c r="Y73" s="473"/>
      <c r="Z73" s="473"/>
      <c r="AA73" s="473"/>
      <c r="AB73" s="473"/>
      <c r="AC73" s="473"/>
    </row>
    <row r="74" spans="1:29" s="199" customFormat="1" ht="15">
      <c r="A74" s="357" t="s">
        <v>1006</v>
      </c>
      <c r="B74" s="350"/>
      <c r="C74" s="358" t="s">
        <v>1007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1067</v>
      </c>
      <c r="B76" s="361" t="s">
        <v>1068</v>
      </c>
      <c r="C76" s="2357" t="s">
        <v>402</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1069</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1070</v>
      </c>
      <c r="C80" s="526" t="str">
        <f>C81&amp;"（含）"&amp;"-"&amp;D81</f>
        <v>0（含）-1</v>
      </c>
      <c r="D80" s="526" t="str">
        <f t="shared" ref="D80:L80" si="20">D81&amp;"（含）"&amp;"-"&amp;E81</f>
        <v>1（含）-2</v>
      </c>
      <c r="E80" s="526" t="str">
        <f t="shared" si="20"/>
        <v>2（含）-3</v>
      </c>
      <c r="F80" s="526" t="str">
        <f t="shared" si="20"/>
        <v>3（含）-4</v>
      </c>
      <c r="G80" s="526" t="str">
        <f t="shared" si="20"/>
        <v>4（含）-</v>
      </c>
      <c r="H80" s="526" t="str">
        <f t="shared" si="20"/>
        <v>（含）-</v>
      </c>
      <c r="I80" s="526" t="str">
        <f t="shared" si="20"/>
        <v>（含）-</v>
      </c>
      <c r="J80" s="526" t="str">
        <f t="shared" si="20"/>
        <v>（含）-</v>
      </c>
      <c r="K80" s="526" t="str">
        <f t="shared" si="20"/>
        <v>（含）-</v>
      </c>
      <c r="L80" s="526"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27"/>
      <c r="C81" s="371">
        <v>0</v>
      </c>
      <c r="D81" s="371">
        <v>1</v>
      </c>
      <c r="E81" s="371">
        <v>2</v>
      </c>
      <c r="F81" s="371">
        <v>3</v>
      </c>
      <c r="G81" s="371">
        <v>4</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99</v>
      </c>
      <c r="E82" s="378">
        <f t="shared" si="21"/>
        <v>98</v>
      </c>
      <c r="F82" s="378">
        <f t="shared" si="21"/>
        <v>97</v>
      </c>
      <c r="G82" s="378">
        <f t="shared" si="21"/>
        <v>96</v>
      </c>
      <c r="H82" s="378">
        <f t="shared" si="21"/>
        <v>95</v>
      </c>
      <c r="I82" s="378">
        <f t="shared" si="21"/>
        <v>94</v>
      </c>
      <c r="J82" s="378">
        <f t="shared" si="21"/>
        <v>93</v>
      </c>
      <c r="K82" s="378">
        <f t="shared" si="21"/>
        <v>92</v>
      </c>
      <c r="L82" s="378">
        <f t="shared" si="21"/>
        <v>91</v>
      </c>
      <c r="M82" s="378">
        <f t="shared" si="21"/>
        <v>90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11"/>
      <c r="E83" s="235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限价</v>
      </c>
      <c r="C85" s="2358" t="s">
        <v>2704</v>
      </c>
      <c r="D85" s="2358" t="s">
        <v>2706</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105</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28"/>
      <c r="I87" s="528"/>
      <c r="J87" s="528"/>
      <c r="K87" s="528"/>
      <c r="L87" s="537"/>
      <c r="M87" s="538"/>
      <c r="N87" s="448"/>
      <c r="O87" s="448"/>
      <c r="P87" s="539"/>
      <c r="Q87" s="474"/>
      <c r="R87" s="475"/>
      <c r="S87" s="475"/>
      <c r="T87" s="475"/>
      <c r="U87" s="475"/>
      <c r="V87" s="475"/>
      <c r="W87" s="475"/>
      <c r="X87" s="475"/>
      <c r="Y87" s="475"/>
      <c r="Z87" s="475"/>
      <c r="AA87" s="475"/>
      <c r="AB87" s="475"/>
      <c r="AC87" s="475"/>
    </row>
    <row r="88" spans="1:29" s="201" customFormat="1" ht="15">
      <c r="A88" s="529"/>
      <c r="B88" s="530"/>
      <c r="C88" s="531"/>
      <c r="D88" s="531"/>
      <c r="E88" s="531"/>
      <c r="F88" s="531"/>
      <c r="G88" s="531"/>
      <c r="H88" s="532"/>
      <c r="I88" s="532"/>
      <c r="J88" s="532"/>
      <c r="K88" s="532"/>
      <c r="L88" s="532"/>
      <c r="M88" s="540"/>
      <c r="N88" s="448"/>
      <c r="O88" s="448"/>
      <c r="P88" s="449"/>
      <c r="Q88" s="474"/>
      <c r="R88" s="475"/>
      <c r="S88" s="475"/>
      <c r="T88" s="475"/>
      <c r="U88" s="475"/>
      <c r="V88" s="475"/>
      <c r="W88" s="475"/>
      <c r="X88" s="475"/>
      <c r="Y88" s="475"/>
      <c r="Z88" s="475"/>
      <c r="AA88" s="475"/>
      <c r="AB88" s="475"/>
      <c r="AC88" s="475"/>
    </row>
    <row r="89" spans="1:29">
      <c r="A89" s="360" t="s">
        <v>1071</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32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4"/>
      <c r="I101" s="924"/>
      <c r="J101" s="924"/>
      <c r="K101" s="924"/>
      <c r="L101" s="925"/>
      <c r="M101" s="92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0"/>
      <c r="I102" s="930"/>
      <c r="J102" s="930"/>
      <c r="K102" s="930"/>
      <c r="L102" s="930"/>
      <c r="M102" s="93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4"/>
      <c r="I103" s="924"/>
      <c r="J103" s="924"/>
      <c r="K103" s="924"/>
      <c r="L103" s="924"/>
      <c r="M103" s="92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27"/>
      <c r="I104" s="527"/>
      <c r="J104" s="527"/>
      <c r="K104" s="527"/>
      <c r="L104" s="527"/>
      <c r="M104" s="232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1072</v>
      </c>
      <c r="D105" s="381" t="s">
        <v>1073</v>
      </c>
      <c r="E105" s="381" t="s">
        <v>1074</v>
      </c>
      <c r="F105" s="381" t="s">
        <v>1075</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1024</v>
      </c>
      <c r="C107" s="2359" t="s">
        <v>1076</v>
      </c>
      <c r="D107" s="2359" t="s">
        <v>1077</v>
      </c>
      <c r="E107" s="2359" t="s">
        <v>1025</v>
      </c>
      <c r="F107" s="2359" t="s">
        <v>1026</v>
      </c>
      <c r="G107" s="2359" t="s">
        <v>1078</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99</v>
      </c>
      <c r="E108" s="378">
        <f t="shared" si="23"/>
        <v>98</v>
      </c>
      <c r="F108" s="378">
        <f t="shared" si="23"/>
        <v>97</v>
      </c>
      <c r="G108" s="378">
        <f t="shared" si="23"/>
        <v>96</v>
      </c>
      <c r="H108" s="378">
        <f t="shared" si="23"/>
        <v>95</v>
      </c>
      <c r="I108" s="378">
        <f t="shared" si="23"/>
        <v>94</v>
      </c>
      <c r="J108" s="378">
        <f t="shared" si="23"/>
        <v>93</v>
      </c>
      <c r="K108" s="378">
        <f t="shared" si="23"/>
        <v>92</v>
      </c>
      <c r="L108" s="378">
        <f t="shared" si="23"/>
        <v>91</v>
      </c>
      <c r="M108" s="378">
        <f t="shared" si="23"/>
        <v>90</v>
      </c>
      <c r="N108" s="439"/>
      <c r="O108" s="439"/>
      <c r="P108" s="437"/>
      <c r="Q108" s="426"/>
      <c r="R108" s="340"/>
      <c r="S108" s="340"/>
      <c r="T108" s="340"/>
      <c r="U108" s="340"/>
      <c r="V108" s="340"/>
      <c r="W108" s="340"/>
      <c r="X108" s="340"/>
      <c r="Y108" s="340"/>
      <c r="Z108" s="340"/>
      <c r="AA108" s="340"/>
      <c r="AB108" s="340"/>
      <c r="AC108" s="340"/>
    </row>
    <row r="109" spans="1:29" ht="15">
      <c r="A109" s="364"/>
      <c r="B109" s="367" t="s">
        <v>1027</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33"/>
      <c r="H111" s="533"/>
      <c r="I111" s="533"/>
      <c r="J111" s="533"/>
      <c r="K111" s="541"/>
      <c r="L111" s="542"/>
      <c r="M111" s="543"/>
      <c r="N111" s="436"/>
      <c r="O111" s="436"/>
      <c r="P111" s="437"/>
      <c r="Q111" s="426"/>
      <c r="R111" s="340"/>
      <c r="S111" s="340"/>
      <c r="T111" s="340"/>
      <c r="U111" s="340"/>
      <c r="V111" s="340"/>
      <c r="W111" s="340"/>
      <c r="X111" s="340"/>
      <c r="Y111" s="340"/>
      <c r="Z111" s="340"/>
      <c r="AA111" s="340"/>
      <c r="AB111" s="340"/>
      <c r="AC111" s="340"/>
    </row>
    <row r="112" spans="1:29" ht="15">
      <c r="A112" s="364"/>
      <c r="B112" s="530"/>
      <c r="C112" s="372"/>
      <c r="D112" s="372"/>
      <c r="E112" s="372"/>
      <c r="F112" s="372"/>
      <c r="G112" s="535"/>
      <c r="H112" s="535"/>
      <c r="I112" s="535"/>
      <c r="J112" s="535"/>
      <c r="K112" s="535"/>
      <c r="L112" s="535"/>
      <c r="M112" s="544"/>
      <c r="N112" s="439"/>
      <c r="O112" s="439"/>
      <c r="P112" s="437"/>
      <c r="Q112" s="426"/>
      <c r="R112" s="340"/>
      <c r="S112" s="340"/>
      <c r="T112" s="340"/>
      <c r="U112" s="340"/>
      <c r="V112" s="340"/>
      <c r="W112" s="340"/>
      <c r="X112" s="340"/>
      <c r="Y112" s="340"/>
      <c r="Z112" s="340"/>
      <c r="AA112" s="340"/>
      <c r="AB112" s="340"/>
      <c r="AC112" s="340"/>
    </row>
    <row r="113" spans="1:29">
      <c r="A113" s="223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31"/>
      <c r="D114" s="531"/>
      <c r="E114" s="531"/>
      <c r="F114" s="531"/>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36">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10"/>
      <c r="E116" s="2310"/>
      <c r="F116" s="2310"/>
      <c r="G116" s="2310"/>
      <c r="H116" s="2310"/>
      <c r="I116" s="2310"/>
      <c r="J116" s="2310"/>
      <c r="K116" s="2310"/>
      <c r="L116" s="2310"/>
      <c r="M116" s="2322"/>
      <c r="N116" s="439"/>
      <c r="O116" s="439"/>
      <c r="P116" s="449"/>
      <c r="Q116" s="474"/>
      <c r="R116" s="475"/>
      <c r="S116" s="475"/>
      <c r="T116" s="475"/>
      <c r="U116" s="475"/>
      <c r="V116" s="475"/>
      <c r="W116" s="475"/>
      <c r="X116" s="475"/>
      <c r="Y116" s="475"/>
      <c r="Z116" s="475"/>
      <c r="AA116" s="475"/>
      <c r="AB116" s="475"/>
      <c r="AC116" s="475"/>
    </row>
    <row r="117" spans="1:29" ht="28.5">
      <c r="A117" s="360" t="s">
        <v>1079</v>
      </c>
      <c r="B117" s="361" t="s">
        <v>1030</v>
      </c>
      <c r="C117" s="362" t="str">
        <f t="shared" ref="C117:L117" si="25">C118&amp;"(含)"&amp;"-"&amp;D118</f>
        <v>0(含)-30000</v>
      </c>
      <c r="D117" s="362" t="str">
        <f t="shared" si="25"/>
        <v>30000(含)-60000</v>
      </c>
      <c r="E117" s="362" t="str">
        <f t="shared" si="25"/>
        <v>60000(含)-120000</v>
      </c>
      <c r="F117" s="362" t="str">
        <f t="shared" si="25"/>
        <v>120000(含)-200000</v>
      </c>
      <c r="G117" s="362" t="str">
        <f t="shared" si="25"/>
        <v>200000(含)-</v>
      </c>
      <c r="H117" s="362" t="str">
        <f t="shared" si="25"/>
        <v>(含)-</v>
      </c>
      <c r="I117" s="362" t="str">
        <f t="shared" si="25"/>
        <v>(含)-</v>
      </c>
      <c r="J117" s="2323" t="str">
        <f t="shared" si="25"/>
        <v>(含)-</v>
      </c>
      <c r="K117" s="2323" t="str">
        <f t="shared" si="25"/>
        <v>(含)-</v>
      </c>
      <c r="L117" s="2324" t="str">
        <f t="shared" si="25"/>
        <v>(含)-</v>
      </c>
      <c r="M117" s="232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v>60000</v>
      </c>
      <c r="F118" s="491">
        <v>120000</v>
      </c>
      <c r="G118" s="491">
        <v>200000</v>
      </c>
      <c r="H118" s="491"/>
      <c r="I118" s="491"/>
      <c r="J118" s="2361"/>
      <c r="K118" s="2361"/>
      <c r="L118" s="2362"/>
      <c r="M118" s="2363"/>
      <c r="N118" s="436"/>
      <c r="O118" s="436"/>
      <c r="P118" s="437"/>
      <c r="Q118" s="426"/>
      <c r="R118" s="340"/>
      <c r="S118" s="340"/>
      <c r="T118" s="340"/>
      <c r="U118" s="340"/>
      <c r="V118" s="340"/>
      <c r="W118" s="340"/>
      <c r="X118" s="340"/>
      <c r="Y118" s="340"/>
      <c r="Z118" s="340"/>
      <c r="AA118" s="340"/>
      <c r="AB118" s="340"/>
      <c r="AC118" s="340"/>
    </row>
    <row r="119" spans="1:29" ht="15">
      <c r="A119" s="364"/>
      <c r="B119" s="369"/>
      <c r="C119" s="531">
        <v>98</v>
      </c>
      <c r="D119" s="535">
        <v>100</v>
      </c>
      <c r="E119" s="535">
        <f>D119-2</f>
        <v>98</v>
      </c>
      <c r="F119" s="535">
        <f t="shared" ref="F119:G119" si="26">E119-2</f>
        <v>96</v>
      </c>
      <c r="G119" s="535">
        <f t="shared" si="26"/>
        <v>94</v>
      </c>
      <c r="H119" s="535"/>
      <c r="I119" s="535"/>
      <c r="J119" s="535"/>
      <c r="K119" s="535"/>
      <c r="L119" s="535"/>
      <c r="M119" s="544"/>
      <c r="N119" s="439"/>
      <c r="O119" s="439"/>
      <c r="P119" s="437"/>
      <c r="Q119" s="426"/>
      <c r="R119" s="340"/>
      <c r="S119" s="340"/>
      <c r="T119" s="340"/>
      <c r="U119" s="340"/>
      <c r="V119" s="340"/>
      <c r="W119" s="340"/>
      <c r="X119" s="340"/>
      <c r="Y119" s="340"/>
      <c r="Z119" s="340"/>
      <c r="AA119" s="340"/>
      <c r="AB119" s="340"/>
      <c r="AC119" s="340"/>
    </row>
    <row r="120" spans="1:29">
      <c r="A120" s="490"/>
      <c r="B120" s="367" t="s">
        <v>1031</v>
      </c>
      <c r="C120" s="2360" t="s">
        <v>1080</v>
      </c>
      <c r="D120" s="2360" t="s">
        <v>1032</v>
      </c>
      <c r="E120" s="2360" t="s">
        <v>1081</v>
      </c>
      <c r="F120" s="2360" t="s">
        <v>1082</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7">C121-$K41</f>
        <v>98</v>
      </c>
      <c r="E121" s="378">
        <f t="shared" si="27"/>
        <v>96</v>
      </c>
      <c r="F121" s="378">
        <f t="shared" si="27"/>
        <v>94</v>
      </c>
      <c r="G121" s="378">
        <f t="shared" si="27"/>
        <v>92</v>
      </c>
      <c r="H121" s="378">
        <f t="shared" si="27"/>
        <v>90</v>
      </c>
      <c r="I121" s="378">
        <f t="shared" si="27"/>
        <v>88</v>
      </c>
      <c r="J121" s="378">
        <f t="shared" si="27"/>
        <v>86</v>
      </c>
      <c r="K121" s="378">
        <f t="shared" si="27"/>
        <v>84</v>
      </c>
      <c r="L121" s="378">
        <f t="shared" si="27"/>
        <v>82</v>
      </c>
      <c r="M121" s="455">
        <f t="shared" si="27"/>
        <v>80</v>
      </c>
      <c r="N121" s="439"/>
      <c r="O121" s="439"/>
      <c r="P121" s="437"/>
      <c r="Q121" s="426"/>
      <c r="R121" s="340"/>
      <c r="S121" s="340"/>
      <c r="T121" s="340"/>
      <c r="U121" s="340"/>
      <c r="V121" s="340"/>
      <c r="W121" s="340"/>
      <c r="X121" s="340"/>
      <c r="Y121" s="340"/>
      <c r="Z121" s="340"/>
      <c r="AA121" s="340"/>
      <c r="AB121" s="340"/>
      <c r="AC121" s="340"/>
    </row>
    <row r="122" spans="1:29">
      <c r="A122" s="490"/>
      <c r="B122" s="367" t="s">
        <v>1033</v>
      </c>
      <c r="C122" s="2358" t="s">
        <v>2700</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8">C123-$K42</f>
        <v>98</v>
      </c>
      <c r="E123" s="378">
        <f t="shared" si="28"/>
        <v>96</v>
      </c>
      <c r="F123" s="378">
        <f t="shared" si="28"/>
        <v>94</v>
      </c>
      <c r="G123" s="378">
        <f t="shared" si="28"/>
        <v>92</v>
      </c>
      <c r="H123" s="378">
        <f t="shared" si="28"/>
        <v>90</v>
      </c>
      <c r="I123" s="378">
        <f t="shared" si="28"/>
        <v>88</v>
      </c>
      <c r="J123" s="378">
        <f t="shared" si="28"/>
        <v>86</v>
      </c>
      <c r="K123" s="378">
        <f t="shared" si="28"/>
        <v>84</v>
      </c>
      <c r="L123" s="378">
        <f t="shared" si="28"/>
        <v>82</v>
      </c>
      <c r="M123" s="455">
        <f t="shared" si="28"/>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1034</v>
      </c>
      <c r="C124" s="2311" t="s">
        <v>245</v>
      </c>
      <c r="D124" s="2311" t="s">
        <v>257</v>
      </c>
      <c r="E124" s="2311" t="s">
        <v>268</v>
      </c>
      <c r="F124" s="2311" t="s">
        <v>278</v>
      </c>
      <c r="G124" s="2311"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9">C125-$K43</f>
        <v>99</v>
      </c>
      <c r="E125" s="378">
        <f t="shared" si="29"/>
        <v>98</v>
      </c>
      <c r="F125" s="378">
        <f t="shared" si="29"/>
        <v>97</v>
      </c>
      <c r="G125" s="378">
        <f t="shared" si="29"/>
        <v>96</v>
      </c>
      <c r="H125" s="378">
        <f t="shared" si="29"/>
        <v>95</v>
      </c>
      <c r="I125" s="378">
        <f t="shared" si="29"/>
        <v>94</v>
      </c>
      <c r="J125" s="378">
        <f t="shared" si="29"/>
        <v>93</v>
      </c>
      <c r="K125" s="378">
        <f t="shared" si="29"/>
        <v>92</v>
      </c>
      <c r="L125" s="378">
        <f t="shared" si="29"/>
        <v>91</v>
      </c>
      <c r="M125" s="455">
        <f t="shared" si="29"/>
        <v>90</v>
      </c>
      <c r="N125" s="448"/>
      <c r="O125" s="448"/>
      <c r="P125" s="449"/>
      <c r="Q125" s="474"/>
      <c r="R125" s="475"/>
      <c r="S125" s="475"/>
      <c r="T125" s="475"/>
      <c r="U125" s="475"/>
      <c r="V125" s="475"/>
      <c r="W125" s="475"/>
      <c r="X125" s="475"/>
      <c r="Y125" s="475"/>
      <c r="Z125" s="475"/>
      <c r="AA125" s="475"/>
      <c r="AB125" s="475"/>
      <c r="AC125" s="475"/>
    </row>
    <row r="126" spans="1:29">
      <c r="A126" s="490"/>
      <c r="B126" s="367" t="s">
        <v>1035</v>
      </c>
      <c r="C126" s="2359" t="s">
        <v>1083</v>
      </c>
      <c r="D126" s="2359" t="s">
        <v>1019</v>
      </c>
      <c r="E126" s="2360" t="s">
        <v>1018</v>
      </c>
      <c r="F126" s="2360" t="s">
        <v>1021</v>
      </c>
      <c r="G126" s="2360" t="s">
        <v>1084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30">C127-$K44</f>
        <v>98</v>
      </c>
      <c r="E127" s="378">
        <f t="shared" si="30"/>
        <v>96</v>
      </c>
      <c r="F127" s="378">
        <f t="shared" si="30"/>
        <v>94</v>
      </c>
      <c r="G127" s="378">
        <f t="shared" si="30"/>
        <v>92</v>
      </c>
      <c r="H127" s="378">
        <f t="shared" si="30"/>
        <v>90</v>
      </c>
      <c r="I127" s="378">
        <f t="shared" si="30"/>
        <v>88</v>
      </c>
      <c r="J127" s="378">
        <f t="shared" si="30"/>
        <v>86</v>
      </c>
      <c r="K127" s="378">
        <f t="shared" si="30"/>
        <v>84</v>
      </c>
      <c r="L127" s="378">
        <f t="shared" si="30"/>
        <v>82</v>
      </c>
      <c r="M127" s="455">
        <f t="shared" si="30"/>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31"/>
      <c r="D131" s="531"/>
      <c r="E131" s="531"/>
      <c r="F131" s="531"/>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29"/>
      <c r="B133" s="2312"/>
      <c r="C133" s="531"/>
      <c r="D133" s="531"/>
      <c r="E133" s="531"/>
      <c r="F133" s="531"/>
      <c r="G133" s="535"/>
      <c r="H133" s="535"/>
      <c r="I133" s="535"/>
      <c r="J133" s="535"/>
      <c r="K133" s="535"/>
      <c r="L133" s="535"/>
      <c r="M133" s="544"/>
      <c r="N133" s="448"/>
      <c r="O133" s="448"/>
      <c r="P133" s="449"/>
      <c r="Q133" s="474"/>
      <c r="R133" s="475"/>
      <c r="S133" s="475"/>
      <c r="T133" s="475"/>
      <c r="U133" s="475"/>
      <c r="V133" s="475"/>
      <c r="W133" s="475"/>
      <c r="X133" s="475"/>
      <c r="Y133" s="475"/>
      <c r="Z133" s="475"/>
      <c r="AA133" s="475"/>
      <c r="AB133" s="475"/>
      <c r="AC133" s="475"/>
    </row>
    <row r="134" spans="1:29" s="2326" customFormat="1">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pans="1:29" s="2326" customFormat="1">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pans="1:29" s="2326" customFormat="1">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pans="1:29" s="2326" customFormat="1">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pans="1:29" s="2326" customFormat="1">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pans="1:29" s="2326" customFormat="1">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pans="1:29" s="2326" customFormat="1">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pans="1:29" s="2326" customFormat="1">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pans="1:29" s="2326" customFormat="1">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pans="1:29" s="2326" customFormat="1">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pans="1:29" s="2326" customFormat="1">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pans="1:29" s="2326" customFormat="1">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pans="1:29" s="2326" customFormat="1">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pans="1:29" s="2326" customFormat="1">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pans="1:29" s="2326" customFormat="1">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pans="1:29" s="2326" customFormat="1">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pans="1:29" s="2326" customFormat="1">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pans="1:29" s="2326" customFormat="1">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pans="1:29" s="2326" customFormat="1">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pans="1:29" s="2326" customFormat="1">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pans="1:29" s="2326" customFormat="1">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pans="1:29" s="2326" customFormat="1">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pans="1:29" s="2326" customFormat="1">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pans="1:29" s="2326" customFormat="1">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pans="1:29" s="2326" customFormat="1">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pans="1:29" s="2326" customFormat="1">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pans="1:29" s="2326" customFormat="1">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pans="1:29" s="2326" customFormat="1">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pans="1:29" s="2326" customFormat="1">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pans="1:29" s="2326" customFormat="1">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pans="1:29" s="2326" customFormat="1">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pans="1:29" s="2326" customFormat="1">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pans="1:29" s="2326" customFormat="1">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pans="1:29" s="2326" customFormat="1">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pans="1:29" s="2326" customFormat="1">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pans="1:29" s="2326" customFormat="1">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pans="1:29" s="2326" customFormat="1">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pans="1:29" s="2326" customFormat="1">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pans="1:29" s="2326" customFormat="1">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pans="1:29" s="2326" customFormat="1">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pans="1:29" s="2326" customFormat="1">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pans="1:29" s="2326" customFormat="1">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pans="1:29" s="2326" customFormat="1">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pans="1:29" s="2326" customFormat="1">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pans="1:29" s="2326" customFormat="1">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pans="1:29" s="2326" customFormat="1">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pans="1:29" s="2326" customFormat="1">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pans="1:29" s="2326" customFormat="1">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pans="1:29" s="2326" customFormat="1">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pans="1:29" s="2326" customFormat="1">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pans="1:29" s="2326" customFormat="1">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pans="1:29" s="2326" customFormat="1">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pans="1:29" s="2326" customFormat="1">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pans="1:29" s="2326" customFormat="1">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pans="1:29" s="2326" customFormat="1">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pans="1:29" s="2326" customFormat="1">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pans="1:29" s="2326" customFormat="1">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pans="1:29" s="2326" customFormat="1">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pans="1:29" s="2326" customFormat="1">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pans="1:29" s="2326" customFormat="1">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pans="1:29" s="2326" customFormat="1">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pans="1:29" s="2326" customFormat="1">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pans="1:29" s="2326" customFormat="1">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pans="1:29" s="2326" customFormat="1">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pans="1:29" s="2326" customFormat="1">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pans="1:29" s="2326" customFormat="1">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pans="1:29" s="2326" customFormat="1">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pans="1:29" s="2326" customFormat="1">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pans="1:29" s="2326" customFormat="1">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pans="1:29" s="2326" customFormat="1">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pans="1:29" s="2326" customFormat="1">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pans="1:29" s="2326" customFormat="1">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pans="1:29" s="2326" customFormat="1">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pans="1:29" s="2326" customFormat="1">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pans="1:29" s="2326" customFormat="1">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pans="1:29" s="2326" customFormat="1">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pans="1:29" s="2326" customFormat="1">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pans="1:29" s="2326" customFormat="1">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pans="1:29" s="2326" customFormat="1">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pans="1:29" s="2326" customFormat="1">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pans="1:29" s="2326" customFormat="1">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pans="1:29" s="2326" customFormat="1">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pans="1:29" s="2326" customFormat="1">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pans="1:29" s="2326" customFormat="1">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pans="1:29" s="2326" customFormat="1">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pans="1:29" s="2326" customFormat="1">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pans="1:29" s="2326" customFormat="1">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pans="1:29" s="2326" customFormat="1">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pans="1:29" s="2326" customFormat="1">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pans="1:29" s="2326" customFormat="1">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pans="1:29" s="2326" customFormat="1">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pans="1:29" s="2326" customFormat="1">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pans="1:29" s="2326" customFormat="1">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pans="1:29" s="2326" customFormat="1">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pans="1:29" s="2326" customFormat="1">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pans="1:29" s="2326" customFormat="1">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pans="1:29" s="2326" customFormat="1">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pans="1:29" s="2326" customFormat="1">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pans="1:29" s="2326" customFormat="1">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pans="1:29" s="2326" customFormat="1">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pans="1:29" s="2326" customFormat="1">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pans="1:29" s="2326" customFormat="1">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pans="1:29" s="2326" customFormat="1">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pans="1:29" s="2326" customFormat="1">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pans="1:29" s="2326" customFormat="1">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pans="1:29" s="2326" customFormat="1">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pans="1:29" s="2326" customFormat="1">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pans="1:29" s="2326" customFormat="1">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pans="1:29" s="2326" customFormat="1">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pans="1:29" s="2326" customFormat="1">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pans="1:29" s="2326" customFormat="1">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pans="1:29" s="2326" customFormat="1">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pans="1:29" s="2326" customFormat="1">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pans="1:29" s="2326" customFormat="1">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pans="1:29" s="2326" customFormat="1">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pans="1:29" s="2326" customFormat="1">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pans="1:29" s="2326" customFormat="1">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pans="1:29" s="2326" customFormat="1">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pans="1:29" s="2326" customFormat="1">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pans="1:29" s="2326" customFormat="1">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pans="1:29" s="2326" customFormat="1">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pans="1:29" s="2326" customFormat="1">
      <c r="K255" s="2367"/>
      <c r="L255" s="2368"/>
    </row>
    <row r="256" spans="1:29" s="2326" customFormat="1">
      <c r="K256" s="2367"/>
      <c r="L256" s="2368"/>
    </row>
    <row r="257" spans="11:12" s="2326" customFormat="1">
      <c r="K257" s="2367"/>
      <c r="L257" s="2368"/>
    </row>
    <row r="258" spans="11:12" s="2326" customFormat="1">
      <c r="K258" s="2367"/>
      <c r="L258" s="2368"/>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987</v>
      </c>
      <c r="B1" s="509"/>
      <c r="C1" s="209" t="s">
        <v>1085</v>
      </c>
      <c r="D1" s="2220" t="s">
        <v>989</v>
      </c>
      <c r="E1" s="2221"/>
      <c r="F1" s="629"/>
      <c r="G1" s="2221"/>
      <c r="H1" s="2221"/>
      <c r="I1" s="2221"/>
      <c r="J1" s="2221"/>
      <c r="K1" s="2286"/>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222" t="e">
        <f>F62</f>
        <v>#DIV/0!</v>
      </c>
      <c r="C2" s="2223"/>
      <c r="D2" s="2223"/>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row>
    <row r="3" spans="1:29" s="198" customFormat="1" ht="28.5" customHeight="1">
      <c r="A3" s="2225" t="s">
        <v>943</v>
      </c>
      <c r="B3" s="220" t="e">
        <f>ROUND(B2*10000/'数据-汇总表'!E3,0)</f>
        <v>#DIV/0!</v>
      </c>
      <c r="C3" s="1131"/>
      <c r="D3" s="1131"/>
      <c r="E3" s="1131"/>
      <c r="F3" s="1131"/>
      <c r="G3" s="2223"/>
      <c r="H3" s="2223"/>
      <c r="I3" s="2223"/>
      <c r="J3" s="2223"/>
      <c r="K3" s="2287"/>
      <c r="L3" s="387"/>
      <c r="M3" s="385"/>
      <c r="N3" s="385"/>
      <c r="O3" s="385"/>
      <c r="P3" s="385"/>
      <c r="Q3" s="385"/>
      <c r="R3" s="385"/>
      <c r="S3" s="385"/>
      <c r="T3" s="385"/>
      <c r="U3" s="385"/>
      <c r="V3" s="385"/>
      <c r="W3" s="385"/>
      <c r="X3" s="385"/>
      <c r="Y3" s="385"/>
      <c r="Z3" s="385"/>
      <c r="AA3" s="385"/>
      <c r="AB3" s="479"/>
      <c r="AC3" s="479"/>
    </row>
    <row r="4" spans="1:29" s="198" customFormat="1" ht="28.5" customHeight="1">
      <c r="A4" s="2226" t="s">
        <v>990</v>
      </c>
      <c r="B4" s="998" t="e">
        <f>IF(B43="单位面积地价",C45,ROUND(B2*10000/'数据-汇总表'!D3,0))</f>
        <v>#DIV/0!</v>
      </c>
      <c r="C4" s="1131"/>
      <c r="D4" s="1131"/>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29" s="198" customFormat="1" ht="28.5" customHeight="1">
      <c r="A5" s="1001"/>
      <c r="B5" s="1002" t="e">
        <f>ROUND(B2/('数据-汇总表'!D3/666.67),0)</f>
        <v>#DIV/0!</v>
      </c>
      <c r="C5" s="1003" t="s">
        <v>945</v>
      </c>
      <c r="D5" s="1131"/>
      <c r="E5" s="1131"/>
      <c r="F5" s="1131"/>
      <c r="G5" s="2223"/>
      <c r="H5" s="2223"/>
      <c r="I5" s="2223"/>
      <c r="J5" s="2223"/>
      <c r="K5" s="2287"/>
      <c r="L5" s="387"/>
      <c r="M5" s="385"/>
      <c r="N5" s="385"/>
      <c r="O5" s="385"/>
      <c r="P5" s="385"/>
      <c r="Q5" s="385"/>
      <c r="R5" s="385"/>
      <c r="S5" s="385"/>
      <c r="T5" s="385"/>
      <c r="U5" s="385"/>
      <c r="V5" s="385"/>
      <c r="W5" s="385"/>
      <c r="X5" s="385"/>
      <c r="Y5" s="385"/>
      <c r="Z5" s="385"/>
      <c r="AA5" s="385"/>
      <c r="AB5" s="478"/>
      <c r="AC5" s="479"/>
    </row>
    <row r="6" spans="1:29" ht="15">
      <c r="A6" s="223" t="s">
        <v>993</v>
      </c>
      <c r="B6" s="224"/>
      <c r="C6" s="3847" t="s">
        <v>994</v>
      </c>
      <c r="D6" s="3848"/>
      <c r="E6" s="3887" t="s">
        <v>995</v>
      </c>
      <c r="F6" s="3888"/>
      <c r="G6" s="3847" t="s">
        <v>996</v>
      </c>
      <c r="H6" s="3848"/>
      <c r="I6" s="3847" t="s">
        <v>997</v>
      </c>
      <c r="J6" s="3848"/>
      <c r="K6" s="388" t="s">
        <v>998</v>
      </c>
      <c r="L6" s="389"/>
      <c r="M6" s="390"/>
      <c r="N6" s="390"/>
      <c r="O6" s="390"/>
      <c r="P6" s="3877" t="s">
        <v>999</v>
      </c>
      <c r="Q6" s="3878"/>
      <c r="R6" s="3868" t="s">
        <v>995</v>
      </c>
      <c r="S6" s="3869"/>
      <c r="T6" s="3868" t="s">
        <v>996</v>
      </c>
      <c r="U6" s="3869"/>
      <c r="V6" s="3859" t="s">
        <v>997</v>
      </c>
      <c r="W6" s="3859"/>
      <c r="X6" s="460"/>
      <c r="Y6" s="3868" t="s">
        <v>999</v>
      </c>
      <c r="Z6" s="3869"/>
      <c r="AA6" s="3874" t="s">
        <v>995</v>
      </c>
      <c r="AB6" s="3875" t="s">
        <v>996</v>
      </c>
      <c r="AC6" s="3874" t="s">
        <v>997</v>
      </c>
    </row>
    <row r="7" spans="1:29" ht="15">
      <c r="A7" s="225"/>
      <c r="B7" s="226"/>
      <c r="C7" s="3849" t="s">
        <v>1000</v>
      </c>
      <c r="D7" s="3850"/>
      <c r="E7" s="3889" t="s">
        <v>1086</v>
      </c>
      <c r="F7" s="3890"/>
      <c r="G7" s="3849" t="s">
        <v>1087</v>
      </c>
      <c r="H7" s="3850"/>
      <c r="I7" s="3849" t="s">
        <v>1088</v>
      </c>
      <c r="J7" s="3850"/>
      <c r="K7" s="388"/>
      <c r="L7" s="389"/>
      <c r="M7" s="390"/>
      <c r="N7" s="390"/>
      <c r="O7" s="390"/>
      <c r="P7" s="3879"/>
      <c r="Q7" s="3880"/>
      <c r="R7" s="3870"/>
      <c r="S7" s="3871"/>
      <c r="T7" s="3870"/>
      <c r="U7" s="3871"/>
      <c r="V7" s="3859"/>
      <c r="W7" s="3859"/>
      <c r="X7" s="460"/>
      <c r="Y7" s="3870"/>
      <c r="Z7" s="3871"/>
      <c r="AA7" s="3875"/>
      <c r="AB7" s="3875"/>
      <c r="AC7" s="3875"/>
    </row>
    <row r="8" spans="1:29" ht="15">
      <c r="A8" s="227"/>
      <c r="B8" s="228"/>
      <c r="C8" s="3853" t="s">
        <v>1001</v>
      </c>
      <c r="D8" s="3854"/>
      <c r="E8" s="3891" t="s">
        <v>1001</v>
      </c>
      <c r="F8" s="3892"/>
      <c r="G8" s="3853" t="s">
        <v>1001</v>
      </c>
      <c r="H8" s="3854"/>
      <c r="I8" s="3853" t="s">
        <v>1001</v>
      </c>
      <c r="J8" s="3854"/>
      <c r="K8" s="388" t="s">
        <v>1002</v>
      </c>
      <c r="L8" s="389"/>
      <c r="M8" s="390"/>
      <c r="N8" s="390"/>
      <c r="O8" s="390"/>
      <c r="P8" s="3881"/>
      <c r="Q8" s="3882"/>
      <c r="R8" s="3870"/>
      <c r="S8" s="3871"/>
      <c r="T8" s="3872"/>
      <c r="U8" s="3873"/>
      <c r="V8" s="3859"/>
      <c r="W8" s="3859"/>
      <c r="X8" s="460"/>
      <c r="Y8" s="3872"/>
      <c r="Z8" s="3873"/>
      <c r="AA8" s="3876"/>
      <c r="AB8" s="3876"/>
      <c r="AC8" s="3876"/>
    </row>
    <row r="9" spans="1:29" s="199" customFormat="1" ht="15">
      <c r="A9" s="229"/>
      <c r="B9" s="230" t="s">
        <v>1003</v>
      </c>
      <c r="C9" s="231">
        <f>'数据-取费表'!B2</f>
        <v>45271</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55" t="s">
        <v>1004</v>
      </c>
      <c r="Q9" s="3856"/>
      <c r="R9" s="461" t="s">
        <v>1005</v>
      </c>
      <c r="S9" s="462">
        <f t="shared" ref="S9:S17" si="0">F9</f>
        <v>0</v>
      </c>
      <c r="T9" s="461" t="s">
        <v>1005</v>
      </c>
      <c r="U9" s="462">
        <f t="shared" ref="U9:U17" si="1">H9</f>
        <v>0</v>
      </c>
      <c r="V9" s="461" t="s">
        <v>1005</v>
      </c>
      <c r="W9" s="462">
        <f t="shared" ref="W9:W17" si="2">J9</f>
        <v>0</v>
      </c>
      <c r="X9" s="463"/>
      <c r="Y9" s="3855" t="s">
        <v>1004</v>
      </c>
      <c r="Z9" s="3857"/>
      <c r="AA9" s="480" t="e">
        <f>D9/F9</f>
        <v>#DIV/0!</v>
      </c>
      <c r="AB9" s="480" t="e">
        <f>D9/H9</f>
        <v>#DIV/0!</v>
      </c>
      <c r="AC9" s="480" t="e">
        <f>D9/J9</f>
        <v>#DIV/0!</v>
      </c>
    </row>
    <row r="10" spans="1:29" s="199" customFormat="1" ht="15">
      <c r="A10" s="236"/>
      <c r="B10" s="237" t="s">
        <v>1006</v>
      </c>
      <c r="C10" s="238" t="s">
        <v>1007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55" t="s">
        <v>1009</v>
      </c>
      <c r="Q10" s="3857"/>
      <c r="R10" s="461" t="s">
        <v>1005</v>
      </c>
      <c r="S10" s="462">
        <f t="shared" si="0"/>
        <v>0</v>
      </c>
      <c r="T10" s="461" t="s">
        <v>1005</v>
      </c>
      <c r="U10" s="462">
        <f t="shared" si="1"/>
        <v>0</v>
      </c>
      <c r="V10" s="461" t="s">
        <v>1005</v>
      </c>
      <c r="W10" s="462">
        <f t="shared" si="2"/>
        <v>0</v>
      </c>
      <c r="X10" s="463"/>
      <c r="Y10" s="3855" t="s">
        <v>1009</v>
      </c>
      <c r="Z10" s="3857"/>
      <c r="AA10" s="480" t="e">
        <f t="shared" ref="AA10:AA42" si="3">D10/F10</f>
        <v>#DIV/0!</v>
      </c>
      <c r="AB10" s="480" t="e">
        <f t="shared" ref="AB10:AB42" si="4">D10/H10</f>
        <v>#DIV/0!</v>
      </c>
      <c r="AC10" s="480" t="e">
        <f t="shared" ref="AC10:AC42" si="5">D10/J10</f>
        <v>#DIV/0!</v>
      </c>
    </row>
    <row r="11" spans="1:29" s="199" customFormat="1" ht="15">
      <c r="A11" s="239"/>
      <c r="B11" s="240" t="s">
        <v>1010</v>
      </c>
      <c r="C11" s="2227"/>
      <c r="D11" s="242">
        <v>100</v>
      </c>
      <c r="E11" s="2227"/>
      <c r="F11" s="242">
        <f>SUMIF(71:71,E11,72:72)-SUMIF(71:71,C11,72:72)+100</f>
        <v>100</v>
      </c>
      <c r="G11" s="2227"/>
      <c r="H11" s="242">
        <f>SUMIF(71:71,G11,72:72)-SUMIF(71:71,C11,72:72)+100</f>
        <v>100</v>
      </c>
      <c r="I11" s="2227"/>
      <c r="J11" s="242">
        <f>SUMIF(71:71,I11,72:72)-SUMIF(71:71,C11,72:72)+100</f>
        <v>100</v>
      </c>
      <c r="K11" s="391"/>
      <c r="L11" s="392"/>
      <c r="M11" s="393"/>
      <c r="N11" s="393"/>
      <c r="O11" s="394"/>
      <c r="P11" s="3858" t="s">
        <v>1011</v>
      </c>
      <c r="Q11" s="464" t="str">
        <f t="shared" ref="Q11:Q17" si="6">B11</f>
        <v>用途</v>
      </c>
      <c r="R11" s="461" t="s">
        <v>1005</v>
      </c>
      <c r="S11" s="462">
        <f t="shared" si="0"/>
        <v>100</v>
      </c>
      <c r="T11" s="461" t="s">
        <v>1005</v>
      </c>
      <c r="U11" s="462">
        <f t="shared" si="1"/>
        <v>100</v>
      </c>
      <c r="V11" s="461" t="s">
        <v>1005</v>
      </c>
      <c r="W11" s="462">
        <f t="shared" si="2"/>
        <v>100</v>
      </c>
      <c r="X11" s="463"/>
      <c r="Y11" s="3776" t="s">
        <v>1012</v>
      </c>
      <c r="Z11" s="481" t="str">
        <f t="shared" ref="Z11:Z17" si="7">Q11</f>
        <v>用途</v>
      </c>
      <c r="AA11" s="480">
        <f t="shared" si="3"/>
        <v>1</v>
      </c>
      <c r="AB11" s="480">
        <f t="shared" si="4"/>
        <v>1</v>
      </c>
      <c r="AC11" s="480">
        <f t="shared" si="5"/>
        <v>1</v>
      </c>
    </row>
    <row r="12" spans="1:29" s="200" customFormat="1" ht="27">
      <c r="A12" s="244"/>
      <c r="B12" s="237" t="s">
        <v>1013</v>
      </c>
      <c r="C12" s="250"/>
      <c r="D12" s="246">
        <v>100</v>
      </c>
      <c r="E12" s="250"/>
      <c r="F12" s="246">
        <f>ROUND(100/'数据-取费表'!G16,0)</f>
        <v>100</v>
      </c>
      <c r="G12" s="250"/>
      <c r="H12" s="246">
        <f>ROUND(100/'数据-取费表'!G16,0)</f>
        <v>100</v>
      </c>
      <c r="I12" s="250"/>
      <c r="J12" s="246">
        <f>ROUND(100/'数据-取费表'!G16,0)</f>
        <v>100</v>
      </c>
      <c r="K12" s="2288"/>
      <c r="L12" s="396"/>
      <c r="M12" s="397"/>
      <c r="N12" s="397"/>
      <c r="O12" s="398"/>
      <c r="P12" s="3858"/>
      <c r="Q12" s="464" t="str">
        <f t="shared" si="6"/>
        <v>土地使用年限（年）</v>
      </c>
      <c r="R12" s="461" t="s">
        <v>1005</v>
      </c>
      <c r="S12" s="462">
        <f t="shared" si="0"/>
        <v>100</v>
      </c>
      <c r="T12" s="461" t="s">
        <v>1005</v>
      </c>
      <c r="U12" s="462">
        <f t="shared" si="1"/>
        <v>100</v>
      </c>
      <c r="V12" s="461" t="s">
        <v>1005</v>
      </c>
      <c r="W12" s="462">
        <f t="shared" si="2"/>
        <v>100</v>
      </c>
      <c r="X12" s="463"/>
      <c r="Y12" s="3776"/>
      <c r="Z12" s="481" t="str">
        <f t="shared" si="7"/>
        <v>土地使用年限（年）</v>
      </c>
      <c r="AA12" s="480">
        <f t="shared" si="3"/>
        <v>1</v>
      </c>
      <c r="AB12" s="480">
        <f t="shared" si="4"/>
        <v>1</v>
      </c>
      <c r="AC12" s="480">
        <f t="shared" si="5"/>
        <v>1</v>
      </c>
    </row>
    <row r="13" spans="1:29" ht="15">
      <c r="A13" s="511"/>
      <c r="B13" s="237" t="s">
        <v>1014</v>
      </c>
      <c r="C13" s="512"/>
      <c r="D13" s="246">
        <v>100</v>
      </c>
      <c r="E13" s="512"/>
      <c r="F13" s="246" t="e">
        <f>LOOKUP(E13,76:76,77:77)-LOOKUP(C13,76:76,77:77)+100</f>
        <v>#N/A</v>
      </c>
      <c r="G13" s="513"/>
      <c r="H13" s="246" t="e">
        <f>LOOKUP(G13,76:76,77:77)-LOOKUP(C13,76:76,77:77)+100</f>
        <v>#N/A</v>
      </c>
      <c r="I13" s="512"/>
      <c r="J13" s="246" t="e">
        <f>LOOKUP(I13,76:76,77:77)-LOOKUP(C13,76:76,77:77)+100</f>
        <v>#N/A</v>
      </c>
      <c r="K13" s="2289"/>
      <c r="L13" s="400"/>
      <c r="M13" s="390"/>
      <c r="N13" s="390"/>
      <c r="O13" s="401"/>
      <c r="P13" s="3858"/>
      <c r="Q13" s="464" t="str">
        <f t="shared" si="6"/>
        <v>容积率</v>
      </c>
      <c r="R13" s="461" t="s">
        <v>1005</v>
      </c>
      <c r="S13" s="462" t="e">
        <f t="shared" si="0"/>
        <v>#N/A</v>
      </c>
      <c r="T13" s="461" t="s">
        <v>1005</v>
      </c>
      <c r="U13" s="462" t="e">
        <f t="shared" si="1"/>
        <v>#N/A</v>
      </c>
      <c r="V13" s="461" t="s">
        <v>1005</v>
      </c>
      <c r="W13" s="462" t="e">
        <f t="shared" si="2"/>
        <v>#N/A</v>
      </c>
      <c r="X13" s="463"/>
      <c r="Y13" s="3776"/>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8"/>
      <c r="H14" s="246">
        <f>SUMIF(78:78,G14,79:79)-SUMIF(78:78,C14,79:79)+100</f>
        <v>100</v>
      </c>
      <c r="I14" s="371"/>
      <c r="J14" s="246">
        <f>SUMIF(78:78,I14,79:79)-SUMIF(78:78,C14,79:79)+100</f>
        <v>100</v>
      </c>
      <c r="K14" s="2288"/>
      <c r="L14" s="392"/>
      <c r="M14" s="393"/>
      <c r="N14" s="393"/>
      <c r="O14" s="394"/>
      <c r="P14" s="3858"/>
      <c r="Q14" s="464">
        <f t="shared" si="6"/>
        <v>111</v>
      </c>
      <c r="R14" s="461" t="s">
        <v>1005</v>
      </c>
      <c r="S14" s="462">
        <f t="shared" si="0"/>
        <v>100</v>
      </c>
      <c r="T14" s="461" t="s">
        <v>1005</v>
      </c>
      <c r="U14" s="462">
        <f t="shared" si="1"/>
        <v>100</v>
      </c>
      <c r="V14" s="461" t="s">
        <v>1005</v>
      </c>
      <c r="W14" s="462">
        <f t="shared" si="2"/>
        <v>100</v>
      </c>
      <c r="X14" s="463"/>
      <c r="Y14" s="3776"/>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8"/>
      <c r="H15" s="256">
        <f>SUMIF(80:80,G15,81:81)-SUMIF(80:80,C15,81:81)+100</f>
        <v>100</v>
      </c>
      <c r="I15" s="371"/>
      <c r="J15" s="256">
        <f>SUMIF(80:80,I15,81:81)-SUMIF(80:80,C15,81:81)+100</f>
        <v>100</v>
      </c>
      <c r="K15" s="2288"/>
      <c r="L15" s="402"/>
      <c r="M15" s="390"/>
      <c r="N15" s="390"/>
      <c r="O15" s="401"/>
      <c r="P15" s="3858"/>
      <c r="Q15" s="464">
        <f t="shared" si="6"/>
        <v>111</v>
      </c>
      <c r="R15" s="461" t="s">
        <v>1005</v>
      </c>
      <c r="S15" s="462">
        <f t="shared" si="0"/>
        <v>100</v>
      </c>
      <c r="T15" s="461" t="s">
        <v>1005</v>
      </c>
      <c r="U15" s="462">
        <f t="shared" si="1"/>
        <v>100</v>
      </c>
      <c r="V15" s="461" t="s">
        <v>1005</v>
      </c>
      <c r="W15" s="462">
        <f t="shared" si="2"/>
        <v>100</v>
      </c>
      <c r="X15" s="463"/>
      <c r="Y15" s="3776"/>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8"/>
      <c r="H16" s="309">
        <f>SUMIF(82:82,G16,83:83)-SUMIF(82:82,C16,83:83)+100</f>
        <v>100</v>
      </c>
      <c r="I16" s="371"/>
      <c r="J16" s="309">
        <f>SUMIF(82:82,I16,83:83)-SUMIF(82:82,C16,83:83)+100</f>
        <v>100</v>
      </c>
      <c r="K16" s="2288"/>
      <c r="L16" s="402"/>
      <c r="M16" s="390"/>
      <c r="N16" s="390"/>
      <c r="O16" s="401"/>
      <c r="P16" s="3858"/>
      <c r="Q16" s="464">
        <f t="shared" si="6"/>
        <v>111</v>
      </c>
      <c r="R16" s="461" t="s">
        <v>1005</v>
      </c>
      <c r="S16" s="462">
        <f t="shared" si="0"/>
        <v>100</v>
      </c>
      <c r="T16" s="461" t="s">
        <v>1005</v>
      </c>
      <c r="U16" s="462">
        <f t="shared" si="1"/>
        <v>100</v>
      </c>
      <c r="V16" s="461" t="s">
        <v>1005</v>
      </c>
      <c r="W16" s="462">
        <f t="shared" si="2"/>
        <v>100</v>
      </c>
      <c r="X16" s="463"/>
      <c r="Y16" s="3776"/>
      <c r="Z16" s="481">
        <f t="shared" si="7"/>
        <v>111</v>
      </c>
      <c r="AA16" s="480">
        <f t="shared" si="3"/>
        <v>1</v>
      </c>
      <c r="AB16" s="480">
        <f t="shared" si="4"/>
        <v>1</v>
      </c>
      <c r="AC16" s="480">
        <f t="shared" si="5"/>
        <v>1</v>
      </c>
    </row>
    <row r="17" spans="1:29" ht="57">
      <c r="A17" s="257" t="s">
        <v>1016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9"/>
      <c r="L17" s="402"/>
      <c r="M17" s="390"/>
      <c r="N17" s="390"/>
      <c r="O17" s="401"/>
      <c r="P17" s="3860" t="s">
        <v>1017</v>
      </c>
      <c r="Q17" s="395" t="str">
        <f t="shared" si="6"/>
        <v>产业集聚程度</v>
      </c>
      <c r="R17" s="465" t="s">
        <v>1005</v>
      </c>
      <c r="S17" s="466">
        <f t="shared" si="0"/>
        <v>100</v>
      </c>
      <c r="T17" s="465" t="s">
        <v>1005</v>
      </c>
      <c r="U17" s="466">
        <f t="shared" si="1"/>
        <v>100</v>
      </c>
      <c r="V17" s="465" t="s">
        <v>1005</v>
      </c>
      <c r="W17" s="466">
        <f t="shared" si="2"/>
        <v>100</v>
      </c>
      <c r="X17" s="460"/>
      <c r="Y17" s="3860" t="s">
        <v>1017</v>
      </c>
      <c r="Z17" s="459" t="str">
        <f t="shared" si="7"/>
        <v>产业集聚程度</v>
      </c>
      <c r="AA17" s="471">
        <f t="shared" si="3"/>
        <v>1</v>
      </c>
      <c r="AB17" s="471">
        <f t="shared" si="4"/>
        <v>1</v>
      </c>
      <c r="AC17" s="471">
        <f t="shared" si="5"/>
        <v>1</v>
      </c>
    </row>
    <row r="18" spans="1:29" ht="15">
      <c r="A18" s="264"/>
      <c r="B18" s="265"/>
      <c r="C18" s="266"/>
      <c r="D18" s="267"/>
      <c r="E18" s="555"/>
      <c r="F18" s="267"/>
      <c r="G18" s="555"/>
      <c r="H18" s="269"/>
      <c r="I18" s="555"/>
      <c r="J18" s="267"/>
      <c r="K18" s="2288"/>
      <c r="L18" s="402"/>
      <c r="M18" s="390"/>
      <c r="N18" s="390"/>
      <c r="O18" s="401"/>
      <c r="P18" s="3861"/>
      <c r="Q18" s="395"/>
      <c r="R18" s="465"/>
      <c r="S18" s="466"/>
      <c r="T18" s="465"/>
      <c r="U18" s="466"/>
      <c r="V18" s="465"/>
      <c r="W18" s="466"/>
      <c r="X18" s="460"/>
      <c r="Y18" s="3861"/>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9"/>
      <c r="L19" s="402"/>
      <c r="M19" s="390"/>
      <c r="N19" s="390"/>
      <c r="O19" s="401"/>
      <c r="P19" s="3861"/>
      <c r="Q19" s="395" t="str">
        <f>B19</f>
        <v>交通便捷度</v>
      </c>
      <c r="R19" s="465" t="s">
        <v>1005</v>
      </c>
      <c r="S19" s="466">
        <f>F19</f>
        <v>100</v>
      </c>
      <c r="T19" s="465" t="s">
        <v>1005</v>
      </c>
      <c r="U19" s="466">
        <f>H19</f>
        <v>100</v>
      </c>
      <c r="V19" s="465" t="s">
        <v>1005</v>
      </c>
      <c r="W19" s="466">
        <f>J19</f>
        <v>100</v>
      </c>
      <c r="X19" s="460"/>
      <c r="Y19" s="3861"/>
      <c r="Z19" s="459" t="str">
        <f>Q19</f>
        <v>交通便捷度</v>
      </c>
      <c r="AA19" s="471">
        <f t="shared" si="3"/>
        <v>1</v>
      </c>
      <c r="AB19" s="471">
        <f t="shared" si="4"/>
        <v>1</v>
      </c>
      <c r="AC19" s="471">
        <f t="shared" si="5"/>
        <v>1</v>
      </c>
    </row>
    <row r="20" spans="1:29" ht="15">
      <c r="A20" s="264"/>
      <c r="B20" s="519"/>
      <c r="C20" s="266"/>
      <c r="D20" s="267"/>
      <c r="E20" s="517"/>
      <c r="F20" s="267"/>
      <c r="G20" s="517"/>
      <c r="H20" s="267"/>
      <c r="I20" s="518"/>
      <c r="J20" s="267"/>
      <c r="K20" s="2288"/>
      <c r="L20" s="402"/>
      <c r="M20" s="390"/>
      <c r="N20" s="390"/>
      <c r="O20" s="401"/>
      <c r="P20" s="3861"/>
      <c r="Q20" s="395"/>
      <c r="R20" s="465"/>
      <c r="S20" s="466"/>
      <c r="T20" s="465"/>
      <c r="U20" s="466"/>
      <c r="V20" s="465"/>
      <c r="W20" s="466"/>
      <c r="X20" s="460"/>
      <c r="Y20" s="3861"/>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0"/>
      <c r="L21" s="402"/>
      <c r="M21" s="390"/>
      <c r="N21" s="390"/>
      <c r="O21" s="401"/>
      <c r="P21" s="3861"/>
      <c r="Q21" s="395" t="str">
        <f t="shared" ref="Q21:Q36" si="8">B21</f>
        <v>区域土地利用方向</v>
      </c>
      <c r="R21" s="465" t="s">
        <v>1005</v>
      </c>
      <c r="S21" s="466">
        <f>F21</f>
        <v>100</v>
      </c>
      <c r="T21" s="465" t="s">
        <v>1005</v>
      </c>
      <c r="U21" s="466">
        <f>H21</f>
        <v>100</v>
      </c>
      <c r="V21" s="465" t="s">
        <v>1005</v>
      </c>
      <c r="W21" s="466">
        <f>J21</f>
        <v>100</v>
      </c>
      <c r="X21" s="460"/>
      <c r="Y21" s="3861"/>
      <c r="Z21" s="459" t="str">
        <f>Q21</f>
        <v>区域土地利用方向</v>
      </c>
      <c r="AA21" s="471">
        <f t="shared" si="3"/>
        <v>1</v>
      </c>
      <c r="AB21" s="471">
        <f t="shared" si="4"/>
        <v>1</v>
      </c>
      <c r="AC21" s="471">
        <f t="shared" si="5"/>
        <v>1</v>
      </c>
    </row>
    <row r="22" spans="1:29" ht="15">
      <c r="A22" s="225"/>
      <c r="B22" s="284"/>
      <c r="C22" s="266"/>
      <c r="D22" s="267"/>
      <c r="E22" s="517"/>
      <c r="F22" s="268"/>
      <c r="G22" s="518"/>
      <c r="H22" s="268"/>
      <c r="I22" s="518"/>
      <c r="J22" s="268"/>
      <c r="K22" s="2291"/>
      <c r="L22" s="402"/>
      <c r="M22" s="390"/>
      <c r="N22" s="390"/>
      <c r="O22" s="401"/>
      <c r="P22" s="3861"/>
      <c r="Q22" s="395"/>
      <c r="R22" s="465"/>
      <c r="S22" s="466"/>
      <c r="T22" s="465"/>
      <c r="U22" s="466"/>
      <c r="V22" s="465"/>
      <c r="W22" s="466"/>
      <c r="X22" s="460"/>
      <c r="Y22" s="3861"/>
      <c r="Z22" s="459"/>
      <c r="AA22" s="471"/>
      <c r="AB22" s="471"/>
      <c r="AC22" s="471"/>
    </row>
    <row r="23" spans="1:29" ht="71.25">
      <c r="A23" s="225"/>
      <c r="B23" s="519" t="s">
        <v>1089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9"/>
      <c r="L23" s="402"/>
      <c r="M23" s="390"/>
      <c r="N23" s="390"/>
      <c r="O23" s="401"/>
      <c r="P23" s="3861"/>
      <c r="Q23" s="395" t="str">
        <f t="shared" si="8"/>
        <v>环境状况</v>
      </c>
      <c r="R23" s="465" t="s">
        <v>1005</v>
      </c>
      <c r="S23" s="466">
        <f>F23</f>
        <v>100</v>
      </c>
      <c r="T23" s="465" t="s">
        <v>1005</v>
      </c>
      <c r="U23" s="466">
        <f>H23</f>
        <v>100</v>
      </c>
      <c r="V23" s="465" t="s">
        <v>1005</v>
      </c>
      <c r="W23" s="466">
        <f>J23</f>
        <v>100</v>
      </c>
      <c r="X23" s="460"/>
      <c r="Y23" s="3861"/>
      <c r="Z23" s="459" t="str">
        <f>Q23</f>
        <v>环境状况</v>
      </c>
      <c r="AA23" s="471">
        <f t="shared" si="3"/>
        <v>1</v>
      </c>
      <c r="AB23" s="471">
        <f t="shared" si="4"/>
        <v>1</v>
      </c>
      <c r="AC23" s="471">
        <f t="shared" si="5"/>
        <v>1</v>
      </c>
    </row>
    <row r="24" spans="1:29" ht="15">
      <c r="A24" s="225"/>
      <c r="B24" s="284"/>
      <c r="C24" s="266"/>
      <c r="D24" s="267"/>
      <c r="E24" s="555"/>
      <c r="F24" s="267"/>
      <c r="G24" s="555"/>
      <c r="H24" s="267"/>
      <c r="I24" s="266"/>
      <c r="J24" s="267"/>
      <c r="K24" s="2288"/>
      <c r="L24" s="402"/>
      <c r="M24" s="390"/>
      <c r="N24" s="390"/>
      <c r="O24" s="401"/>
      <c r="P24" s="3861"/>
      <c r="Q24" s="395"/>
      <c r="R24" s="465"/>
      <c r="S24" s="466"/>
      <c r="T24" s="465"/>
      <c r="U24" s="466"/>
      <c r="V24" s="465"/>
      <c r="W24" s="466"/>
      <c r="X24" s="460"/>
      <c r="Y24" s="3861"/>
      <c r="Z24" s="459"/>
      <c r="AA24" s="471">
        <v>1</v>
      </c>
      <c r="AB24" s="471">
        <v>1</v>
      </c>
      <c r="AC24" s="471">
        <v>1</v>
      </c>
    </row>
    <row r="25" spans="1:29" s="199" customFormat="1" ht="42.75">
      <c r="A25" s="600"/>
      <c r="B25" s="58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9"/>
      <c r="L25" s="392"/>
      <c r="M25" s="393"/>
      <c r="N25" s="393"/>
      <c r="O25" s="394"/>
      <c r="P25" s="3861"/>
      <c r="Q25" s="464" t="str">
        <f t="shared" si="8"/>
        <v>公共配套设施</v>
      </c>
      <c r="R25" s="461" t="s">
        <v>1005</v>
      </c>
      <c r="S25" s="462">
        <f>F25</f>
        <v>100</v>
      </c>
      <c r="T25" s="461" t="s">
        <v>1005</v>
      </c>
      <c r="U25" s="462">
        <f>H25</f>
        <v>100</v>
      </c>
      <c r="V25" s="461" t="s">
        <v>1005</v>
      </c>
      <c r="W25" s="462">
        <f>J25</f>
        <v>100</v>
      </c>
      <c r="X25" s="463"/>
      <c r="Y25" s="3861"/>
      <c r="Z25" s="481" t="str">
        <f>Q25</f>
        <v>公共配套设施</v>
      </c>
      <c r="AA25" s="471">
        <f>D25/F25</f>
        <v>1</v>
      </c>
      <c r="AB25" s="471">
        <f>D25/H25</f>
        <v>1</v>
      </c>
      <c r="AC25" s="471">
        <f>D25/J25</f>
        <v>1</v>
      </c>
    </row>
    <row r="26" spans="1:29" s="199" customFormat="1" ht="15">
      <c r="A26" s="600"/>
      <c r="B26" s="284"/>
      <c r="C26" s="2229"/>
      <c r="D26" s="267"/>
      <c r="E26" s="555"/>
      <c r="F26" s="267"/>
      <c r="G26" s="555"/>
      <c r="H26" s="267"/>
      <c r="I26" s="266"/>
      <c r="J26" s="267"/>
      <c r="K26" s="2288"/>
      <c r="L26" s="392"/>
      <c r="M26" s="393"/>
      <c r="N26" s="393"/>
      <c r="O26" s="394"/>
      <c r="P26" s="3861"/>
      <c r="Q26" s="464"/>
      <c r="R26" s="461"/>
      <c r="S26" s="462"/>
      <c r="T26" s="461"/>
      <c r="U26" s="462"/>
      <c r="V26" s="461"/>
      <c r="W26" s="462"/>
      <c r="X26" s="463"/>
      <c r="Y26" s="3861"/>
      <c r="Z26" s="481"/>
      <c r="AA26" s="480">
        <v>1</v>
      </c>
      <c r="AB26" s="480">
        <v>1</v>
      </c>
      <c r="AC26" s="480">
        <v>1</v>
      </c>
    </row>
    <row r="27" spans="1:29" s="199" customFormat="1" ht="28.5">
      <c r="A27" s="600"/>
      <c r="B27" s="58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9"/>
      <c r="L27" s="392"/>
      <c r="M27" s="393"/>
      <c r="N27" s="393"/>
      <c r="O27" s="394"/>
      <c r="P27" s="3861"/>
      <c r="Q27" s="464" t="str">
        <f>B27</f>
        <v>基础设施水平</v>
      </c>
      <c r="R27" s="461" t="s">
        <v>1005</v>
      </c>
      <c r="S27" s="462">
        <f>F27</f>
        <v>100</v>
      </c>
      <c r="T27" s="461" t="s">
        <v>1005</v>
      </c>
      <c r="U27" s="462">
        <f>H27</f>
        <v>100</v>
      </c>
      <c r="V27" s="461" t="s">
        <v>1005</v>
      </c>
      <c r="W27" s="462">
        <f>J27</f>
        <v>100</v>
      </c>
      <c r="X27" s="463"/>
      <c r="Y27" s="3861"/>
      <c r="Z27" s="481" t="str">
        <f>Q27</f>
        <v>基础设施水平</v>
      </c>
      <c r="AA27" s="471">
        <f>D27/F27</f>
        <v>1</v>
      </c>
      <c r="AB27" s="471">
        <f>D27/H27</f>
        <v>1</v>
      </c>
      <c r="AC27" s="471">
        <f>D27/J27</f>
        <v>1</v>
      </c>
    </row>
    <row r="28" spans="1:29" s="199" customFormat="1" ht="15">
      <c r="A28" s="600"/>
      <c r="B28" s="284"/>
      <c r="C28" s="2229"/>
      <c r="D28" s="267"/>
      <c r="E28" s="2230"/>
      <c r="F28" s="267"/>
      <c r="G28" s="2230"/>
      <c r="H28" s="267"/>
      <c r="I28" s="2230"/>
      <c r="J28" s="267"/>
      <c r="K28" s="2288"/>
      <c r="L28" s="392"/>
      <c r="M28" s="393"/>
      <c r="N28" s="393"/>
      <c r="O28" s="394"/>
      <c r="P28" s="3861"/>
      <c r="Q28" s="464"/>
      <c r="R28" s="461"/>
      <c r="S28" s="462"/>
      <c r="T28" s="461"/>
      <c r="U28" s="462"/>
      <c r="V28" s="461"/>
      <c r="W28" s="462"/>
      <c r="X28" s="463"/>
      <c r="Y28" s="3861"/>
      <c r="Z28" s="481"/>
      <c r="AA28" s="480">
        <v>1</v>
      </c>
      <c r="AB28" s="480">
        <v>1</v>
      </c>
      <c r="AC28" s="480">
        <v>1</v>
      </c>
    </row>
    <row r="29" spans="1:29" ht="15">
      <c r="A29" s="264"/>
      <c r="B29" s="284" t="s">
        <v>232</v>
      </c>
      <c r="C29" s="285"/>
      <c r="D29" s="256">
        <v>100</v>
      </c>
      <c r="E29" s="560"/>
      <c r="F29" s="256">
        <f>SUMIF(96:96,E29,97:97)-SUMIF(96:96,C29,97:97)+100</f>
        <v>100</v>
      </c>
      <c r="G29" s="560"/>
      <c r="H29" s="256">
        <f>SUMIF(96:96,G29,97:97)-SUMIF(96:96,C29,97:97)+100</f>
        <v>100</v>
      </c>
      <c r="I29" s="560"/>
      <c r="J29" s="256">
        <f>SUMIF(96:96,I29,97:97)-SUMIF(96:96,C29,97:97)+100</f>
        <v>100</v>
      </c>
      <c r="K29" s="2289"/>
      <c r="L29" s="402"/>
      <c r="M29" s="390"/>
      <c r="N29" s="390"/>
      <c r="O29" s="401"/>
      <c r="P29" s="3861"/>
      <c r="Q29" s="395" t="str">
        <f t="shared" si="8"/>
        <v>临街状况</v>
      </c>
      <c r="R29" s="465" t="s">
        <v>1005</v>
      </c>
      <c r="S29" s="466">
        <f t="shared" ref="S29:S42" si="9">F29</f>
        <v>100</v>
      </c>
      <c r="T29" s="465" t="s">
        <v>1005</v>
      </c>
      <c r="U29" s="466">
        <f t="shared" ref="U29:U42" si="10">H29</f>
        <v>100</v>
      </c>
      <c r="V29" s="465" t="s">
        <v>1005</v>
      </c>
      <c r="W29" s="466">
        <f t="shared" ref="W29:W42" si="11">J29</f>
        <v>100</v>
      </c>
      <c r="X29" s="460"/>
      <c r="Y29" s="3861"/>
      <c r="Z29" s="459" t="str">
        <f t="shared" ref="Z29:Z42" si="12">Q29</f>
        <v>临街状况</v>
      </c>
      <c r="AA29" s="471">
        <f t="shared" si="3"/>
        <v>1</v>
      </c>
      <c r="AB29" s="471">
        <f t="shared" si="4"/>
        <v>1</v>
      </c>
      <c r="AC29" s="471">
        <f t="shared" si="5"/>
        <v>1</v>
      </c>
    </row>
    <row r="30" spans="1:29" ht="27">
      <c r="A30" s="264"/>
      <c r="B30" s="519" t="s">
        <v>1024</v>
      </c>
      <c r="C30" s="2231">
        <f>估价对象房地状况!G22</f>
        <v>0</v>
      </c>
      <c r="D30" s="269">
        <v>100</v>
      </c>
      <c r="E30" s="279"/>
      <c r="F30" s="269">
        <f>SUMIF(98:98,E31,99:99)-SUMIF(98:98,C31,99:99)+100</f>
        <v>100</v>
      </c>
      <c r="G30" s="279"/>
      <c r="H30" s="269">
        <f>SUMIF(98:98,G31,99:99)-SUMIF(98:98,C31,99:99)+100</f>
        <v>100</v>
      </c>
      <c r="I30" s="281"/>
      <c r="J30" s="269">
        <f>SUMIF(98:98,I31,99:99)-SUMIF(98:98,C31,99:99)+100</f>
        <v>100</v>
      </c>
      <c r="K30" s="2289"/>
      <c r="L30" s="402"/>
      <c r="M30" s="390"/>
      <c r="N30" s="390"/>
      <c r="O30" s="401"/>
      <c r="P30" s="3861"/>
      <c r="Q30" s="395" t="str">
        <f t="shared" si="8"/>
        <v>毗邻道路的类型与等级</v>
      </c>
      <c r="R30" s="465" t="s">
        <v>1005</v>
      </c>
      <c r="S30" s="466">
        <f t="shared" si="9"/>
        <v>100</v>
      </c>
      <c r="T30" s="465" t="s">
        <v>1005</v>
      </c>
      <c r="U30" s="466">
        <f t="shared" si="10"/>
        <v>100</v>
      </c>
      <c r="V30" s="465" t="s">
        <v>1005</v>
      </c>
      <c r="W30" s="466">
        <f t="shared" si="11"/>
        <v>100</v>
      </c>
      <c r="X30" s="460"/>
      <c r="Y30" s="3861"/>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61"/>
      <c r="Q31" s="395"/>
      <c r="R31" s="465"/>
      <c r="S31" s="466"/>
      <c r="T31" s="465"/>
      <c r="U31" s="466"/>
      <c r="V31" s="465"/>
      <c r="W31" s="466"/>
      <c r="X31" s="460"/>
      <c r="Y31" s="3861"/>
      <c r="Z31" s="459"/>
      <c r="AA31" s="471">
        <v>1</v>
      </c>
      <c r="AB31" s="471">
        <v>1</v>
      </c>
      <c r="AC31" s="471">
        <v>1</v>
      </c>
    </row>
    <row r="32" spans="1:29" ht="15">
      <c r="A32" s="264"/>
      <c r="B32" s="298" t="s">
        <v>1027</v>
      </c>
      <c r="C32" s="2232">
        <f>估价对象房地状况!G23</f>
        <v>0</v>
      </c>
      <c r="D32" s="256">
        <v>100</v>
      </c>
      <c r="E32" s="560"/>
      <c r="F32" s="256">
        <f>SUMIF(100:100,E32,101:101)-SUMIF(100:100,C32,101:101)+100</f>
        <v>100</v>
      </c>
      <c r="G32" s="560"/>
      <c r="H32" s="256">
        <f>SUMIF(100:100,G32,101:101)-SUMIF(100:100,C32,101:101)+100</f>
        <v>100</v>
      </c>
      <c r="I32" s="560"/>
      <c r="J32" s="256">
        <f>SUMIF(100:100,I32,101:101)-SUMIF(100:100,C32,101:101)+100</f>
        <v>100</v>
      </c>
      <c r="K32" s="406"/>
      <c r="L32" s="402"/>
      <c r="M32" s="390"/>
      <c r="N32" s="390"/>
      <c r="O32" s="401"/>
      <c r="P32" s="3861"/>
      <c r="Q32" s="395" t="str">
        <f t="shared" si="8"/>
        <v>土地级别</v>
      </c>
      <c r="R32" s="465" t="s">
        <v>1005</v>
      </c>
      <c r="S32" s="466">
        <f t="shared" si="9"/>
        <v>100</v>
      </c>
      <c r="T32" s="465" t="s">
        <v>1005</v>
      </c>
      <c r="U32" s="466">
        <f t="shared" si="10"/>
        <v>100</v>
      </c>
      <c r="V32" s="465" t="s">
        <v>1005</v>
      </c>
      <c r="W32" s="466">
        <f t="shared" si="11"/>
        <v>100</v>
      </c>
      <c r="X32" s="460"/>
      <c r="Y32" s="3861"/>
      <c r="Z32" s="459" t="str">
        <f t="shared" si="12"/>
        <v>土地级别</v>
      </c>
      <c r="AA32" s="471">
        <f t="shared" si="3"/>
        <v>1</v>
      </c>
      <c r="AB32" s="471">
        <f t="shared" si="4"/>
        <v>1</v>
      </c>
      <c r="AC32" s="471">
        <f t="shared" si="5"/>
        <v>1</v>
      </c>
    </row>
    <row r="33" spans="1:29" ht="15">
      <c r="A33" s="225"/>
      <c r="B33" s="520">
        <v>111</v>
      </c>
      <c r="C33" s="2228"/>
      <c r="D33" s="256">
        <v>100</v>
      </c>
      <c r="E33" s="918"/>
      <c r="F33" s="256">
        <f>SUMIF(102:102,E33,103:103)-SUMIF(102:102,C33,103:103)+100</f>
        <v>100</v>
      </c>
      <c r="G33" s="918"/>
      <c r="H33" s="256">
        <f>SUMIF(102:102,G33,103:103)-SUMIF(102:102,C33,103:103)+100</f>
        <v>100</v>
      </c>
      <c r="I33" s="371"/>
      <c r="J33" s="256">
        <f>SUMIF(102:102,I33,103:103)-SUMIF(102:102,C33,103:103)+100</f>
        <v>100</v>
      </c>
      <c r="K33" s="399"/>
      <c r="L33" s="402"/>
      <c r="M33" s="390"/>
      <c r="N33" s="390"/>
      <c r="O33" s="401"/>
      <c r="P33" s="3861"/>
      <c r="Q33" s="395">
        <f t="shared" si="8"/>
        <v>111</v>
      </c>
      <c r="R33" s="465" t="s">
        <v>1005</v>
      </c>
      <c r="S33" s="466">
        <f t="shared" si="9"/>
        <v>100</v>
      </c>
      <c r="T33" s="465" t="s">
        <v>1005</v>
      </c>
      <c r="U33" s="466">
        <f t="shared" si="10"/>
        <v>100</v>
      </c>
      <c r="V33" s="465" t="s">
        <v>1005</v>
      </c>
      <c r="W33" s="466">
        <f t="shared" si="11"/>
        <v>100</v>
      </c>
      <c r="X33" s="460"/>
      <c r="Y33" s="3861"/>
      <c r="Z33" s="459">
        <f t="shared" si="12"/>
        <v>111</v>
      </c>
      <c r="AA33" s="471">
        <f t="shared" si="3"/>
        <v>1</v>
      </c>
      <c r="AB33" s="471">
        <f t="shared" si="4"/>
        <v>1</v>
      </c>
      <c r="AC33" s="471">
        <f t="shared" si="5"/>
        <v>1</v>
      </c>
    </row>
    <row r="34" spans="1:29" ht="15">
      <c r="A34" s="2233"/>
      <c r="B34" s="2234">
        <v>111</v>
      </c>
      <c r="C34" s="2228"/>
      <c r="D34" s="256">
        <v>100</v>
      </c>
      <c r="E34" s="918"/>
      <c r="F34" s="256">
        <f>SUMIF(104:104,E35,105:105)-SUMIF(104:104,C35,105:105)+100</f>
        <v>100</v>
      </c>
      <c r="G34" s="918"/>
      <c r="H34" s="256">
        <f>SUMIF(104:104,G34,105:105)-SUMIF(104:104,C34,105:105)+100</f>
        <v>100</v>
      </c>
      <c r="I34" s="2228"/>
      <c r="J34" s="256">
        <f>SUMIF(104:104,I34,105:105)-SUMIF(104:104,C34,105:105)+100</f>
        <v>100</v>
      </c>
      <c r="K34" s="399"/>
      <c r="L34" s="402"/>
      <c r="M34" s="390"/>
      <c r="N34" s="390"/>
      <c r="O34" s="401"/>
      <c r="P34" s="3862" t="s">
        <v>1028</v>
      </c>
      <c r="Q34" s="395">
        <f t="shared" si="8"/>
        <v>111</v>
      </c>
      <c r="R34" s="465" t="s">
        <v>1005</v>
      </c>
      <c r="S34" s="466">
        <f t="shared" si="9"/>
        <v>100</v>
      </c>
      <c r="T34" s="465" t="s">
        <v>1005</v>
      </c>
      <c r="U34" s="466">
        <f t="shared" si="10"/>
        <v>100</v>
      </c>
      <c r="V34" s="465" t="s">
        <v>1005</v>
      </c>
      <c r="W34" s="466">
        <f t="shared" si="11"/>
        <v>100</v>
      </c>
      <c r="X34" s="460"/>
      <c r="Y34" s="3863" t="s">
        <v>1028</v>
      </c>
      <c r="Z34" s="459">
        <f t="shared" si="12"/>
        <v>111</v>
      </c>
      <c r="AA34" s="471">
        <f t="shared" si="3"/>
        <v>1</v>
      </c>
      <c r="AB34" s="471">
        <f t="shared" si="4"/>
        <v>1</v>
      </c>
      <c r="AC34" s="471">
        <f t="shared" si="5"/>
        <v>1</v>
      </c>
    </row>
    <row r="35" spans="1:29" s="201" customFormat="1" ht="15">
      <c r="A35" s="2235"/>
      <c r="B35" s="2236">
        <v>111</v>
      </c>
      <c r="C35" s="2237"/>
      <c r="D35" s="2238">
        <v>100</v>
      </c>
      <c r="E35" s="2239"/>
      <c r="F35" s="309">
        <f>SUMIF(106:106,E35,107:107)-SUMIF(106:106,C35,107:107)+100</f>
        <v>100</v>
      </c>
      <c r="G35" s="2239"/>
      <c r="H35" s="309">
        <f>SUMIF(106:106,G35,107:107)-SUMIF(106:106,C35,107:107)+100</f>
        <v>100</v>
      </c>
      <c r="I35" s="2237"/>
      <c r="J35" s="309">
        <f>SUMIF(106:106,I35,107:107)-SUMIF(106:106,C35,107:107)+100</f>
        <v>100</v>
      </c>
      <c r="K35" s="399"/>
      <c r="L35" s="400"/>
      <c r="M35" s="407"/>
      <c r="N35" s="407"/>
      <c r="O35" s="408"/>
      <c r="P35" s="3863"/>
      <c r="Q35" s="395">
        <f t="shared" si="8"/>
        <v>111</v>
      </c>
      <c r="R35" s="468" t="s">
        <v>1005</v>
      </c>
      <c r="S35" s="469">
        <f t="shared" si="9"/>
        <v>100</v>
      </c>
      <c r="T35" s="468" t="s">
        <v>1005</v>
      </c>
      <c r="U35" s="469">
        <f t="shared" si="10"/>
        <v>100</v>
      </c>
      <c r="V35" s="468" t="s">
        <v>1005</v>
      </c>
      <c r="W35" s="469">
        <f t="shared" si="11"/>
        <v>100</v>
      </c>
      <c r="X35" s="470"/>
      <c r="Y35" s="3863"/>
      <c r="Z35" s="482">
        <f t="shared" si="12"/>
        <v>111</v>
      </c>
      <c r="AA35" s="471">
        <f t="shared" si="3"/>
        <v>1</v>
      </c>
      <c r="AB35" s="471">
        <f t="shared" si="4"/>
        <v>1</v>
      </c>
      <c r="AC35" s="471">
        <f t="shared" si="5"/>
        <v>1</v>
      </c>
    </row>
    <row r="36" spans="1:29" ht="15">
      <c r="A36" s="292" t="s">
        <v>1029</v>
      </c>
      <c r="B36" s="284" t="s">
        <v>1030</v>
      </c>
      <c r="C36" s="2240"/>
      <c r="D36" s="295">
        <v>100</v>
      </c>
      <c r="E36" s="2240"/>
      <c r="F36" s="295" t="e">
        <f>LOOKUP(E36,109:109,110:110)-LOOKUP(C36,109:109,110:110)+100</f>
        <v>#N/A</v>
      </c>
      <c r="G36" s="2240"/>
      <c r="H36" s="295" t="e">
        <f>LOOKUP(G36,109:109,110:110)-LOOKUP(C36,109:109,110:110)+100</f>
        <v>#N/A</v>
      </c>
      <c r="I36" s="363"/>
      <c r="J36" s="295" t="e">
        <f>LOOKUP(I36,109:109,110:110)-LOOKUP(C36,109:109,110:110)+100</f>
        <v>#N/A</v>
      </c>
      <c r="K36" s="399"/>
      <c r="L36" s="402"/>
      <c r="M36" s="390"/>
      <c r="N36" s="390"/>
      <c r="O36" s="401"/>
      <c r="P36" s="3863"/>
      <c r="Q36" s="395" t="str">
        <f t="shared" si="8"/>
        <v>宗地面积</v>
      </c>
      <c r="R36" s="465" t="s">
        <v>1005</v>
      </c>
      <c r="S36" s="466" t="e">
        <f t="shared" si="9"/>
        <v>#N/A</v>
      </c>
      <c r="T36" s="465" t="s">
        <v>1005</v>
      </c>
      <c r="U36" s="466" t="e">
        <f t="shared" si="10"/>
        <v>#N/A</v>
      </c>
      <c r="V36" s="465" t="s">
        <v>1005</v>
      </c>
      <c r="W36" s="466" t="e">
        <f t="shared" si="11"/>
        <v>#N/A</v>
      </c>
      <c r="X36" s="460"/>
      <c r="Y36" s="3863"/>
      <c r="Z36" s="459" t="str">
        <f t="shared" si="12"/>
        <v>宗地面积</v>
      </c>
      <c r="AA36" s="471" t="e">
        <f t="shared" si="3"/>
        <v>#N/A</v>
      </c>
      <c r="AB36" s="471" t="e">
        <f t="shared" si="4"/>
        <v>#N/A</v>
      </c>
      <c r="AC36" s="471" t="e">
        <f t="shared" si="5"/>
        <v>#N/A</v>
      </c>
    </row>
    <row r="37" spans="1:29" ht="15">
      <c r="A37" s="302"/>
      <c r="B37" s="298" t="s">
        <v>1031</v>
      </c>
      <c r="C37" s="566"/>
      <c r="D37" s="256">
        <v>100</v>
      </c>
      <c r="E37" s="566"/>
      <c r="F37" s="256">
        <f>SUMIF(111:111,E37,112:112)-SUMIF(111:111,C37,112:112)+100</f>
        <v>100</v>
      </c>
      <c r="G37" s="566"/>
      <c r="H37" s="256">
        <f>SUMIF(111:111,G37,112:112)-SUMIF(111:111,C37,112:112)+100</f>
        <v>100</v>
      </c>
      <c r="I37" s="566"/>
      <c r="J37" s="256">
        <f>SUMIF(111:111,I37,112:112)-SUMIF(111:111,C37,112:112)+100</f>
        <v>100</v>
      </c>
      <c r="K37" s="406"/>
      <c r="L37" s="402"/>
      <c r="M37" s="390"/>
      <c r="N37" s="390"/>
      <c r="O37" s="401"/>
      <c r="P37" s="3863"/>
      <c r="Q37" s="395" t="str">
        <f t="shared" ref="Q37:Q42" si="13">B37</f>
        <v>宗地形状</v>
      </c>
      <c r="R37" s="465" t="s">
        <v>1005</v>
      </c>
      <c r="S37" s="466">
        <f t="shared" si="9"/>
        <v>100</v>
      </c>
      <c r="T37" s="465" t="s">
        <v>1005</v>
      </c>
      <c r="U37" s="466">
        <f t="shared" si="10"/>
        <v>100</v>
      </c>
      <c r="V37" s="465" t="s">
        <v>1005</v>
      </c>
      <c r="W37" s="466">
        <f t="shared" si="11"/>
        <v>100</v>
      </c>
      <c r="X37" s="460"/>
      <c r="Y37" s="3863"/>
      <c r="Z37" s="459" t="str">
        <f t="shared" si="12"/>
        <v>宗地形状</v>
      </c>
      <c r="AA37" s="471">
        <f t="shared" si="3"/>
        <v>1</v>
      </c>
      <c r="AB37" s="471">
        <f t="shared" si="4"/>
        <v>1</v>
      </c>
      <c r="AC37" s="471">
        <f t="shared" si="5"/>
        <v>1</v>
      </c>
    </row>
    <row r="38" spans="1:29" s="199" customFormat="1" ht="15">
      <c r="A38" s="305"/>
      <c r="B38" s="525" t="s">
        <v>1034</v>
      </c>
      <c r="C38" s="2241"/>
      <c r="D38" s="246">
        <v>100</v>
      </c>
      <c r="E38" s="2241"/>
      <c r="F38" s="256">
        <f>SUMIF(113:113,E38,114:114)-SUMIF(113:113,C38,114:114)+100</f>
        <v>100</v>
      </c>
      <c r="G38" s="2241"/>
      <c r="H38" s="256">
        <f>SUMIF(113:113,G38,114:114)-SUMIF(113:113,C38,114:114)+100</f>
        <v>100</v>
      </c>
      <c r="I38" s="2241"/>
      <c r="J38" s="256">
        <f>SUMIF(113:113,I38,114:114)-SUMIF(113:113,C38,114:114)+100</f>
        <v>100</v>
      </c>
      <c r="K38" s="406"/>
      <c r="L38" s="392"/>
      <c r="M38" s="393"/>
      <c r="N38" s="393"/>
      <c r="O38" s="394"/>
      <c r="P38" s="3863"/>
      <c r="Q38" s="395" t="str">
        <f t="shared" si="13"/>
        <v>宗地开发程度</v>
      </c>
      <c r="R38" s="461" t="s">
        <v>1005</v>
      </c>
      <c r="S38" s="462">
        <f t="shared" si="9"/>
        <v>100</v>
      </c>
      <c r="T38" s="461" t="s">
        <v>1005</v>
      </c>
      <c r="U38" s="462">
        <f t="shared" si="10"/>
        <v>100</v>
      </c>
      <c r="V38" s="461" t="s">
        <v>1005</v>
      </c>
      <c r="W38" s="462">
        <f t="shared" si="11"/>
        <v>100</v>
      </c>
      <c r="X38" s="463"/>
      <c r="Y38" s="3863"/>
      <c r="Z38" s="481" t="str">
        <f t="shared" si="12"/>
        <v>宗地开发程度</v>
      </c>
      <c r="AA38" s="480">
        <f t="shared" si="3"/>
        <v>1</v>
      </c>
      <c r="AB38" s="480">
        <f t="shared" si="4"/>
        <v>1</v>
      </c>
      <c r="AC38" s="480">
        <f t="shared" si="5"/>
        <v>1</v>
      </c>
    </row>
    <row r="39" spans="1:29" ht="15">
      <c r="A39" s="302"/>
      <c r="B39" s="298" t="s">
        <v>1035</v>
      </c>
      <c r="C39" s="566"/>
      <c r="D39" s="256">
        <v>100</v>
      </c>
      <c r="E39" s="566"/>
      <c r="F39" s="256">
        <f>SUMIF(115:115,E39,116:116)-SUMIF(115:115,C39,116:116)+100</f>
        <v>100</v>
      </c>
      <c r="G39" s="566"/>
      <c r="H39" s="256">
        <f>SUMIF(115:115,G39,116:116)-SUMIF(115:115,C39,116:116)+100</f>
        <v>100</v>
      </c>
      <c r="I39" s="566"/>
      <c r="J39" s="256">
        <f>SUMIF(115:115,I39,116:116)-SUMIF(115:115,C39,116:116)+100</f>
        <v>100</v>
      </c>
      <c r="K39" s="406"/>
      <c r="L39" s="402"/>
      <c r="M39" s="390"/>
      <c r="N39" s="390"/>
      <c r="O39" s="401"/>
      <c r="P39" s="3863" t="s">
        <v>1028</v>
      </c>
      <c r="Q39" s="395" t="str">
        <f t="shared" si="13"/>
        <v>工程地质条件</v>
      </c>
      <c r="R39" s="465" t="s">
        <v>1005</v>
      </c>
      <c r="S39" s="466">
        <f t="shared" si="9"/>
        <v>100</v>
      </c>
      <c r="T39" s="465" t="s">
        <v>1005</v>
      </c>
      <c r="U39" s="466">
        <f t="shared" si="10"/>
        <v>100</v>
      </c>
      <c r="V39" s="465" t="s">
        <v>1005</v>
      </c>
      <c r="W39" s="466">
        <f t="shared" si="11"/>
        <v>100</v>
      </c>
      <c r="X39" s="460"/>
      <c r="Y39" s="3863" t="s">
        <v>1028</v>
      </c>
      <c r="Z39" s="459" t="str">
        <f t="shared" si="12"/>
        <v>工程地质条件</v>
      </c>
      <c r="AA39" s="471">
        <f t="shared" si="3"/>
        <v>1</v>
      </c>
      <c r="AB39" s="471">
        <f t="shared" si="4"/>
        <v>1</v>
      </c>
      <c r="AC39" s="471">
        <f t="shared" si="5"/>
        <v>1</v>
      </c>
    </row>
    <row r="40" spans="1:29" ht="15">
      <c r="A40" s="302"/>
      <c r="B40" s="2234">
        <v>111</v>
      </c>
      <c r="C40" s="2228"/>
      <c r="D40" s="256">
        <v>100</v>
      </c>
      <c r="E40" s="2228"/>
      <c r="F40" s="256">
        <f>SUMIF(117:117,E40,118:118)-SUMIF(117:117,C40,118:118)+100</f>
        <v>100</v>
      </c>
      <c r="G40" s="2228"/>
      <c r="H40" s="256">
        <f>SUMIF(117:117,G40,118:118)-SUMIF(117:117,C40,118:118)+100</f>
        <v>100</v>
      </c>
      <c r="I40" s="371"/>
      <c r="J40" s="256">
        <f>SUMIF(117:117,I40,118:118)-SUMIF(117:117,C40,118:118)+100</f>
        <v>100</v>
      </c>
      <c r="K40" s="399"/>
      <c r="L40" s="402"/>
      <c r="M40" s="390"/>
      <c r="N40" s="390"/>
      <c r="O40" s="401"/>
      <c r="P40" s="3863"/>
      <c r="Q40" s="395">
        <f t="shared" si="13"/>
        <v>111</v>
      </c>
      <c r="R40" s="465" t="s">
        <v>1005</v>
      </c>
      <c r="S40" s="466">
        <f t="shared" si="9"/>
        <v>100</v>
      </c>
      <c r="T40" s="465" t="s">
        <v>1005</v>
      </c>
      <c r="U40" s="466">
        <f t="shared" si="10"/>
        <v>100</v>
      </c>
      <c r="V40" s="465" t="s">
        <v>1005</v>
      </c>
      <c r="W40" s="466">
        <f t="shared" si="11"/>
        <v>100</v>
      </c>
      <c r="X40" s="460"/>
      <c r="Y40" s="3863"/>
      <c r="Z40" s="459">
        <f t="shared" si="12"/>
        <v>111</v>
      </c>
      <c r="AA40" s="471">
        <f t="shared" si="3"/>
        <v>1</v>
      </c>
      <c r="AB40" s="471">
        <f t="shared" si="4"/>
        <v>1</v>
      </c>
      <c r="AC40" s="471">
        <f t="shared" si="5"/>
        <v>1</v>
      </c>
    </row>
    <row r="41" spans="1:29" ht="15">
      <c r="A41" s="302"/>
      <c r="B41" s="2234">
        <v>111</v>
      </c>
      <c r="C41" s="2228"/>
      <c r="D41" s="256">
        <v>100</v>
      </c>
      <c r="E41" s="2228"/>
      <c r="F41" s="256">
        <f>SUMIF(119:119,E41,120:120)-SUMIF(119:119,C41,120:120)+100</f>
        <v>100</v>
      </c>
      <c r="G41" s="2228"/>
      <c r="H41" s="256">
        <f>SUMIF(119:119,G41,120:120)-SUMIF(119:119,C41,120:120)+100</f>
        <v>100</v>
      </c>
      <c r="I41" s="371"/>
      <c r="J41" s="256">
        <f>SUMIF(119:119,I41,120:120)-SUMIF(119:119,C41,120:120)+100</f>
        <v>100</v>
      </c>
      <c r="K41" s="399"/>
      <c r="L41" s="402"/>
      <c r="M41" s="390"/>
      <c r="N41" s="390"/>
      <c r="O41" s="401"/>
      <c r="P41" s="3863"/>
      <c r="Q41" s="395">
        <f t="shared" si="13"/>
        <v>111</v>
      </c>
      <c r="R41" s="465" t="s">
        <v>1005</v>
      </c>
      <c r="S41" s="466">
        <f t="shared" si="9"/>
        <v>100</v>
      </c>
      <c r="T41" s="465" t="s">
        <v>1005</v>
      </c>
      <c r="U41" s="466">
        <f t="shared" si="10"/>
        <v>100</v>
      </c>
      <c r="V41" s="465" t="s">
        <v>1005</v>
      </c>
      <c r="W41" s="466">
        <f t="shared" si="11"/>
        <v>100</v>
      </c>
      <c r="X41" s="460"/>
      <c r="Y41" s="3863"/>
      <c r="Z41" s="459">
        <f t="shared" si="12"/>
        <v>111</v>
      </c>
      <c r="AA41" s="471">
        <f t="shared" si="3"/>
        <v>1</v>
      </c>
      <c r="AB41" s="471">
        <f t="shared" si="4"/>
        <v>1</v>
      </c>
      <c r="AC41" s="471">
        <f t="shared" si="5"/>
        <v>1</v>
      </c>
    </row>
    <row r="42" spans="1:29" s="201" customFormat="1" ht="15">
      <c r="A42" s="297"/>
      <c r="B42" s="2234">
        <v>111</v>
      </c>
      <c r="C42" s="2242"/>
      <c r="D42" s="2238">
        <v>100</v>
      </c>
      <c r="E42" s="2228"/>
      <c r="F42" s="309">
        <f>SUMIF(121:121,E42,122:122)-SUMIF(121:121,C42,122:122)+100</f>
        <v>100</v>
      </c>
      <c r="G42" s="2228"/>
      <c r="H42" s="309">
        <f>SUMIF(121:121,G42,122:122)-SUMIF(121:121,C42,122:122)+100</f>
        <v>100</v>
      </c>
      <c r="I42" s="371"/>
      <c r="J42" s="309">
        <f>SUMIF(121:121,I42,122:122)-SUMIF(121:121,C42,122:122)+100</f>
        <v>100</v>
      </c>
      <c r="K42" s="2292"/>
      <c r="L42" s="400"/>
      <c r="M42" s="407"/>
      <c r="N42" s="407"/>
      <c r="O42" s="408"/>
      <c r="P42" s="3863"/>
      <c r="Q42" s="395">
        <f t="shared" si="13"/>
        <v>111</v>
      </c>
      <c r="R42" s="468" t="s">
        <v>1005</v>
      </c>
      <c r="S42" s="469">
        <f t="shared" si="9"/>
        <v>100</v>
      </c>
      <c r="T42" s="468" t="s">
        <v>1005</v>
      </c>
      <c r="U42" s="469">
        <f t="shared" si="10"/>
        <v>100</v>
      </c>
      <c r="V42" s="468" t="s">
        <v>1005</v>
      </c>
      <c r="W42" s="469">
        <f t="shared" si="11"/>
        <v>100</v>
      </c>
      <c r="X42" s="470"/>
      <c r="Y42" s="3863"/>
      <c r="Z42" s="482">
        <f t="shared" si="12"/>
        <v>111</v>
      </c>
      <c r="AA42" s="471">
        <f t="shared" si="3"/>
        <v>1</v>
      </c>
      <c r="AB42" s="471">
        <f t="shared" si="4"/>
        <v>1</v>
      </c>
      <c r="AC42" s="471">
        <f t="shared" si="5"/>
        <v>1</v>
      </c>
    </row>
    <row r="43" spans="1:29" ht="15">
      <c r="A43" s="312" t="s">
        <v>1036</v>
      </c>
      <c r="B43" s="2243" t="s">
        <v>1090</v>
      </c>
      <c r="C43" s="2244" t="s">
        <v>138</v>
      </c>
      <c r="D43" s="2245"/>
      <c r="E43" s="2246"/>
      <c r="F43" s="2247"/>
      <c r="G43" s="2248"/>
      <c r="H43" s="2249"/>
      <c r="I43" s="2246"/>
      <c r="J43" s="2249"/>
      <c r="K43" s="2293"/>
      <c r="L43" s="410"/>
      <c r="M43" s="390"/>
      <c r="N43" s="390"/>
      <c r="O43" s="340"/>
      <c r="P43" s="3858" t="str">
        <f>A43</f>
        <v>成交单价</v>
      </c>
      <c r="Q43" s="3858"/>
      <c r="R43" s="3859">
        <f>E43</f>
        <v>0</v>
      </c>
      <c r="S43" s="3859"/>
      <c r="T43" s="3859">
        <f>G43</f>
        <v>0</v>
      </c>
      <c r="U43" s="3859"/>
      <c r="V43" s="3859">
        <f>I43</f>
        <v>0</v>
      </c>
      <c r="W43" s="3859"/>
      <c r="X43" s="342"/>
      <c r="Y43" s="483"/>
      <c r="Z43" s="342"/>
      <c r="AA43" s="342"/>
      <c r="AB43" s="342"/>
      <c r="AC43" s="342"/>
    </row>
    <row r="44" spans="1:29" ht="15">
      <c r="A44" s="320" t="s">
        <v>1037</v>
      </c>
      <c r="B44" s="2250"/>
      <c r="C44" s="2251" t="e">
        <f>R45</f>
        <v>#DIV/0!</v>
      </c>
      <c r="D44" s="323" t="s">
        <v>1038</v>
      </c>
      <c r="E44" s="2251" t="e">
        <f>R44</f>
        <v>#DIV/0!</v>
      </c>
      <c r="F44" s="325"/>
      <c r="G44" s="2252" t="e">
        <f>T44</f>
        <v>#DIV/0!</v>
      </c>
      <c r="H44" s="325"/>
      <c r="I44" s="2251" t="e">
        <f>V44</f>
        <v>#DIV/0!</v>
      </c>
      <c r="J44" s="325"/>
      <c r="K44" s="2294">
        <f>F44+H44+J44</f>
        <v>0</v>
      </c>
      <c r="L44" s="410"/>
      <c r="M44" s="390"/>
      <c r="N44" s="390"/>
      <c r="O44" s="340"/>
      <c r="P44" s="3858" t="str">
        <f>A44</f>
        <v>比较价格（元/平方米）</v>
      </c>
      <c r="Q44" s="3858"/>
      <c r="R44" s="3883" t="e">
        <f>ROUND(PRODUCT(R43,AA9:AA42),0)</f>
        <v>#DIV/0!</v>
      </c>
      <c r="S44" s="3883"/>
      <c r="T44" s="3883" t="e">
        <f>ROUND(PRODUCT(T43,AB9:AB42),0)</f>
        <v>#DIV/0!</v>
      </c>
      <c r="U44" s="3883"/>
      <c r="V44" s="3883" t="e">
        <f>ROUND(PRODUCT(V43,AC9:AC42),0)</f>
        <v>#DIV/0!</v>
      </c>
      <c r="W44" s="3883"/>
      <c r="X44" s="342"/>
      <c r="Y44" s="342"/>
      <c r="Z44" s="342"/>
      <c r="AA44" s="342"/>
      <c r="AB44" s="342"/>
      <c r="AC44" s="342"/>
    </row>
    <row r="45" spans="1:29" ht="15">
      <c r="A45" s="326" t="s">
        <v>1039</v>
      </c>
      <c r="B45" s="327"/>
      <c r="C45" s="2253" t="e">
        <f>R45</f>
        <v>#DIV/0!</v>
      </c>
      <c r="D45" s="2253"/>
      <c r="E45" s="2253"/>
      <c r="F45" s="2253"/>
      <c r="G45" s="2253"/>
      <c r="H45" s="2253"/>
      <c r="I45" s="2253"/>
      <c r="J45" s="2253"/>
      <c r="K45" s="2295"/>
      <c r="L45" s="410"/>
      <c r="M45" s="390"/>
      <c r="N45" s="390"/>
      <c r="O45" s="340"/>
      <c r="P45" s="3884" t="str">
        <f>A45</f>
        <v>估价对象XX用房的比较价格（楼面单价，元/平方米）</v>
      </c>
      <c r="Q45" s="3885"/>
      <c r="R45" s="3897" t="e">
        <f>ROUND(IF(D44="简单平均",AVERAGE(R44:W44),R44*F44+T44*H44+V44*J44),0)</f>
        <v>#DIV/0!</v>
      </c>
      <c r="S45" s="3897"/>
      <c r="T45" s="3897"/>
      <c r="U45" s="3897"/>
      <c r="V45" s="3897"/>
      <c r="W45" s="3897"/>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5" t="s">
        <v>1043</v>
      </c>
      <c r="B52" s="2256" t="s">
        <v>1044</v>
      </c>
      <c r="C52" s="2257" t="s">
        <v>1045</v>
      </c>
      <c r="D52" s="2258" t="s">
        <v>1046</v>
      </c>
      <c r="E52" s="2259" t="s">
        <v>1047</v>
      </c>
      <c r="F52" s="2260" t="s">
        <v>1048</v>
      </c>
      <c r="G52" s="3893" t="s">
        <v>1049</v>
      </c>
      <c r="H52" s="3894"/>
      <c r="I52" s="2296" t="s">
        <v>425</v>
      </c>
      <c r="J52" s="2297">
        <f>项目基本情况!F41</f>
        <v>0</v>
      </c>
      <c r="K52" s="2298" t="s">
        <v>1050</v>
      </c>
      <c r="L52" s="415"/>
      <c r="M52" s="340"/>
      <c r="N52" s="340"/>
      <c r="O52" s="340"/>
      <c r="P52" s="340"/>
      <c r="Q52" s="340"/>
      <c r="R52" s="340"/>
      <c r="S52" s="340"/>
      <c r="T52" s="340"/>
      <c r="U52" s="340"/>
      <c r="V52" s="340"/>
      <c r="W52" s="340"/>
      <c r="X52" s="340"/>
      <c r="Y52" s="340"/>
      <c r="Z52" s="340"/>
      <c r="AA52" s="340"/>
      <c r="AB52" s="340"/>
      <c r="AC52" s="340"/>
    </row>
    <row r="53" spans="1:29" s="2219" customFormat="1" ht="12.75">
      <c r="A53" s="2261" t="s">
        <v>1051</v>
      </c>
      <c r="B53" s="2262" t="e">
        <f>C45</f>
        <v>#DIV/0!</v>
      </c>
      <c r="C53" s="2263">
        <v>1</v>
      </c>
      <c r="D53" s="2264">
        <v>1</v>
      </c>
      <c r="E53" s="2263">
        <f>'数据-汇总表'!E8+'数据-汇总表'!E9</f>
        <v>119289.25</v>
      </c>
      <c r="F53" s="2265" t="e">
        <f t="shared" ref="F53:F61" si="14">ROUND(B53*E53/10000,0)</f>
        <v>#DIV/0!</v>
      </c>
      <c r="G53" s="3895"/>
      <c r="H53" s="3896"/>
      <c r="I53" s="2299">
        <v>1</v>
      </c>
      <c r="J53" s="2300">
        <v>1</v>
      </c>
      <c r="K53" s="2301"/>
      <c r="L53" s="2302"/>
      <c r="M53" s="2302"/>
      <c r="N53" s="2302"/>
      <c r="O53" s="2302"/>
      <c r="P53" s="2302"/>
      <c r="Q53" s="2302"/>
      <c r="R53" s="2302"/>
      <c r="S53" s="2302"/>
      <c r="T53" s="2302"/>
      <c r="U53" s="2302"/>
      <c r="V53" s="2302"/>
      <c r="W53" s="2302"/>
      <c r="X53" s="2302"/>
      <c r="Y53" s="2302"/>
      <c r="Z53" s="2302"/>
      <c r="AA53" s="2302"/>
      <c r="AB53" s="2302"/>
      <c r="AC53" s="2302"/>
    </row>
    <row r="54" spans="1:29" s="2219" customFormat="1" ht="12.75">
      <c r="A54" s="2266" t="s">
        <v>1052</v>
      </c>
      <c r="B54" s="2267" t="e">
        <f>ROUND($C$45*C54*D54,0)</f>
        <v>#DIV/0!</v>
      </c>
      <c r="C54" s="1999">
        <f t="shared" ref="C54:C61" si="15">IF($C$52="北京市系数",I54,J54)</f>
        <v>0.5</v>
      </c>
      <c r="D54" s="2268">
        <v>0.25</v>
      </c>
      <c r="E54" s="2269"/>
      <c r="F54" s="2265" t="e">
        <f t="shared" si="14"/>
        <v>#DIV/0!</v>
      </c>
      <c r="G54" s="2270" t="s">
        <v>1053</v>
      </c>
      <c r="H54" s="2271" t="str">
        <f>项目基本情况!B43</f>
        <v>十级</v>
      </c>
      <c r="I54" s="2299">
        <f>SUMIF(修正!$A$57:$A$68,H54,修正!B57:B68)</f>
        <v>0.5</v>
      </c>
      <c r="J54" s="2303"/>
      <c r="K54" s="2301"/>
      <c r="L54" s="2302"/>
      <c r="M54" s="2302"/>
      <c r="N54" s="2302"/>
      <c r="O54" s="2302"/>
      <c r="P54" s="2302"/>
      <c r="Q54" s="2302"/>
      <c r="R54" s="2302"/>
      <c r="S54" s="2302"/>
      <c r="T54" s="2302"/>
      <c r="U54" s="2302"/>
      <c r="V54" s="2302"/>
      <c r="W54" s="2302"/>
      <c r="X54" s="2302"/>
      <c r="Y54" s="2302"/>
      <c r="Z54" s="2302"/>
      <c r="AA54" s="2302"/>
      <c r="AB54" s="2302"/>
      <c r="AC54" s="2302"/>
    </row>
    <row r="55" spans="1:29" s="2219" customFormat="1" ht="12.75">
      <c r="A55" s="2266" t="s">
        <v>1054</v>
      </c>
      <c r="B55" s="2267" t="e">
        <f t="shared" ref="B55:B61" si="16">ROUND($C$45*C55*D55,0)</f>
        <v>#DIV/0!</v>
      </c>
      <c r="C55" s="1999">
        <f t="shared" si="15"/>
        <v>0.2</v>
      </c>
      <c r="D55" s="2268">
        <v>0.25</v>
      </c>
      <c r="E55" s="2269"/>
      <c r="F55" s="2265" t="e">
        <f t="shared" si="14"/>
        <v>#DIV/0!</v>
      </c>
      <c r="G55" s="2272"/>
      <c r="H55" s="2273" t="str">
        <f>项目基本情况!B43</f>
        <v>十级</v>
      </c>
      <c r="I55" s="2299">
        <f>SUMIF(修正!$A$57:$A$68,H55,修正!C57:C68)</f>
        <v>0.2</v>
      </c>
      <c r="J55" s="2303"/>
      <c r="K55" s="2301"/>
      <c r="L55" s="2302"/>
      <c r="M55" s="2302"/>
      <c r="N55" s="2302"/>
      <c r="O55" s="2302"/>
      <c r="P55" s="2302"/>
      <c r="Q55" s="2302"/>
      <c r="R55" s="2302"/>
      <c r="S55" s="2302"/>
      <c r="T55" s="2302"/>
      <c r="U55" s="2302"/>
      <c r="V55" s="2302"/>
      <c r="W55" s="2302"/>
      <c r="X55" s="2302"/>
      <c r="Y55" s="2302"/>
      <c r="Z55" s="2302"/>
      <c r="AA55" s="2302"/>
      <c r="AB55" s="2302"/>
      <c r="AC55" s="2302"/>
    </row>
    <row r="56" spans="1:29" s="2219" customFormat="1" ht="12.75">
      <c r="A56" s="2266" t="s">
        <v>1055</v>
      </c>
      <c r="B56" s="2267" t="e">
        <f t="shared" si="16"/>
        <v>#DIV/0!</v>
      </c>
      <c r="C56" s="1999">
        <f t="shared" si="15"/>
        <v>0.2</v>
      </c>
      <c r="D56" s="2268">
        <v>0.25</v>
      </c>
      <c r="E56" s="2269"/>
      <c r="F56" s="2265" t="e">
        <f t="shared" si="14"/>
        <v>#DIV/0!</v>
      </c>
      <c r="G56" s="2272"/>
      <c r="H56" s="2273" t="str">
        <f>项目基本情况!B43</f>
        <v>十级</v>
      </c>
      <c r="I56" s="2299">
        <f>SUMIF(修正!$A$57:$A$68,H56,修正!D57:D68)</f>
        <v>0.2</v>
      </c>
      <c r="J56" s="2303"/>
      <c r="K56" s="2301"/>
      <c r="L56" s="2302"/>
      <c r="M56" s="2302"/>
      <c r="N56" s="2302"/>
      <c r="O56" s="2302"/>
      <c r="P56" s="2302"/>
      <c r="Q56" s="2302"/>
      <c r="R56" s="2302"/>
      <c r="S56" s="2302"/>
      <c r="T56" s="2302"/>
      <c r="U56" s="2302"/>
      <c r="V56" s="2302"/>
      <c r="W56" s="2302"/>
      <c r="X56" s="2302"/>
      <c r="Y56" s="2302"/>
      <c r="Z56" s="2302"/>
      <c r="AA56" s="2302"/>
      <c r="AB56" s="2302"/>
      <c r="AC56" s="2302"/>
    </row>
    <row r="57" spans="1:29" s="2219" customFormat="1" ht="12.75">
      <c r="A57" s="2274" t="s">
        <v>561</v>
      </c>
      <c r="B57" s="2267" t="e">
        <f t="shared" si="16"/>
        <v>#DIV/0!</v>
      </c>
      <c r="C57" s="1999">
        <f t="shared" si="15"/>
        <v>0.2</v>
      </c>
      <c r="D57" s="2268">
        <v>0.25</v>
      </c>
      <c r="E57" s="2275">
        <f>'数据-汇总表'!E11</f>
        <v>58.24</v>
      </c>
      <c r="F57" s="2265" t="e">
        <f t="shared" si="14"/>
        <v>#DIV/0!</v>
      </c>
      <c r="G57" s="2276" t="s">
        <v>1056</v>
      </c>
      <c r="H57" s="2273" t="str">
        <f>项目基本情况!C43</f>
        <v>十级</v>
      </c>
      <c r="I57" s="2299">
        <f>SUMIF(修正!$A$57:$A$68,H57,修正!E57:E68)</f>
        <v>0.2</v>
      </c>
      <c r="J57" s="2303"/>
      <c r="K57" s="2301"/>
      <c r="L57" s="2302"/>
      <c r="M57" s="2302"/>
      <c r="N57" s="2302"/>
      <c r="O57" s="2302"/>
      <c r="P57" s="2302"/>
      <c r="Q57" s="2302"/>
      <c r="R57" s="2302"/>
      <c r="S57" s="2302"/>
      <c r="T57" s="2302"/>
      <c r="U57" s="2302"/>
      <c r="V57" s="2302"/>
      <c r="W57" s="2302"/>
      <c r="X57" s="2302"/>
      <c r="Y57" s="2302"/>
      <c r="Z57" s="2302"/>
      <c r="AA57" s="2302"/>
      <c r="AB57" s="2302"/>
      <c r="AC57" s="2302"/>
    </row>
    <row r="58" spans="1:29" s="2219" customFormat="1" ht="12.75">
      <c r="A58" s="2266" t="s">
        <v>1057</v>
      </c>
      <c r="B58" s="2267" t="e">
        <f t="shared" si="16"/>
        <v>#DIV/0!</v>
      </c>
      <c r="C58" s="1999">
        <f t="shared" si="15"/>
        <v>0.2</v>
      </c>
      <c r="D58" s="2268">
        <v>0.25</v>
      </c>
      <c r="E58" s="2275">
        <f>'数据-汇总表'!E12</f>
        <v>0</v>
      </c>
      <c r="F58" s="2265" t="e">
        <f t="shared" si="14"/>
        <v>#DIV/0!</v>
      </c>
      <c r="G58" s="2277" t="s">
        <v>436</v>
      </c>
      <c r="H58" s="2271" t="str">
        <f>IF(G58="商业",项目基本情况!B43,IF(G58="办公",项目基本情况!C43,IF(G58="住宅",项目基本情况!D43,项目基本情况!E43)))</f>
        <v>十级</v>
      </c>
      <c r="I58" s="2299">
        <f>SUMIF(修正!$A$57:$A$68,H58,修正!F57:F68)</f>
        <v>0.2</v>
      </c>
      <c r="J58" s="2303"/>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1058</v>
      </c>
      <c r="B59" s="2267" t="e">
        <f t="shared" si="16"/>
        <v>#DIV/0!</v>
      </c>
      <c r="C59" s="1999">
        <f t="shared" si="15"/>
        <v>0.1</v>
      </c>
      <c r="D59" s="2268">
        <v>0.25</v>
      </c>
      <c r="E59" s="2275">
        <f>'数据-汇总表'!E13</f>
        <v>46502.98</v>
      </c>
      <c r="F59" s="2265" t="e">
        <f t="shared" si="14"/>
        <v>#DIV/0!</v>
      </c>
      <c r="G59" s="2277" t="s">
        <v>402</v>
      </c>
      <c r="H59" s="2271" t="str">
        <f>IF(G59="商业",项目基本情况!B43,IF(G59="办公",项目基本情况!C43,IF(G59="住宅",项目基本情况!D43,项目基本情况!E43)))</f>
        <v>十级</v>
      </c>
      <c r="I59" s="2299">
        <f>SUMIF(修正!$A$57:$A$68,H59,修正!G57:G68)</f>
        <v>0.1</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1059</v>
      </c>
      <c r="B60" s="2267" t="e">
        <f t="shared" si="16"/>
        <v>#DIV/0!</v>
      </c>
      <c r="C60" s="1999">
        <f t="shared" si="15"/>
        <v>0.1</v>
      </c>
      <c r="D60" s="2268">
        <v>0.25</v>
      </c>
      <c r="E60" s="2275">
        <f>'数据-汇总表'!E14</f>
        <v>0</v>
      </c>
      <c r="F60" s="2265" t="e">
        <f t="shared" si="14"/>
        <v>#DIV/0!</v>
      </c>
      <c r="G60" s="2276" t="s">
        <v>1053</v>
      </c>
      <c r="H60" s="2273" t="str">
        <f>项目基本情况!B43</f>
        <v>十级</v>
      </c>
      <c r="I60" s="2299">
        <f>SUMIF(修正!$A$57:$A$68,H60,修正!G57:G68)</f>
        <v>0.1</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1060</v>
      </c>
      <c r="B61" s="2267" t="e">
        <f t="shared" si="16"/>
        <v>#DIV/0!</v>
      </c>
      <c r="C61" s="1999">
        <f t="shared" si="15"/>
        <v>0.1</v>
      </c>
      <c r="D61" s="2268">
        <v>0.25</v>
      </c>
      <c r="E61" s="2275">
        <f>'数据-汇总表'!E15</f>
        <v>0</v>
      </c>
      <c r="F61" s="2265" t="e">
        <f t="shared" si="14"/>
        <v>#DIV/0!</v>
      </c>
      <c r="G61" s="2278" t="s">
        <v>1056</v>
      </c>
      <c r="H61" s="2279" t="str">
        <f>项目基本情况!C43</f>
        <v>十级</v>
      </c>
      <c r="I61" s="2299">
        <f>SUMIF(修正!$A$57:$A$68,H61,修正!G57:G68)</f>
        <v>0.1</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80" t="s">
        <v>1061</v>
      </c>
      <c r="B62" s="2281" t="s">
        <v>1062</v>
      </c>
      <c r="C62" s="2281" t="s">
        <v>1062</v>
      </c>
      <c r="D62" s="2281" t="s">
        <v>1062</v>
      </c>
      <c r="E62" s="2281">
        <f>IF(B43="楼面地价",SUM(E53:E61),'数据-汇总表'!D3)</f>
        <v>51570.87</v>
      </c>
      <c r="F62" s="2282" t="e">
        <f>IF(B43="楼面地价",SUM(F53:F61),ROUND(C45*E62/10000,0))</f>
        <v>#DIV/0!</v>
      </c>
      <c r="G62" s="2283"/>
      <c r="H62" s="2283"/>
      <c r="I62" s="2283"/>
      <c r="J62" s="2283"/>
      <c r="K62" s="2304"/>
      <c r="L62" s="2302"/>
      <c r="M62" s="2302"/>
      <c r="N62" s="2302"/>
      <c r="O62" s="2302"/>
      <c r="P62" s="2302"/>
      <c r="Q62" s="2302"/>
      <c r="R62" s="2302"/>
      <c r="S62" s="2302"/>
      <c r="T62" s="2302"/>
      <c r="U62" s="2302"/>
      <c r="V62" s="2302"/>
      <c r="W62" s="2302"/>
      <c r="X62" s="2302"/>
      <c r="Y62" s="2302"/>
      <c r="Z62" s="2302"/>
      <c r="AA62" s="2302"/>
      <c r="AB62" s="2302"/>
      <c r="AC62" s="230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4" t="str">
        <f>YEAR(C9)&amp;"-"&amp;MONTH(C9)&amp;"-1"</f>
        <v>2023-12-1</v>
      </c>
      <c r="D64" s="2285">
        <f>EDATE(C64,-3)</f>
        <v>45170</v>
      </c>
      <c r="E64" s="2285">
        <f t="shared" ref="E64:N64" si="17">EDATE(D64,-3)</f>
        <v>45078</v>
      </c>
      <c r="F64" s="2285">
        <f t="shared" si="17"/>
        <v>44986</v>
      </c>
      <c r="G64" s="2285">
        <f t="shared" si="17"/>
        <v>44896</v>
      </c>
      <c r="H64" s="2285">
        <f t="shared" si="17"/>
        <v>44805</v>
      </c>
      <c r="I64" s="2285">
        <f t="shared" si="17"/>
        <v>44713</v>
      </c>
      <c r="J64" s="2285">
        <f t="shared" si="17"/>
        <v>44621</v>
      </c>
      <c r="K64" s="2285">
        <f t="shared" si="17"/>
        <v>44531</v>
      </c>
      <c r="L64" s="2285">
        <f t="shared" si="17"/>
        <v>44440</v>
      </c>
      <c r="M64" s="2285">
        <f t="shared" si="17"/>
        <v>44348</v>
      </c>
      <c r="N64" s="2285">
        <f t="shared" si="17"/>
        <v>44256</v>
      </c>
      <c r="O64" s="340"/>
      <c r="P64" s="340"/>
      <c r="Q64" s="340"/>
      <c r="R64" s="340"/>
      <c r="S64" s="340"/>
      <c r="T64" s="340"/>
      <c r="U64" s="340"/>
      <c r="V64" s="340"/>
      <c r="W64" s="340"/>
      <c r="X64" s="340"/>
      <c r="Y64" s="340"/>
      <c r="Z64" s="340"/>
      <c r="AA64" s="340"/>
      <c r="AB64" s="340"/>
      <c r="AC64" s="340"/>
    </row>
    <row r="65" spans="1:29" ht="21">
      <c r="A65" s="341" t="s">
        <v>1063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5" t="s">
        <v>1091</v>
      </c>
      <c r="B66" s="346"/>
      <c r="C66" s="2306" t="str">
        <f>YEAR(C64)&amp;"-"&amp;ROUNDUP(MONTH(C64)/3,0)</f>
        <v>2023-4</v>
      </c>
      <c r="D66" s="2306" t="str">
        <f t="shared" ref="D66:N66" si="18">YEAR(D64)&amp;"-"&amp;ROUNDUP(MONTH(D64)/3,0)</f>
        <v>2023-3</v>
      </c>
      <c r="E66" s="2306" t="str">
        <f t="shared" si="18"/>
        <v>2023-2</v>
      </c>
      <c r="F66" s="2306" t="str">
        <f t="shared" si="18"/>
        <v>2023-1</v>
      </c>
      <c r="G66" s="2306" t="str">
        <f t="shared" si="18"/>
        <v>2022-4</v>
      </c>
      <c r="H66" s="2306" t="str">
        <f t="shared" si="18"/>
        <v>2022-3</v>
      </c>
      <c r="I66" s="2306" t="str">
        <f t="shared" si="18"/>
        <v>2022-2</v>
      </c>
      <c r="J66" s="2306" t="str">
        <f t="shared" si="18"/>
        <v>2022-1</v>
      </c>
      <c r="K66" s="2306" t="str">
        <f t="shared" si="18"/>
        <v>2021-4</v>
      </c>
      <c r="L66" s="2306" t="str">
        <f t="shared" si="18"/>
        <v>2021-3</v>
      </c>
      <c r="M66" s="2306" t="str">
        <f t="shared" si="18"/>
        <v>2021-2</v>
      </c>
      <c r="N66" s="2306" t="str">
        <f t="shared" si="18"/>
        <v>2021-1</v>
      </c>
      <c r="O66" s="2313"/>
      <c r="P66" s="423"/>
      <c r="Q66" s="472"/>
      <c r="R66" s="472"/>
      <c r="S66" s="472"/>
      <c r="T66" s="472"/>
      <c r="U66" s="472"/>
      <c r="V66" s="472"/>
      <c r="W66" s="472"/>
      <c r="X66" s="472"/>
      <c r="Y66" s="472"/>
      <c r="Z66" s="472"/>
      <c r="AA66" s="472"/>
      <c r="AB66" s="472"/>
      <c r="AC66" s="472"/>
    </row>
    <row r="67" spans="1:29" s="199" customFormat="1" ht="27.75" customHeight="1">
      <c r="A67" s="2307" t="s">
        <v>164</v>
      </c>
      <c r="B67" s="1070" t="str">
        <f>"北京市平均增长率"&amp;TEXT(基准地价!P28,"0.00%")</f>
        <v>北京市平均增长率0.00%</v>
      </c>
      <c r="C67" s="488">
        <v>100</v>
      </c>
      <c r="D67" s="491"/>
      <c r="E67" s="491"/>
      <c r="F67" s="491"/>
      <c r="G67" s="491"/>
      <c r="H67" s="491"/>
      <c r="I67" s="491"/>
      <c r="J67" s="491"/>
      <c r="K67" s="491"/>
      <c r="L67" s="491"/>
      <c r="M67" s="2314"/>
      <c r="N67" s="2315"/>
      <c r="O67" s="431"/>
      <c r="P67" s="426"/>
      <c r="Q67" s="473"/>
      <c r="R67" s="473"/>
      <c r="S67" s="473"/>
      <c r="T67" s="473"/>
      <c r="U67" s="473"/>
      <c r="V67" s="473"/>
      <c r="W67" s="473"/>
      <c r="X67" s="473"/>
      <c r="Y67" s="473"/>
      <c r="Z67" s="473"/>
      <c r="AA67" s="473"/>
      <c r="AB67" s="473"/>
      <c r="AC67" s="473"/>
    </row>
    <row r="68" spans="1:29" s="199" customFormat="1" ht="15">
      <c r="A68" s="353" t="s">
        <v>1092</v>
      </c>
      <c r="B68" s="354"/>
      <c r="C68" s="2308"/>
      <c r="D68" s="2309"/>
      <c r="E68" s="2309"/>
      <c r="F68" s="2309"/>
      <c r="G68" s="2309"/>
      <c r="H68" s="2309"/>
      <c r="I68" s="2309"/>
      <c r="J68" s="2309"/>
      <c r="K68" s="2309"/>
      <c r="L68" s="2309"/>
      <c r="M68" s="2309"/>
      <c r="N68" s="2309"/>
      <c r="O68" s="431"/>
      <c r="P68" s="426"/>
      <c r="Q68" s="426"/>
      <c r="R68" s="473"/>
      <c r="S68" s="473"/>
      <c r="T68" s="473"/>
      <c r="U68" s="473"/>
      <c r="V68" s="473"/>
      <c r="W68" s="473"/>
      <c r="X68" s="473"/>
      <c r="Y68" s="473"/>
      <c r="Z68" s="473"/>
      <c r="AA68" s="473"/>
      <c r="AB68" s="473"/>
      <c r="AC68" s="473"/>
    </row>
    <row r="69" spans="1:29" s="199" customFormat="1" ht="15">
      <c r="A69" s="357" t="s">
        <v>1006</v>
      </c>
      <c r="B69" s="350"/>
      <c r="C69" s="358" t="s">
        <v>1007</v>
      </c>
      <c r="D69" s="359"/>
      <c r="E69" s="359"/>
      <c r="F69" s="359"/>
      <c r="G69" s="359"/>
      <c r="H69" s="359"/>
      <c r="I69" s="359"/>
      <c r="J69" s="359"/>
      <c r="K69" s="359"/>
      <c r="L69" s="429"/>
      <c r="M69" s="430"/>
      <c r="N69" s="231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6"/>
      <c r="O70" s="431"/>
      <c r="P70" s="426"/>
      <c r="Q70" s="426"/>
      <c r="R70" s="473"/>
      <c r="S70" s="473"/>
      <c r="T70" s="473"/>
      <c r="U70" s="473"/>
      <c r="V70" s="473"/>
      <c r="W70" s="473"/>
      <c r="X70" s="473"/>
      <c r="Y70" s="473"/>
      <c r="Z70" s="473"/>
      <c r="AA70" s="473"/>
      <c r="AB70" s="473"/>
      <c r="AC70" s="473"/>
    </row>
    <row r="71" spans="1:29">
      <c r="A71" s="360" t="s">
        <v>1067</v>
      </c>
      <c r="B71" s="361" t="s">
        <v>1068</v>
      </c>
      <c r="C71" s="363"/>
      <c r="D71" s="363"/>
      <c r="E71" s="363"/>
      <c r="F71" s="363"/>
      <c r="G71" s="363"/>
      <c r="H71" s="363"/>
      <c r="I71" s="363"/>
      <c r="J71" s="363"/>
      <c r="K71" s="433"/>
      <c r="L71" s="434"/>
      <c r="M71" s="435"/>
      <c r="N71" s="231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8"/>
      <c r="O72" s="439"/>
      <c r="P72" s="437"/>
      <c r="Q72" s="426"/>
      <c r="R72" s="340"/>
      <c r="S72" s="340"/>
      <c r="T72" s="340"/>
      <c r="U72" s="340"/>
      <c r="V72" s="340"/>
      <c r="W72" s="340"/>
      <c r="X72" s="340"/>
      <c r="Y72" s="340"/>
      <c r="Z72" s="340"/>
      <c r="AA72" s="340"/>
      <c r="AB72" s="340"/>
      <c r="AC72" s="340"/>
    </row>
    <row r="73" spans="1:29" ht="27">
      <c r="A73" s="364"/>
      <c r="B73" s="367" t="s">
        <v>1069</v>
      </c>
      <c r="C73" s="381"/>
      <c r="D73" s="381"/>
      <c r="E73" s="381"/>
      <c r="F73" s="381"/>
      <c r="G73" s="381"/>
      <c r="H73" s="381"/>
      <c r="I73" s="381"/>
      <c r="J73" s="381"/>
      <c r="K73" s="456"/>
      <c r="L73" s="457"/>
      <c r="M73" s="458"/>
      <c r="N73" s="231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8"/>
      <c r="O74" s="439"/>
      <c r="P74" s="437"/>
      <c r="Q74" s="426"/>
      <c r="R74" s="340"/>
      <c r="S74" s="340"/>
      <c r="T74" s="340"/>
      <c r="U74" s="340"/>
      <c r="V74" s="340"/>
      <c r="W74" s="340"/>
      <c r="X74" s="340"/>
      <c r="Y74" s="340"/>
      <c r="Z74" s="340"/>
      <c r="AA74" s="340"/>
      <c r="AB74" s="340"/>
      <c r="AC74" s="340"/>
    </row>
    <row r="75" spans="1:29" ht="15">
      <c r="A75" s="364"/>
      <c r="B75" s="486" t="s">
        <v>1070</v>
      </c>
      <c r="C75" s="526" t="str">
        <f>C76&amp;"（含）"&amp;"-"&amp;D76</f>
        <v>（含）-</v>
      </c>
      <c r="D75" s="526" t="str">
        <f t="shared" ref="D75:L75" si="19">D76&amp;"（含）"&amp;"-"&amp;E76</f>
        <v>（含）-</v>
      </c>
      <c r="E75" s="526" t="str">
        <f t="shared" si="19"/>
        <v>（含）-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7" t="str">
        <f>M76&amp;"（含）"&amp;"-"&amp;P76</f>
        <v>（含）-</v>
      </c>
      <c r="N75" s="2318"/>
      <c r="O75" s="439"/>
      <c r="P75" s="437"/>
      <c r="Q75" s="426"/>
      <c r="R75" s="340"/>
      <c r="S75" s="340"/>
      <c r="T75" s="340"/>
      <c r="U75" s="340"/>
      <c r="V75" s="340"/>
      <c r="W75" s="340"/>
      <c r="X75" s="340"/>
      <c r="Y75" s="340"/>
      <c r="Z75" s="340"/>
      <c r="AA75" s="340"/>
      <c r="AB75" s="340"/>
      <c r="AC75" s="340"/>
    </row>
    <row r="76" spans="1:29" ht="15">
      <c r="A76" s="364"/>
      <c r="B76" s="527"/>
      <c r="C76" s="371"/>
      <c r="D76" s="371"/>
      <c r="E76" s="371"/>
      <c r="F76" s="371"/>
      <c r="G76" s="371"/>
      <c r="H76" s="371"/>
      <c r="I76" s="371"/>
      <c r="J76" s="371"/>
      <c r="K76" s="443"/>
      <c r="L76" s="444"/>
      <c r="M76" s="445"/>
      <c r="N76" s="231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28"/>
      <c r="I82" s="528"/>
      <c r="J82" s="528"/>
      <c r="K82" s="528"/>
      <c r="L82" s="537"/>
      <c r="M82" s="538"/>
      <c r="N82" s="2319"/>
      <c r="O82" s="448"/>
      <c r="P82" s="539"/>
      <c r="Q82" s="474"/>
      <c r="R82" s="475"/>
      <c r="S82" s="475"/>
      <c r="T82" s="475"/>
      <c r="U82" s="475"/>
      <c r="V82" s="475"/>
      <c r="W82" s="475"/>
      <c r="X82" s="475"/>
      <c r="Y82" s="475"/>
      <c r="Z82" s="475"/>
      <c r="AA82" s="475"/>
      <c r="AB82" s="475"/>
      <c r="AC82" s="475"/>
    </row>
    <row r="83" spans="1:29" s="201" customFormat="1" ht="15">
      <c r="A83" s="529"/>
      <c r="B83" s="530"/>
      <c r="C83" s="531"/>
      <c r="D83" s="531"/>
      <c r="E83" s="531"/>
      <c r="F83" s="531"/>
      <c r="G83" s="531"/>
      <c r="H83" s="532"/>
      <c r="I83" s="532"/>
      <c r="J83" s="532"/>
      <c r="K83" s="532"/>
      <c r="L83" s="532"/>
      <c r="M83" s="540"/>
      <c r="N83" s="2319"/>
      <c r="O83" s="448"/>
      <c r="P83" s="449"/>
      <c r="Q83" s="474"/>
      <c r="R83" s="475"/>
      <c r="S83" s="475"/>
      <c r="T83" s="475"/>
      <c r="U83" s="475"/>
      <c r="V83" s="475"/>
      <c r="W83" s="475"/>
      <c r="X83" s="475"/>
      <c r="Y83" s="475"/>
      <c r="Z83" s="475"/>
      <c r="AA83" s="475"/>
      <c r="AB83" s="475"/>
      <c r="AC83" s="475"/>
    </row>
    <row r="84" spans="1:29">
      <c r="A84" s="360" t="s">
        <v>1071</v>
      </c>
      <c r="B84" s="361" t="s">
        <v>226</v>
      </c>
      <c r="C84" s="377" t="s">
        <v>244</v>
      </c>
      <c r="D84" s="377" t="s">
        <v>256</v>
      </c>
      <c r="E84" s="377" t="s">
        <v>267</v>
      </c>
      <c r="F84" s="377" t="s">
        <v>277</v>
      </c>
      <c r="G84" s="377" t="s">
        <v>285</v>
      </c>
      <c r="H84" s="362"/>
      <c r="I84" s="362"/>
      <c r="J84" s="362"/>
      <c r="K84" s="451"/>
      <c r="L84" s="452"/>
      <c r="M84" s="453"/>
      <c r="N84" s="2317"/>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7"/>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8"/>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320"/>
      <c r="M88" s="501"/>
      <c r="N88" s="231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8"/>
      <c r="O89" s="439"/>
      <c r="P89" s="437"/>
      <c r="Q89" s="426"/>
      <c r="R89" s="473"/>
      <c r="S89" s="473"/>
      <c r="T89" s="473"/>
      <c r="U89" s="473"/>
      <c r="V89" s="473"/>
      <c r="W89" s="473"/>
      <c r="X89" s="473"/>
      <c r="Y89" s="473"/>
      <c r="Z89" s="473"/>
      <c r="AA89" s="473"/>
      <c r="AB89" s="473"/>
      <c r="AC89" s="473"/>
    </row>
    <row r="90" spans="1:29" s="199" customFormat="1" ht="27">
      <c r="A90" s="487"/>
      <c r="B90" s="367" t="s">
        <v>1020</v>
      </c>
      <c r="C90" s="377" t="s">
        <v>244</v>
      </c>
      <c r="D90" s="377" t="s">
        <v>256</v>
      </c>
      <c r="E90" s="377" t="s">
        <v>267</v>
      </c>
      <c r="F90" s="377" t="s">
        <v>277</v>
      </c>
      <c r="G90" s="377" t="s">
        <v>285</v>
      </c>
      <c r="H90" s="380"/>
      <c r="I90" s="380"/>
      <c r="J90" s="380"/>
      <c r="K90" s="380"/>
      <c r="L90" s="380"/>
      <c r="M90" s="501"/>
      <c r="N90" s="231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4"/>
      <c r="I92" s="924"/>
      <c r="J92" s="924"/>
      <c r="K92" s="924"/>
      <c r="L92" s="925"/>
      <c r="M92" s="926"/>
      <c r="N92" s="231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0"/>
      <c r="I93" s="930"/>
      <c r="J93" s="930"/>
      <c r="K93" s="930"/>
      <c r="L93" s="930"/>
      <c r="M93" s="931"/>
      <c r="N93" s="231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4"/>
      <c r="I94" s="924"/>
      <c r="J94" s="924"/>
      <c r="K94" s="924"/>
      <c r="L94" s="924"/>
      <c r="M94" s="926"/>
      <c r="N94" s="231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27"/>
      <c r="I95" s="527"/>
      <c r="J95" s="527"/>
      <c r="K95" s="527"/>
      <c r="L95" s="527"/>
      <c r="M95" s="2321"/>
      <c r="N95" s="231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1072</v>
      </c>
      <c r="D96" s="381" t="s">
        <v>1073</v>
      </c>
      <c r="E96" s="381" t="s">
        <v>1074</v>
      </c>
      <c r="F96" s="381" t="s">
        <v>1075</v>
      </c>
      <c r="G96" s="381"/>
      <c r="H96" s="381"/>
      <c r="I96" s="381"/>
      <c r="J96" s="381"/>
      <c r="K96" s="456"/>
      <c r="L96" s="457"/>
      <c r="M96" s="458"/>
      <c r="N96" s="231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8"/>
      <c r="O97" s="439"/>
      <c r="P97" s="437"/>
      <c r="Q97" s="426"/>
      <c r="R97" s="340"/>
      <c r="S97" s="340"/>
      <c r="T97" s="340"/>
      <c r="U97" s="340"/>
      <c r="V97" s="340"/>
      <c r="W97" s="340"/>
      <c r="X97" s="340"/>
      <c r="Y97" s="340"/>
      <c r="Z97" s="340"/>
      <c r="AA97" s="340"/>
      <c r="AB97" s="340"/>
      <c r="AC97" s="340"/>
    </row>
    <row r="98" spans="1:29" ht="27">
      <c r="A98" s="364"/>
      <c r="B98" s="367" t="s">
        <v>1024</v>
      </c>
      <c r="C98" s="374"/>
      <c r="D98" s="374"/>
      <c r="E98" s="374"/>
      <c r="F98" s="374"/>
      <c r="G98" s="374"/>
      <c r="H98" s="368"/>
      <c r="I98" s="368"/>
      <c r="J98" s="368"/>
      <c r="K98" s="440"/>
      <c r="L98" s="441"/>
      <c r="M98" s="442"/>
      <c r="N98" s="231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8"/>
      <c r="O99" s="439"/>
      <c r="P99" s="437"/>
      <c r="Q99" s="426"/>
      <c r="R99" s="340"/>
      <c r="S99" s="340"/>
      <c r="T99" s="340"/>
      <c r="U99" s="340"/>
      <c r="V99" s="340"/>
      <c r="W99" s="340"/>
      <c r="X99" s="340"/>
      <c r="Y99" s="340"/>
      <c r="Z99" s="340"/>
      <c r="AA99" s="340"/>
      <c r="AB99" s="340"/>
      <c r="AC99" s="340"/>
    </row>
    <row r="100" spans="1:29" ht="15">
      <c r="A100" s="364"/>
      <c r="B100" s="367" t="s">
        <v>1027</v>
      </c>
      <c r="C100" s="368"/>
      <c r="D100" s="368"/>
      <c r="E100" s="368"/>
      <c r="F100" s="368"/>
      <c r="G100" s="368"/>
      <c r="H100" s="368"/>
      <c r="I100" s="368"/>
      <c r="J100" s="368"/>
      <c r="K100" s="440"/>
      <c r="L100" s="441"/>
      <c r="M100" s="442"/>
      <c r="N100" s="231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33"/>
      <c r="H102" s="533"/>
      <c r="I102" s="533"/>
      <c r="J102" s="533"/>
      <c r="K102" s="541"/>
      <c r="L102" s="542"/>
      <c r="M102" s="543"/>
      <c r="N102" s="2317"/>
      <c r="O102" s="436"/>
      <c r="P102" s="437"/>
      <c r="Q102" s="426"/>
      <c r="R102" s="340"/>
      <c r="S102" s="340"/>
      <c r="T102" s="340"/>
      <c r="U102" s="340"/>
      <c r="V102" s="340"/>
      <c r="W102" s="340"/>
      <c r="X102" s="340"/>
      <c r="Y102" s="340"/>
      <c r="Z102" s="340"/>
      <c r="AA102" s="340"/>
      <c r="AB102" s="340"/>
      <c r="AC102" s="340"/>
    </row>
    <row r="103" spans="1:29" ht="15">
      <c r="A103" s="364"/>
      <c r="B103" s="530"/>
      <c r="C103" s="372"/>
      <c r="D103" s="366"/>
      <c r="E103" s="366"/>
      <c r="F103" s="366"/>
      <c r="G103" s="535"/>
      <c r="H103" s="535"/>
      <c r="I103" s="535"/>
      <c r="J103" s="535"/>
      <c r="K103" s="535"/>
      <c r="L103" s="535"/>
      <c r="M103" s="544"/>
      <c r="N103" s="2318"/>
      <c r="O103" s="439"/>
      <c r="P103" s="437"/>
      <c r="Q103" s="426"/>
      <c r="R103" s="340"/>
      <c r="S103" s="340"/>
      <c r="T103" s="340"/>
      <c r="U103" s="340"/>
      <c r="V103" s="340"/>
      <c r="W103" s="340"/>
      <c r="X103" s="340"/>
      <c r="Y103" s="340"/>
      <c r="Z103" s="340"/>
      <c r="AA103" s="340"/>
      <c r="AB103" s="340"/>
      <c r="AC103" s="340"/>
    </row>
    <row r="104" spans="1:29">
      <c r="A104" s="2233"/>
      <c r="B104" s="367">
        <f>B34</f>
        <v>111</v>
      </c>
      <c r="C104" s="374"/>
      <c r="D104" s="374"/>
      <c r="E104" s="374"/>
      <c r="F104" s="374"/>
      <c r="G104" s="368"/>
      <c r="H104" s="368"/>
      <c r="I104" s="368"/>
      <c r="J104" s="368"/>
      <c r="K104" s="440"/>
      <c r="L104" s="441"/>
      <c r="M104" s="442"/>
      <c r="N104" s="231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8"/>
      <c r="O105" s="439"/>
      <c r="P105" s="437"/>
      <c r="Q105" s="426"/>
      <c r="R105" s="340"/>
      <c r="S105" s="340"/>
      <c r="T105" s="340"/>
      <c r="U105" s="340"/>
      <c r="V105" s="340"/>
      <c r="W105" s="340"/>
      <c r="X105" s="340"/>
      <c r="Y105" s="340"/>
      <c r="Z105" s="340"/>
      <c r="AA105" s="340"/>
      <c r="AB105" s="340"/>
      <c r="AC105" s="340"/>
    </row>
    <row r="106" spans="1:29" s="201" customFormat="1">
      <c r="A106" s="492"/>
      <c r="B106" s="536">
        <f>B35</f>
        <v>111</v>
      </c>
      <c r="C106" s="359"/>
      <c r="D106" s="359"/>
      <c r="E106" s="359"/>
      <c r="F106" s="359"/>
      <c r="G106" s="491"/>
      <c r="H106" s="491"/>
      <c r="I106" s="491"/>
      <c r="J106" s="502"/>
      <c r="K106" s="502"/>
      <c r="L106" s="503"/>
      <c r="M106" s="504"/>
      <c r="N106" s="231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31"/>
      <c r="D107" s="531"/>
      <c r="E107" s="531"/>
      <c r="F107" s="531"/>
      <c r="G107" s="2310"/>
      <c r="H107" s="2310"/>
      <c r="I107" s="2310"/>
      <c r="J107" s="2310"/>
      <c r="K107" s="2310"/>
      <c r="L107" s="2310"/>
      <c r="M107" s="2322"/>
      <c r="N107" s="2318"/>
      <c r="O107" s="439"/>
      <c r="P107" s="449"/>
      <c r="Q107" s="474"/>
      <c r="R107" s="475"/>
      <c r="S107" s="475"/>
      <c r="T107" s="475"/>
      <c r="U107" s="475"/>
      <c r="V107" s="475"/>
      <c r="W107" s="475"/>
      <c r="X107" s="475"/>
      <c r="Y107" s="475"/>
      <c r="Z107" s="475"/>
      <c r="AA107" s="475"/>
      <c r="AB107" s="475"/>
      <c r="AC107" s="475"/>
    </row>
    <row r="108" spans="1:29">
      <c r="A108" s="360" t="s">
        <v>1079</v>
      </c>
      <c r="B108" s="361" t="s">
        <v>1030</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3" t="str">
        <f t="shared" si="24"/>
        <v>(含)-</v>
      </c>
      <c r="L108" s="2324" t="str">
        <f t="shared" si="24"/>
        <v>(含)-</v>
      </c>
      <c r="M108" s="2325" t="str">
        <f>M109&amp;"(含)"&amp;"-"&amp;P109</f>
        <v>(含)-</v>
      </c>
      <c r="N108" s="2317"/>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7"/>
      <c r="O109" s="436"/>
      <c r="P109" s="437"/>
      <c r="Q109" s="426"/>
      <c r="R109" s="340"/>
      <c r="S109" s="340"/>
      <c r="T109" s="340"/>
      <c r="U109" s="340"/>
      <c r="V109" s="340"/>
      <c r="W109" s="340"/>
      <c r="X109" s="340"/>
      <c r="Y109" s="340"/>
      <c r="Z109" s="340"/>
      <c r="AA109" s="340"/>
      <c r="AB109" s="340"/>
      <c r="AC109" s="340"/>
    </row>
    <row r="110" spans="1:29" ht="15">
      <c r="A110" s="364"/>
      <c r="B110" s="369"/>
      <c r="C110" s="531"/>
      <c r="D110" s="535"/>
      <c r="E110" s="535"/>
      <c r="F110" s="535"/>
      <c r="G110" s="535"/>
      <c r="H110" s="535"/>
      <c r="I110" s="535"/>
      <c r="J110" s="535"/>
      <c r="K110" s="535"/>
      <c r="L110" s="535"/>
      <c r="M110" s="544"/>
      <c r="N110" s="2318"/>
      <c r="O110" s="439"/>
      <c r="P110" s="437"/>
      <c r="Q110" s="426"/>
      <c r="R110" s="340"/>
      <c r="S110" s="340"/>
      <c r="T110" s="340"/>
      <c r="U110" s="340"/>
      <c r="V110" s="340"/>
      <c r="W110" s="340"/>
      <c r="X110" s="340"/>
      <c r="Y110" s="340"/>
      <c r="Z110" s="340"/>
      <c r="AA110" s="340"/>
      <c r="AB110" s="340"/>
      <c r="AC110" s="340"/>
    </row>
    <row r="111" spans="1:29">
      <c r="A111" s="490"/>
      <c r="B111" s="367" t="s">
        <v>1031</v>
      </c>
      <c r="C111" s="368"/>
      <c r="D111" s="368"/>
      <c r="E111" s="368"/>
      <c r="F111" s="368"/>
      <c r="G111" s="368"/>
      <c r="H111" s="368"/>
      <c r="I111" s="368"/>
      <c r="J111" s="368"/>
      <c r="K111" s="440"/>
      <c r="L111" s="441"/>
      <c r="M111" s="442"/>
      <c r="N111" s="231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8"/>
      <c r="O112" s="439"/>
      <c r="P112" s="437"/>
      <c r="Q112" s="426"/>
      <c r="R112" s="340"/>
      <c r="S112" s="340"/>
      <c r="T112" s="340"/>
      <c r="U112" s="340"/>
      <c r="V112" s="340"/>
      <c r="W112" s="340"/>
      <c r="X112" s="340"/>
      <c r="Y112" s="340"/>
      <c r="Z112" s="340"/>
      <c r="AA112" s="340"/>
      <c r="AB112" s="340"/>
      <c r="AC112" s="340"/>
    </row>
    <row r="113" spans="1:29" s="201" customFormat="1">
      <c r="A113" s="492"/>
      <c r="B113" s="379" t="s">
        <v>1034</v>
      </c>
      <c r="C113" s="2311"/>
      <c r="D113" s="2311"/>
      <c r="E113" s="2311"/>
      <c r="F113" s="2311"/>
      <c r="G113" s="2311"/>
      <c r="H113" s="368"/>
      <c r="I113" s="368"/>
      <c r="J113" s="368"/>
      <c r="K113" s="440"/>
      <c r="L113" s="441"/>
      <c r="M113" s="442"/>
      <c r="N113" s="231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9"/>
      <c r="O114" s="448"/>
      <c r="P114" s="449"/>
      <c r="Q114" s="474"/>
      <c r="R114" s="475"/>
      <c r="S114" s="475"/>
      <c r="T114" s="475"/>
      <c r="U114" s="475"/>
      <c r="V114" s="475"/>
      <c r="W114" s="475"/>
      <c r="X114" s="475"/>
      <c r="Y114" s="475"/>
      <c r="Z114" s="475"/>
      <c r="AA114" s="475"/>
      <c r="AB114" s="475"/>
      <c r="AC114" s="475"/>
    </row>
    <row r="115" spans="1:29">
      <c r="A115" s="490"/>
      <c r="B115" s="367" t="s">
        <v>1035</v>
      </c>
      <c r="C115" s="374"/>
      <c r="D115" s="374"/>
      <c r="E115" s="368"/>
      <c r="F115" s="368"/>
      <c r="G115" s="368"/>
      <c r="H115" s="368"/>
      <c r="I115" s="368"/>
      <c r="J115" s="368"/>
      <c r="K115" s="440"/>
      <c r="L115" s="441"/>
      <c r="M115" s="442"/>
      <c r="N115" s="231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9"/>
      <c r="O121" s="448"/>
      <c r="P121" s="449"/>
      <c r="Q121" s="474"/>
      <c r="R121" s="475"/>
      <c r="S121" s="475"/>
      <c r="T121" s="475"/>
      <c r="U121" s="475"/>
      <c r="V121" s="475"/>
      <c r="W121" s="475"/>
      <c r="X121" s="475"/>
      <c r="Y121" s="475"/>
      <c r="Z121" s="475"/>
      <c r="AA121" s="475"/>
      <c r="AB121" s="475"/>
      <c r="AC121" s="475"/>
    </row>
    <row r="122" spans="1:29" s="201" customFormat="1" ht="15">
      <c r="A122" s="529"/>
      <c r="B122" s="2312"/>
      <c r="C122" s="531"/>
      <c r="D122" s="531"/>
      <c r="E122" s="531"/>
      <c r="F122" s="531"/>
      <c r="G122" s="535"/>
      <c r="H122" s="535"/>
      <c r="I122" s="535"/>
      <c r="J122" s="535"/>
      <c r="K122" s="535"/>
      <c r="L122" s="535"/>
      <c r="M122" s="544"/>
      <c r="N122" s="231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822" customWidth="1"/>
    <col min="2" max="2" width="24.625" style="1821" customWidth="1"/>
    <col min="3" max="4" width="12" style="1823"/>
    <col min="5" max="5" width="14.625" style="1823" customWidth="1"/>
    <col min="6" max="8" width="12" style="1823"/>
    <col min="9" max="9" width="12.25" style="1823" customWidth="1"/>
    <col min="10" max="10" width="12" style="1823"/>
    <col min="11" max="11" width="9.625" style="1819" customWidth="1"/>
    <col min="12" max="12" width="15.75" style="1823" customWidth="1"/>
    <col min="13" max="14" width="10.625" style="1823" customWidth="1"/>
    <col min="15" max="17" width="12" style="1823"/>
    <col min="18" max="18" width="12" style="1822"/>
    <col min="19" max="22" width="15.5" style="1822" customWidth="1"/>
    <col min="23" max="28" width="12" style="1823"/>
    <col min="29" max="29" width="9.375" style="1822" customWidth="1"/>
    <col min="30" max="35" width="9.375" style="1824" customWidth="1"/>
    <col min="36" max="39" width="9.375" style="1822" customWidth="1"/>
    <col min="40" max="41" width="9.375" style="1823" customWidth="1"/>
    <col min="42" max="16384" width="12" style="1823"/>
  </cols>
  <sheetData>
    <row r="1" spans="1:39" ht="20.25">
      <c r="A1" s="1825" t="s">
        <v>1093</v>
      </c>
      <c r="B1" s="1826"/>
      <c r="C1" s="1827" t="s">
        <v>444</v>
      </c>
      <c r="D1" s="1828">
        <f>SUM(D33:D34,D37:D42)</f>
        <v>0</v>
      </c>
      <c r="E1" s="1827" t="s">
        <v>447</v>
      </c>
      <c r="F1" s="1829"/>
      <c r="G1" s="1830"/>
      <c r="H1" s="1830"/>
      <c r="I1" s="1830"/>
      <c r="J1" s="1830"/>
      <c r="K1" s="2037"/>
      <c r="L1" s="2038" t="s">
        <v>1094</v>
      </c>
      <c r="M1" s="2039">
        <f>SUMPRODUCT((区片价!B5:B9=I2)*(区片价!C3:G3=E2)*(区片价!C5:G9))</f>
        <v>0</v>
      </c>
      <c r="N1" s="2040">
        <f>SUMPRODUCT((因素修正幅度!B5:B9=I2)*(因素修正幅度!C3:G3=E2)*(因素修正幅度!C5:G9))</f>
        <v>0</v>
      </c>
      <c r="O1" s="2037"/>
      <c r="P1" s="2037"/>
      <c r="Q1" s="2037"/>
      <c r="R1" s="2141" t="s">
        <v>1095</v>
      </c>
      <c r="S1" s="2141" t="s">
        <v>1096</v>
      </c>
      <c r="T1" s="2141" t="s">
        <v>1097</v>
      </c>
      <c r="U1" s="2141" t="s">
        <v>1098</v>
      </c>
      <c r="V1" s="2141" t="s">
        <v>648</v>
      </c>
      <c r="W1" s="2037"/>
      <c r="X1" s="2037"/>
      <c r="Y1" s="2037"/>
      <c r="Z1" s="2037"/>
      <c r="AA1" s="2037"/>
      <c r="AB1" s="2037"/>
      <c r="AC1" s="2150"/>
    </row>
    <row r="2" spans="1:39" ht="15.75">
      <c r="A2" s="1827" t="s">
        <v>1099</v>
      </c>
      <c r="B2" s="1831" t="e">
        <f>C30</f>
        <v>#DIV/0!</v>
      </c>
      <c r="C2" s="1832" t="s">
        <v>1100</v>
      </c>
      <c r="D2" s="1833" t="s">
        <v>352</v>
      </c>
      <c r="E2" s="1834"/>
      <c r="F2" s="1833" t="s">
        <v>215</v>
      </c>
      <c r="G2" s="1835">
        <f>IF(E2="商业",项目基本情况!B43,IF(E2="办公",项目基本情况!C43,IF(E2="住宅",项目基本情况!D43,IF(E2="工业",项目基本情况!E43,项目基本情况!F43))))</f>
        <v>0</v>
      </c>
      <c r="H2" s="1833" t="s">
        <v>478</v>
      </c>
      <c r="I2" s="2041">
        <f>IF(E2="商业",项目基本情况!B44,IF(E2="办公",项目基本情况!C44,IF(E2="住宅",项目基本情况!D44,IF(E2="工业",项目基本情况!E44,项目基本情况!F44))))</f>
        <v>0</v>
      </c>
      <c r="J2" s="2042"/>
      <c r="K2" s="2043"/>
      <c r="L2" s="2044" t="s">
        <v>1101</v>
      </c>
      <c r="M2" s="2045">
        <f>SUMPRODUCT((区片价!B10:B29=I2)*(区片价!C3:G3=E2)*(区片价!C10:G29))</f>
        <v>0</v>
      </c>
      <c r="N2" s="2046">
        <f>SUMPRODUCT((因素修正幅度!B10:B29=I2)*(因素修正幅度!C3:G3=E2)*(因素修正幅度!C10:G29))</f>
        <v>0</v>
      </c>
      <c r="O2" s="2043"/>
      <c r="P2" s="2037"/>
      <c r="Q2" s="2037"/>
      <c r="R2" s="2142">
        <v>1</v>
      </c>
      <c r="S2" s="2142">
        <f>ROUND(SUMPRODUCT((B107:B111=R2)*(C106:N106=G2)*(C107:N111)),4)</f>
        <v>0</v>
      </c>
      <c r="T2" s="2142" t="e">
        <f>ROUND($C$5*$C$22*$C$23*$C$24*S2*$C$28,0)</f>
        <v>#DIV/0!</v>
      </c>
      <c r="U2" s="2143"/>
      <c r="V2" s="2142" t="e">
        <f>ROUND(T2*U2/10000,0)</f>
        <v>#DIV/0!</v>
      </c>
      <c r="W2" s="2037"/>
      <c r="X2" s="2037"/>
      <c r="Y2" s="2037"/>
      <c r="Z2" s="2037"/>
      <c r="AA2" s="2037"/>
      <c r="AB2" s="2037"/>
      <c r="AC2" s="2150"/>
    </row>
    <row r="3" spans="1:39" ht="15.75">
      <c r="A3" s="1836" t="s">
        <v>943</v>
      </c>
      <c r="B3" s="1831" t="e">
        <f>ROUND(B2*10000/D1,0)</f>
        <v>#DIV/0!</v>
      </c>
      <c r="C3" s="1832" t="s">
        <v>1102</v>
      </c>
      <c r="D3" s="1833" t="s">
        <v>1103</v>
      </c>
      <c r="E3" s="1837"/>
      <c r="F3" s="1838"/>
      <c r="G3" s="1839">
        <f>IF(F3="宗地容积率",'数据-汇总表'!I4,IF(F3="估价对象容积率",'数据-汇总表'!I6,'数据-汇总表'!I7))</f>
        <v>2.2000000000000002</v>
      </c>
      <c r="H3" s="1840" t="s">
        <v>1104</v>
      </c>
      <c r="I3" s="2047"/>
      <c r="J3" s="2042" t="s">
        <v>1105</v>
      </c>
      <c r="K3" s="2043"/>
      <c r="L3" s="2044" t="s">
        <v>1106</v>
      </c>
      <c r="M3" s="2045">
        <f>SUMPRODUCT((区片价!B30:B54=I2)*(区片价!C3:G3=E2)*(区片价!C30:G54))</f>
        <v>0</v>
      </c>
      <c r="N3" s="2046">
        <f>SUMPRODUCT((因素修正幅度!B30:B54=I2)*(因素修正幅度!C3:G3=E2)*(因素修正幅度!C30:G54))</f>
        <v>0</v>
      </c>
      <c r="O3" s="2043"/>
      <c r="P3" s="2037"/>
      <c r="Q3" s="2037"/>
      <c r="R3" s="2142">
        <v>2</v>
      </c>
      <c r="S3" s="2142">
        <f>ROUND(SUMPRODUCT((B107:B111=R3)*(C106:N106=G2)*(C107:N111)),4)</f>
        <v>0</v>
      </c>
      <c r="T3" s="2142" t="e">
        <f t="shared" ref="T3:T16" si="0">ROUND($C$5*$C$22*$C$23*$C$24*S3*$C$28,0)</f>
        <v>#DIV/0!</v>
      </c>
      <c r="U3" s="2143"/>
      <c r="V3" s="2142" t="e">
        <f t="shared" ref="V3:V16" si="1">ROUND(T3*U3/10000,0)</f>
        <v>#DIV/0!</v>
      </c>
      <c r="W3" s="2037"/>
      <c r="X3" s="2037"/>
      <c r="Y3" s="2037"/>
      <c r="Z3" s="2037"/>
      <c r="AA3" s="2037"/>
      <c r="AB3" s="2037"/>
      <c r="AC3" s="2150"/>
    </row>
    <row r="4" spans="1:39" ht="28.5">
      <c r="A4" s="1841" t="s">
        <v>1107</v>
      </c>
      <c r="B4" s="1842" t="e">
        <f>ROUND(B2*10000/F1,0)</f>
        <v>#DIV/0!</v>
      </c>
      <c r="C4" s="1843" t="s">
        <v>1102</v>
      </c>
      <c r="D4" s="1843" t="e">
        <f>ROUND(B2/(F1/666.67),0)</f>
        <v>#DIV/0!</v>
      </c>
      <c r="E4" s="1843" t="s">
        <v>1108</v>
      </c>
      <c r="F4" s="1844"/>
      <c r="G4" s="1844"/>
      <c r="H4" s="1844"/>
      <c r="I4" s="1844"/>
      <c r="J4" s="2048"/>
      <c r="K4" s="2049"/>
      <c r="L4" s="2044" t="s">
        <v>1109</v>
      </c>
      <c r="M4" s="2045">
        <f>SUMPRODUCT((区片价!B55:B86=I2)*(区片价!C3:G3=E2)*(区片价!C55:G86))</f>
        <v>0</v>
      </c>
      <c r="N4" s="2046">
        <f>SUMPRODUCT((因素修正幅度!B55:B86=I2)*(因素修正幅度!C3:G3=E2)*(因素修正幅度!C55:G86))</f>
        <v>0</v>
      </c>
      <c r="O4" s="2049"/>
      <c r="P4" s="2037"/>
      <c r="Q4" s="2037"/>
      <c r="R4" s="2142">
        <v>3</v>
      </c>
      <c r="S4" s="2142">
        <f>ROUND(SUMPRODUCT((B107:B111=R4)*(C106:N106=G2)*(C107:N111)),4)</f>
        <v>0</v>
      </c>
      <c r="T4" s="2142" t="e">
        <f t="shared" si="0"/>
        <v>#DIV/0!</v>
      </c>
      <c r="U4" s="2143"/>
      <c r="V4" s="2142" t="e">
        <f t="shared" si="1"/>
        <v>#DIV/0!</v>
      </c>
      <c r="W4" s="2037"/>
      <c r="X4" s="2037"/>
      <c r="Y4" s="2037"/>
      <c r="Z4" s="2037"/>
      <c r="AA4" s="2037"/>
      <c r="AB4" s="2037"/>
      <c r="AC4" s="2150"/>
    </row>
    <row r="5" spans="1:39" s="1818" customFormat="1" ht="15">
      <c r="A5" s="1845" t="s">
        <v>876</v>
      </c>
      <c r="B5" s="1846" t="s">
        <v>1110</v>
      </c>
      <c r="C5" s="1847" t="e">
        <f>ROUND(IF(E2="商业",C6*C7*C17+C20,(IF(E2="住宅",C6*C13*C17+C20,IF(E2="办公",C6*C12*C17+C20,C6+C20)))),0)</f>
        <v>#DIV/0!</v>
      </c>
      <c r="D5" s="1848" t="e">
        <f>ROUND(C6*C17+C20,0)</f>
        <v>#DIV/0!</v>
      </c>
      <c r="E5" s="1848"/>
      <c r="F5" s="1849"/>
      <c r="G5" s="1850"/>
      <c r="H5" s="1850"/>
      <c r="I5" s="1850"/>
      <c r="J5" s="2050"/>
      <c r="K5" s="2051"/>
      <c r="L5" s="2044" t="s">
        <v>1111</v>
      </c>
      <c r="M5" s="2045">
        <f>SUMPRODUCT((区片价!B87:B126=I2)*(区片价!C3:G3=E2)*(区片价!C87:G126))</f>
        <v>0</v>
      </c>
      <c r="N5" s="2046">
        <f>SUMPRODUCT((因素修正幅度!B87:B126=I2)*(因素修正幅度!C3:G3=E2)*(因素修正幅度!C87:G126))</f>
        <v>0</v>
      </c>
      <c r="O5" s="2051"/>
      <c r="P5" s="2052"/>
      <c r="Q5" s="2037"/>
      <c r="R5" s="2142">
        <v>4</v>
      </c>
      <c r="S5" s="2142">
        <f>ROUND(SUMPRODUCT((B107:B111=R5)*(C106:N106=G2)*(C107:N111)),4)</f>
        <v>0</v>
      </c>
      <c r="T5" s="2142" t="e">
        <f t="shared" si="0"/>
        <v>#DIV/0!</v>
      </c>
      <c r="U5" s="2143"/>
      <c r="V5" s="2142" t="e">
        <f t="shared" si="1"/>
        <v>#DIV/0!</v>
      </c>
      <c r="W5" s="2037"/>
      <c r="X5" s="2037"/>
      <c r="Y5" s="2037"/>
      <c r="Z5" s="2037"/>
      <c r="AA5" s="2037"/>
      <c r="AB5" s="2037"/>
      <c r="AC5" s="2152"/>
      <c r="AD5" s="2153"/>
      <c r="AE5" s="2153"/>
      <c r="AF5" s="2153"/>
      <c r="AG5" s="2153"/>
      <c r="AH5" s="2153"/>
      <c r="AI5" s="2153"/>
      <c r="AJ5" s="2162"/>
      <c r="AK5" s="2162"/>
      <c r="AL5" s="2162"/>
      <c r="AM5" s="2162"/>
    </row>
    <row r="6" spans="1:39" ht="15">
      <c r="A6" s="1851" t="s">
        <v>1112</v>
      </c>
      <c r="B6" s="1852" t="s">
        <v>1110</v>
      </c>
      <c r="C6" s="1853">
        <f>SUMIF(L1:L12,G2,M1:M12)</f>
        <v>0</v>
      </c>
      <c r="D6" s="1854" t="s">
        <v>1113</v>
      </c>
      <c r="E6" s="1852"/>
      <c r="F6" s="1852"/>
      <c r="G6" s="1855"/>
      <c r="H6" s="1855"/>
      <c r="I6" s="1855"/>
      <c r="J6" s="2053"/>
      <c r="K6" s="2054"/>
      <c r="L6" s="2044" t="s">
        <v>1114</v>
      </c>
      <c r="M6" s="2045">
        <f>SUMPRODUCT((区片价!B127:B189=I2)*(区片价!C3:G3=E2)*(区片价!C127:G189))</f>
        <v>0</v>
      </c>
      <c r="N6" s="2046">
        <f>SUMPRODUCT((因素修正幅度!B127:B189=I2)*(因素修正幅度!C3:G3=E2)*(因素修正幅度!C127:G189))</f>
        <v>0</v>
      </c>
      <c r="O6" s="2054"/>
      <c r="P6" s="2055"/>
      <c r="Q6" s="2037"/>
      <c r="R6" s="2142">
        <v>5</v>
      </c>
      <c r="S6" s="2142">
        <f>ROUND(SUMPRODUCT((B107:B111=R6)*(C106:N106=G2)*(C107:N111)),4)</f>
        <v>0</v>
      </c>
      <c r="T6" s="2142" t="e">
        <f t="shared" si="0"/>
        <v>#DIV/0!</v>
      </c>
      <c r="U6" s="2143"/>
      <c r="V6" s="2142" t="e">
        <f t="shared" si="1"/>
        <v>#DIV/0!</v>
      </c>
      <c r="W6" s="2037"/>
      <c r="X6" s="2037"/>
      <c r="Y6" s="2037"/>
      <c r="Z6" s="2037"/>
      <c r="AA6" s="2037"/>
      <c r="AB6" s="2037"/>
      <c r="AC6" s="2152"/>
      <c r="AD6" s="2153"/>
      <c r="AE6" s="2153"/>
      <c r="AF6" s="2153"/>
      <c r="AG6" s="2153"/>
      <c r="AH6" s="2153"/>
      <c r="AI6" s="2153"/>
      <c r="AJ6" s="2162"/>
    </row>
    <row r="7" spans="1:39" ht="24">
      <c r="A7" s="1856" t="s">
        <v>1115</v>
      </c>
      <c r="B7" s="1857" t="s">
        <v>1116</v>
      </c>
      <c r="C7" s="1858" t="e">
        <f>IF(C8="不临65条商业街",1,ROUND(1+(1.6*E8+1.2*E9+0.8*E10+0.4*E11)*C9,4))</f>
        <v>#DIV/0!</v>
      </c>
      <c r="D7" s="1859" t="s">
        <v>1117</v>
      </c>
      <c r="E7" s="1860"/>
      <c r="F7" s="1861"/>
      <c r="G7" s="1861"/>
      <c r="H7" s="1861"/>
      <c r="I7" s="1861"/>
      <c r="J7" s="2056"/>
      <c r="K7" s="2054"/>
      <c r="L7" s="2044" t="s">
        <v>1118</v>
      </c>
      <c r="M7" s="2045">
        <f>SUMPRODUCT((区片价!B190:B233=I2)*(区片价!C3:G3=E2)*(区片价!C190:G233))</f>
        <v>0</v>
      </c>
      <c r="N7" s="2046">
        <f>SUMPRODUCT((因素修正幅度!B190:B233=I2)*(因素修正幅度!C3:G3=E2)*(因素修正幅度!C190:G233))</f>
        <v>0</v>
      </c>
      <c r="O7" s="2054"/>
      <c r="P7" s="2055"/>
      <c r="Q7" s="2037"/>
      <c r="R7" s="2142">
        <v>6</v>
      </c>
      <c r="S7" s="2143"/>
      <c r="T7" s="2142" t="e">
        <f t="shared" si="0"/>
        <v>#DIV/0!</v>
      </c>
      <c r="U7" s="2143"/>
      <c r="V7" s="2142" t="e">
        <f t="shared" si="1"/>
        <v>#DIV/0!</v>
      </c>
      <c r="W7" s="2144" t="s">
        <v>1119</v>
      </c>
      <c r="X7" s="2145">
        <f>G2</f>
        <v>0</v>
      </c>
      <c r="Y7" s="2145" t="s">
        <v>1120</v>
      </c>
      <c r="Z7" s="2154">
        <f>G3</f>
        <v>2.2000000000000002</v>
      </c>
      <c r="AA7" s="2147"/>
      <c r="AB7" s="2147"/>
      <c r="AC7" s="2085"/>
      <c r="AD7" s="2155"/>
      <c r="AE7" s="2155"/>
      <c r="AF7" s="2155"/>
      <c r="AG7" s="2155"/>
      <c r="AH7" s="2155"/>
      <c r="AI7" s="2155"/>
      <c r="AJ7" s="2163"/>
    </row>
    <row r="8" spans="1:39" ht="15">
      <c r="A8" s="1862"/>
      <c r="B8" s="1840" t="s">
        <v>1121</v>
      </c>
      <c r="C8" s="1863"/>
      <c r="D8" s="1864" t="s">
        <v>1122</v>
      </c>
      <c r="E8" s="1865" t="e">
        <f>ROUND(C11/E7,4)</f>
        <v>#DIV/0!</v>
      </c>
      <c r="F8" s="1866" t="s">
        <v>1123</v>
      </c>
      <c r="G8" s="1867"/>
      <c r="H8" s="1867"/>
      <c r="I8" s="1867"/>
      <c r="J8" s="2057"/>
      <c r="K8" s="2054"/>
      <c r="L8" s="2044" t="s">
        <v>1124</v>
      </c>
      <c r="M8" s="2045">
        <f>SUMPRODUCT((区片价!B234:B276=I2)*(区片价!C3:G3=E2)*(区片价!C234:G276))</f>
        <v>0</v>
      </c>
      <c r="N8" s="2046">
        <f>SUMPRODUCT((因素修正幅度!B234:B276=I2)*(因素修正幅度!C3:G3=E2)*(因素修正幅度!C234:G276))</f>
        <v>0</v>
      </c>
      <c r="O8" s="2054"/>
      <c r="P8" s="2037"/>
      <c r="Q8" s="2037"/>
      <c r="R8" s="2142">
        <v>7</v>
      </c>
      <c r="S8" s="2143"/>
      <c r="T8" s="2142" t="e">
        <f t="shared" si="0"/>
        <v>#DIV/0!</v>
      </c>
      <c r="U8" s="2143"/>
      <c r="V8" s="2142" t="e">
        <f t="shared" si="1"/>
        <v>#DIV/0!</v>
      </c>
      <c r="W8" s="3898" t="s">
        <v>1125</v>
      </c>
      <c r="X8" s="3899"/>
      <c r="Y8" s="1972" t="s">
        <v>1126</v>
      </c>
      <c r="Z8" s="1972" t="s">
        <v>1127</v>
      </c>
      <c r="AA8" s="1972" t="s">
        <v>1128</v>
      </c>
      <c r="AB8" s="1972" t="s">
        <v>1129</v>
      </c>
      <c r="AC8" s="1972" t="s">
        <v>1130</v>
      </c>
      <c r="AD8" s="1972" t="s">
        <v>1131</v>
      </c>
      <c r="AE8" s="1972" t="s">
        <v>1132</v>
      </c>
      <c r="AF8" s="1972" t="s">
        <v>1133</v>
      </c>
      <c r="AG8" s="1972" t="s">
        <v>1134</v>
      </c>
      <c r="AH8" s="1972" t="s">
        <v>1135</v>
      </c>
      <c r="AI8" s="1972" t="s">
        <v>1136</v>
      </c>
      <c r="AJ8" s="1972" t="s">
        <v>1137</v>
      </c>
    </row>
    <row r="9" spans="1:39" ht="15">
      <c r="A9" s="1862"/>
      <c r="B9" s="1840" t="s">
        <v>1138</v>
      </c>
      <c r="C9" s="1868">
        <f>SUMIF(修正!C71:C139,C8,修正!E71:E139)</f>
        <v>0</v>
      </c>
      <c r="D9" s="1869" t="s">
        <v>1139</v>
      </c>
      <c r="E9" s="1869" t="e">
        <f>ROUND(C11/E7,4)</f>
        <v>#DIV/0!</v>
      </c>
      <c r="F9" s="1866" t="s">
        <v>1140</v>
      </c>
      <c r="G9" s="1867"/>
      <c r="H9" s="1867"/>
      <c r="I9" s="1867"/>
      <c r="J9" s="2057"/>
      <c r="K9" s="2054"/>
      <c r="L9" s="2044" t="s">
        <v>1141</v>
      </c>
      <c r="M9" s="2045">
        <f>SUMPRODUCT((区片价!B277:B326=I2)*(区片价!C3:G3=E2)*(区片价!C277:G326))</f>
        <v>0</v>
      </c>
      <c r="N9" s="2046">
        <f>SUMPRODUCT((因素修正幅度!B277:B326=I2)*(因素修正幅度!C3:G3=E2)*(因素修正幅度!C277:G326))</f>
        <v>0</v>
      </c>
      <c r="O9" s="2054"/>
      <c r="P9" s="2037"/>
      <c r="Q9" s="2037"/>
      <c r="R9" s="2142">
        <v>8</v>
      </c>
      <c r="S9" s="2143"/>
      <c r="T9" s="2142" t="e">
        <f t="shared" si="0"/>
        <v>#DIV/0!</v>
      </c>
      <c r="U9" s="2143"/>
      <c r="V9" s="2142" t="e">
        <f t="shared" si="1"/>
        <v>#DIV/0!</v>
      </c>
      <c r="W9" s="3912"/>
      <c r="X9" s="2146" t="s">
        <v>1142</v>
      </c>
      <c r="Y9" s="2156">
        <v>6</v>
      </c>
      <c r="Z9" s="2157">
        <f t="shared" ref="Z9:AJ9" si="2">$Y$9</f>
        <v>6</v>
      </c>
      <c r="AA9" s="2157">
        <f t="shared" si="2"/>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spans="1:39" ht="15">
      <c r="A10" s="1862"/>
      <c r="B10" s="1840" t="s">
        <v>1143</v>
      </c>
      <c r="C10" s="1869">
        <f>SUMIF(修正!C71:C139,C8,修正!F71:F139)</f>
        <v>0</v>
      </c>
      <c r="D10" s="1869" t="s">
        <v>1144</v>
      </c>
      <c r="E10" s="1869" t="e">
        <f>ROUND(C11/E7,4)</f>
        <v>#DIV/0!</v>
      </c>
      <c r="F10" s="1866" t="s">
        <v>1145</v>
      </c>
      <c r="G10" s="1867"/>
      <c r="H10" s="1867"/>
      <c r="I10" s="1867"/>
      <c r="J10" s="2057"/>
      <c r="K10" s="2054"/>
      <c r="L10" s="2044" t="s">
        <v>1146</v>
      </c>
      <c r="M10" s="2045">
        <f>SUMPRODUCT((区片价!B327:B357=I2)*(区片价!C3:G3=E2)*(区片价!C327:G357))</f>
        <v>0</v>
      </c>
      <c r="N10" s="2046">
        <f>SUMPRODUCT((因素修正幅度!B327:B357=I2)*(因素修正幅度!C3:G3=E2)*(因素修正幅度!C327:G357))</f>
        <v>0</v>
      </c>
      <c r="O10" s="2054"/>
      <c r="P10" s="2037"/>
      <c r="Q10" s="2037"/>
      <c r="R10" s="2142">
        <v>9</v>
      </c>
      <c r="S10" s="2143"/>
      <c r="T10" s="2142" t="e">
        <f t="shared" si="0"/>
        <v>#DIV/0!</v>
      </c>
      <c r="U10" s="2143"/>
      <c r="V10" s="2142" t="e">
        <f t="shared" si="1"/>
        <v>#DIV/0!</v>
      </c>
      <c r="W10" s="3912"/>
      <c r="X10" s="2146">
        <v>6</v>
      </c>
      <c r="Y10" s="2158">
        <f>ROUND((-0.5556*(Y9^2)-0.2719*Y9+8944)*(10^(-4)),4)</f>
        <v>0.89219999999999999</v>
      </c>
      <c r="Z10" s="2158">
        <f>ROUND((-0.5556*(Z9^2)-0.2719*Z9+8944)*(10^(-4)),4)</f>
        <v>0.89219999999999999</v>
      </c>
      <c r="AA10" s="2158">
        <f>ROUND((-0.7912*(AA9^2)-11.3794*AA9+8482)*(10^(-4)),4)</f>
        <v>0.83850000000000002</v>
      </c>
      <c r="AB10" s="2158">
        <f>ROUND((-0.7912*(AB9^2)-11.3794*AB9+8482)*(10^(-4)),4)</f>
        <v>0.83850000000000002</v>
      </c>
      <c r="AC10" s="2158">
        <f>ROUND((-0.7912*(AC9^2)-11.3794*AC9+8482)*(10^(-4)),4)</f>
        <v>0.83850000000000002</v>
      </c>
      <c r="AD10" s="2158">
        <f>ROUND((-0.7912*(AD9^2)-11.3794*AD9+8482)*(10^(-4)),4)</f>
        <v>0.83850000000000002</v>
      </c>
      <c r="AE10" s="2158">
        <f>ROUND((-0.7912*(AE9^2)-11.3794*AE9+8482)*(10^(-4)),4)</f>
        <v>0.83850000000000002</v>
      </c>
      <c r="AF10" s="2158">
        <f>ROUND((-0.989*(AF9^2)-63.78*AF9+7771)*(10^(-4)),4)</f>
        <v>0.73529999999999995</v>
      </c>
      <c r="AG10" s="2158">
        <f>ROUND((-0.989*(AG9^2)-63.78*AG9+7771)*(10^(-4)),4)</f>
        <v>0.73529999999999995</v>
      </c>
      <c r="AH10" s="2158">
        <f>ROUND((-0.989*(AH9^2)-63.78*AH9+7771)*(10^(-4)),4)</f>
        <v>0.73529999999999995</v>
      </c>
      <c r="AI10" s="2158">
        <f>ROUND((-0.989*(AI9^2)-63.78*AI9+7771)*(10^(-4)),4)</f>
        <v>0.73529999999999995</v>
      </c>
      <c r="AJ10" s="2158">
        <f>ROUND((-0.989*(AJ9^2)-63.78*AJ9+7771)*(10^(-4)),4)</f>
        <v>0.73529999999999995</v>
      </c>
    </row>
    <row r="11" spans="1:39" ht="15.75" customHeight="1">
      <c r="A11" s="1862"/>
      <c r="B11" s="1870" t="s">
        <v>1147</v>
      </c>
      <c r="C11" s="1871">
        <f>C10/4</f>
        <v>0</v>
      </c>
      <c r="D11" s="1871" t="s">
        <v>1148</v>
      </c>
      <c r="E11" s="1871" t="e">
        <f>ROUND(C11/E7,4)</f>
        <v>#DIV/0!</v>
      </c>
      <c r="F11" s="1872" t="s">
        <v>1149</v>
      </c>
      <c r="G11" s="1873"/>
      <c r="H11" s="1873"/>
      <c r="I11" s="1873"/>
      <c r="J11" s="2058"/>
      <c r="K11" s="2054"/>
      <c r="L11" s="2044" t="s">
        <v>1150</v>
      </c>
      <c r="M11" s="2045">
        <f>SUMPRODUCT((区片价!B358:B377=I2)*(区片价!C3:G3=E2)*(区片价!C358:G377))</f>
        <v>0</v>
      </c>
      <c r="N11" s="2046">
        <f>SUMPRODUCT((因素修正幅度!B358:B377=I2)*(因素修正幅度!C3:G3=E2)*(因素修正幅度!C358:G377))</f>
        <v>0</v>
      </c>
      <c r="O11" s="2054"/>
      <c r="P11" s="2037"/>
      <c r="Q11" s="2037"/>
      <c r="R11" s="2142">
        <v>10</v>
      </c>
      <c r="S11" s="2143"/>
      <c r="T11" s="2142" t="e">
        <f t="shared" si="0"/>
        <v>#DIV/0!</v>
      </c>
      <c r="U11" s="2143"/>
      <c r="V11" s="2142" t="e">
        <f t="shared" si="1"/>
        <v>#DIV/0!</v>
      </c>
      <c r="W11" s="2037"/>
      <c r="X11" s="2037"/>
      <c r="Y11" s="2037"/>
      <c r="Z11" s="2037"/>
      <c r="AA11" s="2037"/>
      <c r="AB11" s="2037"/>
      <c r="AC11" s="2150"/>
    </row>
    <row r="12" spans="1:39" ht="24.75">
      <c r="A12" s="1856" t="s">
        <v>930</v>
      </c>
      <c r="B12" s="1874" t="s">
        <v>1151</v>
      </c>
      <c r="C12" s="1875">
        <v>1.02</v>
      </c>
      <c r="D12" s="1876" t="s">
        <v>1152</v>
      </c>
      <c r="E12" s="1877" t="s">
        <v>1153</v>
      </c>
      <c r="F12" s="1878"/>
      <c r="G12" s="1879"/>
      <c r="H12" s="1879"/>
      <c r="I12" s="1879"/>
      <c r="J12" s="2059"/>
      <c r="K12" s="2054"/>
      <c r="L12" s="2060" t="s">
        <v>1154</v>
      </c>
      <c r="M12" s="2061">
        <f>SUMPRODUCT((区片价!B378:B384=I2)*(区片价!C3:G3=E2)*(区片价!C378:G384))</f>
        <v>0</v>
      </c>
      <c r="N12" s="2062">
        <f>SUMPRODUCT((因素修正幅度!B378:B384=I2)*(因素修正幅度!C3:G3=E2)*(因素修正幅度!C378:G384))</f>
        <v>0</v>
      </c>
      <c r="O12" s="2054"/>
      <c r="P12" s="2037"/>
      <c r="Q12" s="2037"/>
      <c r="R12" s="2142">
        <v>11</v>
      </c>
      <c r="S12" s="2143"/>
      <c r="T12" s="2142" t="e">
        <f t="shared" si="0"/>
        <v>#DIV/0!</v>
      </c>
      <c r="U12" s="2143"/>
      <c r="V12" s="2142" t="e">
        <f t="shared" si="1"/>
        <v>#DIV/0!</v>
      </c>
      <c r="W12" s="2037"/>
      <c r="X12" s="2037"/>
      <c r="Y12" s="2037"/>
      <c r="Z12" s="2037"/>
      <c r="AA12" s="2037"/>
      <c r="AB12" s="2037"/>
      <c r="AC12" s="2150"/>
    </row>
    <row r="13" spans="1:39" ht="15">
      <c r="A13" s="1856" t="s">
        <v>933</v>
      </c>
      <c r="B13" s="1880" t="s">
        <v>1155</v>
      </c>
      <c r="C13" s="1858">
        <f>ROUND(C16*D16*E16*F16*G16*H16*I16*J16,4)</f>
        <v>0</v>
      </c>
      <c r="D13" s="1881" t="s">
        <v>1156</v>
      </c>
      <c r="E13" s="1882"/>
      <c r="F13" s="1882"/>
      <c r="G13" s="1882"/>
      <c r="H13" s="1882"/>
      <c r="I13" s="1882"/>
      <c r="J13" s="2063"/>
      <c r="K13" s="2064"/>
      <c r="L13" s="2064"/>
      <c r="M13" s="2064"/>
      <c r="N13" s="2064"/>
      <c r="O13" s="2064"/>
      <c r="P13" s="2037"/>
      <c r="Q13" s="2037"/>
      <c r="R13" s="2142">
        <v>12</v>
      </c>
      <c r="S13" s="2143"/>
      <c r="T13" s="2142" t="e">
        <f t="shared" si="0"/>
        <v>#DIV/0!</v>
      </c>
      <c r="U13" s="2143"/>
      <c r="V13" s="2142" t="e">
        <f t="shared" si="1"/>
        <v>#DIV/0!</v>
      </c>
      <c r="W13" s="2037"/>
      <c r="X13" s="2037"/>
      <c r="Y13" s="2037"/>
      <c r="Z13" s="2037"/>
      <c r="AA13" s="2037"/>
      <c r="AB13" s="2037"/>
      <c r="AC13" s="2150"/>
    </row>
    <row r="14" spans="1:39" ht="12.75" customHeight="1">
      <c r="A14" s="1883"/>
      <c r="B14" s="1711" t="s">
        <v>1157</v>
      </c>
      <c r="C14" s="1726" t="s">
        <v>1158</v>
      </c>
      <c r="D14" s="1701" t="s">
        <v>1159</v>
      </c>
      <c r="E14" s="736" t="s">
        <v>1160</v>
      </c>
      <c r="F14" s="1884" t="s">
        <v>1161</v>
      </c>
      <c r="G14" s="1884" t="s">
        <v>1161</v>
      </c>
      <c r="H14" s="1885" t="s">
        <v>1161</v>
      </c>
      <c r="I14" s="2065" t="s">
        <v>1161</v>
      </c>
      <c r="J14" s="2065" t="s">
        <v>1161</v>
      </c>
      <c r="K14" s="2066"/>
      <c r="L14" s="2066"/>
      <c r="M14" s="2066"/>
      <c r="N14" s="2066"/>
      <c r="O14" s="2066"/>
      <c r="P14" s="2037"/>
      <c r="Q14" s="2037"/>
      <c r="R14" s="2142">
        <v>13</v>
      </c>
      <c r="S14" s="2143"/>
      <c r="T14" s="2142" t="e">
        <f t="shared" si="0"/>
        <v>#DIV/0!</v>
      </c>
      <c r="U14" s="2143"/>
      <c r="V14" s="2142" t="e">
        <f t="shared" si="1"/>
        <v>#DIV/0!</v>
      </c>
      <c r="W14" s="2037"/>
      <c r="X14" s="2037"/>
      <c r="Y14" s="2037"/>
      <c r="Z14" s="2037"/>
      <c r="AA14" s="2037"/>
      <c r="AB14" s="2037"/>
      <c r="AC14" s="2150"/>
    </row>
    <row r="15" spans="1:39" ht="13.5" customHeight="1">
      <c r="A15" s="1883"/>
      <c r="B15" s="1701"/>
      <c r="C15" s="1886"/>
      <c r="D15" s="1887"/>
      <c r="E15" s="1888"/>
      <c r="F15" s="1888"/>
      <c r="G15" s="1889" t="s">
        <v>1162</v>
      </c>
      <c r="H15" s="1890"/>
      <c r="I15" s="2067"/>
      <c r="J15" s="2068"/>
      <c r="K15" s="2069"/>
      <c r="L15" s="2070"/>
      <c r="M15" s="2070"/>
      <c r="N15" s="2070"/>
      <c r="O15" s="2070"/>
      <c r="P15" s="2037"/>
      <c r="Q15" s="2037"/>
      <c r="R15" s="2142">
        <v>14</v>
      </c>
      <c r="S15" s="2143"/>
      <c r="T15" s="2142" t="e">
        <f t="shared" si="0"/>
        <v>#DIV/0!</v>
      </c>
      <c r="U15" s="2143"/>
      <c r="V15" s="2142" t="e">
        <f t="shared" si="1"/>
        <v>#DIV/0!</v>
      </c>
      <c r="W15" s="2037"/>
      <c r="X15" s="2037"/>
      <c r="Y15" s="2037"/>
      <c r="Z15" s="2037"/>
      <c r="AA15" s="2037"/>
      <c r="AB15" s="2037"/>
      <c r="AC15" s="2150"/>
    </row>
    <row r="16" spans="1:39" ht="24.6" customHeight="1">
      <c r="A16" s="1883"/>
      <c r="B16" s="1710" t="s">
        <v>1163</v>
      </c>
      <c r="C16" s="1891"/>
      <c r="D16" s="1891"/>
      <c r="E16" s="1891"/>
      <c r="F16" s="1891"/>
      <c r="G16" s="1891">
        <v>1</v>
      </c>
      <c r="H16" s="1891">
        <v>1</v>
      </c>
      <c r="I16" s="1891">
        <v>1</v>
      </c>
      <c r="J16" s="2071">
        <v>1</v>
      </c>
      <c r="K16" s="2070"/>
      <c r="L16" s="2070"/>
      <c r="M16" s="2070"/>
      <c r="N16" s="2070"/>
      <c r="O16" s="2070"/>
      <c r="P16" s="2037"/>
      <c r="Q16" s="2037"/>
      <c r="R16" s="2142">
        <v>15</v>
      </c>
      <c r="S16" s="2143"/>
      <c r="T16" s="2142" t="e">
        <f t="shared" si="0"/>
        <v>#DIV/0!</v>
      </c>
      <c r="U16" s="2143"/>
      <c r="V16" s="2142" t="e">
        <f t="shared" si="1"/>
        <v>#DIV/0!</v>
      </c>
      <c r="W16" s="2147"/>
      <c r="X16" s="2147"/>
      <c r="Y16" s="2147"/>
      <c r="Z16" s="2147"/>
      <c r="AA16" s="2147"/>
      <c r="AB16" s="2147"/>
      <c r="AC16" s="2085"/>
    </row>
    <row r="17" spans="1:40" ht="24">
      <c r="A17" s="1892" t="s">
        <v>937</v>
      </c>
      <c r="B17" s="1893" t="s">
        <v>1164</v>
      </c>
      <c r="C17" s="1894">
        <f>ROUND(IF(OR(E2="工业",E2="公共服务"),1,IF(AND(E18=0,E19=0),1,IF(AND(E18=J24,E19=G19),0.8,IF(E19=0,1+E17*(-0.2),1+E17*G17*(-0.2))))),4)</f>
        <v>1</v>
      </c>
      <c r="D17" s="1895" t="s">
        <v>1165</v>
      </c>
      <c r="E17" s="1894" t="e">
        <f>ROUND(G18/I18,2)</f>
        <v>#DIV/0!</v>
      </c>
      <c r="F17" s="1895" t="s">
        <v>1166</v>
      </c>
      <c r="G17" s="1894" t="e">
        <f>ROUND(E19/G19,2)</f>
        <v>#DIV/0!</v>
      </c>
      <c r="H17" s="1894"/>
      <c r="I17" s="1894"/>
      <c r="J17" s="2072"/>
      <c r="K17" s="2070"/>
      <c r="L17" s="2070"/>
      <c r="M17" s="2070"/>
      <c r="N17" s="2070"/>
      <c r="O17" s="2070"/>
      <c r="P17" s="2037"/>
      <c r="Q17" s="2037"/>
      <c r="R17" s="2085"/>
      <c r="S17" s="2085"/>
      <c r="T17" s="2085"/>
      <c r="U17" s="2085"/>
      <c r="V17" s="2085"/>
      <c r="W17" s="2147"/>
      <c r="X17" s="2147"/>
      <c r="Y17" s="2147"/>
      <c r="Z17" s="2147"/>
      <c r="AA17" s="2147"/>
      <c r="AB17" s="2147"/>
      <c r="AC17" s="2085"/>
      <c r="AH17" s="1819"/>
      <c r="AI17" s="1819"/>
      <c r="AJ17" s="1823"/>
      <c r="AK17" s="1823"/>
      <c r="AL17" s="1823"/>
      <c r="AM17" s="1823"/>
    </row>
    <row r="18" spans="1:40" s="1818" customFormat="1" ht="14.25">
      <c r="A18" s="1883"/>
      <c r="B18" s="1698"/>
      <c r="C18" s="1896"/>
      <c r="D18" s="1897" t="s">
        <v>1167</v>
      </c>
      <c r="E18" s="1898"/>
      <c r="F18" s="1899" t="s">
        <v>1168</v>
      </c>
      <c r="G18" s="1896">
        <f>ROUND(1-(1/(POWER(1+G24,E18))),4)</f>
        <v>0</v>
      </c>
      <c r="H18" s="1899" t="s">
        <v>1169</v>
      </c>
      <c r="I18" s="1896">
        <f>ROUND(1-(1/(POWER(1+G24,J24))),4)</f>
        <v>0</v>
      </c>
      <c r="J18" s="2073"/>
      <c r="K18" s="2070"/>
      <c r="L18" s="2070"/>
      <c r="M18" s="2070"/>
      <c r="N18" s="2070"/>
      <c r="O18" s="2070"/>
      <c r="P18" s="2037"/>
      <c r="Q18" s="2037"/>
      <c r="R18" s="2148"/>
      <c r="S18" s="2148"/>
      <c r="T18" s="2148"/>
      <c r="U18" s="2148"/>
      <c r="V18" s="2148"/>
      <c r="W18" s="2085"/>
      <c r="X18" s="2085"/>
      <c r="Y18" s="2085"/>
      <c r="Z18" s="2085"/>
      <c r="AA18" s="2147"/>
      <c r="AB18" s="2147"/>
      <c r="AC18" s="2102"/>
      <c r="AD18" s="2159"/>
      <c r="AE18" s="2159"/>
      <c r="AF18" s="2159"/>
      <c r="AG18" s="2159"/>
      <c r="AH18" s="1824"/>
      <c r="AI18" s="1824"/>
      <c r="AJ18" s="1822"/>
      <c r="AK18" s="1822"/>
      <c r="AL18" s="1822"/>
    </row>
    <row r="19" spans="1:40" s="1818" customFormat="1" ht="14.25">
      <c r="A19" s="1900"/>
      <c r="B19" s="1704"/>
      <c r="C19" s="1901"/>
      <c r="D19" s="1901" t="s">
        <v>1170</v>
      </c>
      <c r="E19" s="1902"/>
      <c r="F19" s="1903" t="s">
        <v>1171</v>
      </c>
      <c r="G19" s="1902"/>
      <c r="H19" s="1901"/>
      <c r="I19" s="1901"/>
      <c r="J19" s="2074"/>
      <c r="K19" s="2070"/>
      <c r="L19" s="2070"/>
      <c r="M19" s="2070"/>
      <c r="N19" s="2070"/>
      <c r="O19" s="2070"/>
      <c r="P19" s="2037"/>
      <c r="Q19" s="2037"/>
      <c r="R19" s="2102"/>
      <c r="S19" s="2102"/>
      <c r="T19" s="2102"/>
      <c r="U19" s="2102"/>
      <c r="V19" s="2102"/>
      <c r="W19" s="2102"/>
      <c r="X19" s="2102"/>
      <c r="Y19" s="1824"/>
      <c r="Z19" s="1824"/>
      <c r="AA19" s="1824"/>
      <c r="AB19" s="1824"/>
      <c r="AC19" s="2159"/>
      <c r="AD19" s="2160"/>
      <c r="AE19" s="2161"/>
      <c r="AF19" s="1822"/>
      <c r="AG19" s="2162"/>
      <c r="AH19" s="2162"/>
      <c r="AI19" s="2162"/>
    </row>
    <row r="20" spans="1:40" s="1818" customFormat="1" ht="14.25">
      <c r="A20" s="3904" t="s">
        <v>938</v>
      </c>
      <c r="B20" s="1857" t="s">
        <v>1172</v>
      </c>
      <c r="C20" s="1904" t="e">
        <f>ROUND(IF(F21="与级别开发程度一致",0,(G21-E21)/C21),0)</f>
        <v>#DIV/0!</v>
      </c>
      <c r="D20" s="3900" t="s">
        <v>1173</v>
      </c>
      <c r="E20" s="3901"/>
      <c r="F20" s="3900" t="s">
        <v>1174</v>
      </c>
      <c r="G20" s="3901"/>
      <c r="H20" s="1905"/>
      <c r="I20" s="1905"/>
      <c r="J20" s="1905"/>
      <c r="K20" s="1905"/>
      <c r="L20" s="1905"/>
      <c r="M20" s="1905"/>
      <c r="N20" s="1905"/>
      <c r="O20" s="2075"/>
      <c r="P20" s="2037"/>
      <c r="Q20" s="2147"/>
      <c r="R20" s="2102"/>
      <c r="S20" s="2102"/>
      <c r="T20" s="2102"/>
      <c r="U20" s="2102"/>
      <c r="V20" s="2102"/>
      <c r="W20" s="2102"/>
      <c r="X20" s="2102"/>
      <c r="Y20" s="2159"/>
      <c r="Z20" s="2159"/>
      <c r="AA20" s="2159"/>
      <c r="AB20" s="2159"/>
      <c r="AC20" s="2159"/>
      <c r="AD20" s="2159"/>
    </row>
    <row r="21" spans="1:40" s="1818" customFormat="1" ht="14.25">
      <c r="A21" s="3905"/>
      <c r="B21" s="1906" t="s">
        <v>1175</v>
      </c>
      <c r="C21" s="1907">
        <f>IF(E3="M4科研用地",SUMPRODUCT((修正!A2:A7=E3)*(修正!B1:M1=G2)*(修正!B2:M7)),SUMPRODUCT((修正!A2:A7=E2)*(修正!B1:M1=G2)*(修正!B2:M7)))</f>
        <v>0</v>
      </c>
      <c r="D21" s="1908" t="str">
        <f>IF(OR(G2="八级",G2="九级",G2="十级",G2="十一级",G2="十二级"),"五通一平","七通一平")</f>
        <v>七通一平</v>
      </c>
      <c r="E21" s="1909">
        <f>SUMPRODUCT((修正!B1:M1=G2)*(修正!B17:M17))</f>
        <v>0</v>
      </c>
      <c r="F21" s="1910"/>
      <c r="G21" s="1909">
        <f>SUM(H21:O21)</f>
        <v>0</v>
      </c>
      <c r="H21" s="1911">
        <f>SUMPRODUCT((七通一平=H20)*(修正!B1:M1=G2)*(修正!B8:M16))</f>
        <v>0</v>
      </c>
      <c r="I21" s="1911">
        <f>SUMPRODUCT((七通一平=I20)*(修正!B1:M1=G2)*(修正!B8:M16))</f>
        <v>0</v>
      </c>
      <c r="J21" s="1911">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2076">
        <f>SUMPRODUCT((七通一平=O20)*(修正!B1:M1=G2)*(修正!B8:M16))</f>
        <v>0</v>
      </c>
      <c r="P21" s="2037"/>
      <c r="Q21" s="2147"/>
      <c r="R21" s="2102"/>
      <c r="S21" s="2102"/>
      <c r="T21" s="2102"/>
      <c r="U21" s="2102"/>
      <c r="V21" s="2102"/>
      <c r="W21" s="2102"/>
      <c r="X21" s="2102"/>
      <c r="Y21" s="1824"/>
      <c r="Z21" s="1824"/>
      <c r="AA21" s="1824"/>
      <c r="AB21" s="1824"/>
      <c r="AC21" s="2159"/>
      <c r="AD21" s="2159"/>
    </row>
    <row r="22" spans="1:40" s="1818" customFormat="1" ht="15">
      <c r="A22" s="1912" t="s">
        <v>885</v>
      </c>
      <c r="B22" s="1913" t="s">
        <v>1176</v>
      </c>
      <c r="C22" s="1914">
        <f>SUMIF(修正!C20:C51,E3,修正!E20:E51)</f>
        <v>0</v>
      </c>
      <c r="D22" s="1915"/>
      <c r="E22" s="1916"/>
      <c r="F22" s="1917"/>
      <c r="G22" s="1918"/>
      <c r="H22" s="1918"/>
      <c r="I22" s="1918"/>
      <c r="J22" s="2077"/>
      <c r="K22" s="2051"/>
      <c r="L22" s="1918"/>
      <c r="M22" s="1918"/>
      <c r="N22" s="1918"/>
      <c r="O22" s="1918"/>
      <c r="P22" s="2078"/>
      <c r="Q22" s="2148"/>
      <c r="R22" s="2102"/>
      <c r="S22" s="2102"/>
      <c r="T22" s="2102"/>
      <c r="U22" s="2102"/>
      <c r="V22" s="2102"/>
      <c r="W22" s="2102"/>
      <c r="X22" s="2102"/>
      <c r="Y22" s="2159"/>
      <c r="Z22" s="2159"/>
      <c r="AA22" s="2159"/>
      <c r="AB22" s="2159"/>
      <c r="AC22" s="2159"/>
      <c r="AD22" s="2159"/>
    </row>
    <row r="23" spans="1:40" ht="27">
      <c r="A23" s="1919" t="s">
        <v>890</v>
      </c>
      <c r="B23" s="1920" t="s">
        <v>1177</v>
      </c>
      <c r="C23" s="192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2" t="s">
        <v>1178</v>
      </c>
      <c r="E23" s="1923">
        <v>44197</v>
      </c>
      <c r="F23" s="1922" t="s">
        <v>417</v>
      </c>
      <c r="G23" s="1924">
        <f>'数据-取费表'!B2</f>
        <v>45271</v>
      </c>
      <c r="H23" s="1925" t="s">
        <v>1179</v>
      </c>
      <c r="I23" s="2079" t="str">
        <f>IF(H23="季度增幅（自定义）",SUMIF(N25:N28,E2,O25:O28),"")</f>
        <v/>
      </c>
      <c r="J23" s="2080"/>
      <c r="K23" s="2051"/>
      <c r="L23" s="2081" t="s">
        <v>1180</v>
      </c>
      <c r="M23" s="2082">
        <f>ROUND(SUMIF(地价!B2:F2,E2,地价!B41:F41),0)</f>
        <v>0</v>
      </c>
      <c r="N23" s="2083" t="s">
        <v>1181</v>
      </c>
      <c r="O23" s="2084">
        <f>ROUNDDOWN(DATEDIF(E23,G23,"M")/3,0)</f>
        <v>11</v>
      </c>
      <c r="P23" s="2085"/>
      <c r="Q23" s="2149"/>
      <c r="R23" s="2102"/>
      <c r="S23" s="2102"/>
      <c r="T23" s="2102"/>
      <c r="U23" s="2102"/>
      <c r="V23" s="2102"/>
      <c r="W23" s="2102"/>
      <c r="X23" s="2102"/>
      <c r="Y23" s="1824"/>
      <c r="Z23" s="1824"/>
      <c r="AA23" s="1824"/>
      <c r="AB23" s="1824"/>
      <c r="AC23" s="1824"/>
      <c r="AE23" s="1822"/>
      <c r="AF23" s="1822"/>
      <c r="AG23" s="1822"/>
      <c r="AH23" s="1822"/>
      <c r="AI23" s="1822"/>
      <c r="AJ23" s="1823"/>
      <c r="AK23" s="1823"/>
      <c r="AL23" s="1823"/>
      <c r="AM23" s="1823"/>
    </row>
    <row r="24" spans="1:40" s="1818" customFormat="1" ht="24">
      <c r="A24" s="1912" t="s">
        <v>893</v>
      </c>
      <c r="B24" s="1926" t="s">
        <v>360</v>
      </c>
      <c r="C24" s="1927" t="e">
        <f>ROUND(POWER(1+G24,J24-I24)*(POWER(1+G24,I24)-1)/(POWER(1+G24,J24)-1),4)</f>
        <v>#DIV/0!</v>
      </c>
      <c r="D24" s="1928" t="s">
        <v>1182</v>
      </c>
      <c r="E24" s="1929">
        <f>存贷款利率!E24/100</f>
        <v>4.3499999999999997E-2</v>
      </c>
      <c r="F24" s="1928" t="s">
        <v>1183</v>
      </c>
      <c r="G24" s="1930">
        <f>SUMIF(M30:Q30,E2,M33:Q33)</f>
        <v>0</v>
      </c>
      <c r="H24" s="1928" t="s">
        <v>1184</v>
      </c>
      <c r="I24" s="2086" t="e">
        <f>SUMIF('数据-取费表'!C6:C15,E2,'数据-取费表'!F6:F15)/COUNTIF('数据-取费表'!C6:C15,E2)</f>
        <v>#DIV/0!</v>
      </c>
      <c r="J24" s="2087">
        <f>IF(E2="住宅",70,IF(E2="商业",40,50))</f>
        <v>50</v>
      </c>
      <c r="K24" s="2070"/>
      <c r="L24" s="2088" t="s">
        <v>1185</v>
      </c>
      <c r="M24" s="2089">
        <f>ROUND(SUMPRODUCT((地价!A4:A41=YEAR(G23)&amp;"-"&amp;ROUNDUP(MONTH(G23)/3,0))*(地价!B2:F2=E2)*(地价!B4:F41)),0)</f>
        <v>0</v>
      </c>
      <c r="N24" s="2090" t="s">
        <v>1186</v>
      </c>
      <c r="O24" s="2091" t="s">
        <v>1187</v>
      </c>
      <c r="P24" s="2092" t="s">
        <v>1188</v>
      </c>
      <c r="Q24" s="2149"/>
      <c r="R24" s="2102"/>
      <c r="S24" s="2102"/>
      <c r="T24" s="2102"/>
      <c r="U24" s="2102"/>
      <c r="V24" s="2102"/>
      <c r="W24" s="2102"/>
      <c r="X24" s="2102"/>
      <c r="Y24" s="2159"/>
      <c r="Z24" s="2159"/>
      <c r="AA24" s="2159"/>
      <c r="AB24" s="2159"/>
      <c r="AC24" s="2159"/>
      <c r="AD24" s="2159"/>
    </row>
    <row r="25" spans="1:40" ht="14.25">
      <c r="A25" s="1931" t="s">
        <v>918</v>
      </c>
      <c r="B25" s="1932" t="s">
        <v>176</v>
      </c>
      <c r="C25" s="1933">
        <f>IF(B25="容积率修正",IF(G3&lt;10,D26,J26),C27)</f>
        <v>0</v>
      </c>
      <c r="D25" s="1934"/>
      <c r="E25" s="1934"/>
      <c r="F25" s="1934"/>
      <c r="G25" s="1934"/>
      <c r="H25" s="1934"/>
      <c r="I25" s="1934"/>
      <c r="J25" s="2093"/>
      <c r="K25" s="2051"/>
      <c r="L25" s="1934"/>
      <c r="M25" s="1934"/>
      <c r="N25" s="2094" t="s">
        <v>435</v>
      </c>
      <c r="O25" s="2095"/>
      <c r="P25" s="2096">
        <f>SUMPRODUCT((地价!A3:A41=YEAR(G23)&amp;"-"&amp;ROUNDUP(MONTH(G23)/3,0))*(地价!AD2:AH2=N25)*(地价!AD3:AH41))</f>
        <v>0</v>
      </c>
      <c r="Q25" s="2149"/>
      <c r="R25" s="2102"/>
      <c r="S25" s="2102"/>
      <c r="T25" s="2102"/>
      <c r="U25" s="2102"/>
      <c r="V25" s="2102"/>
      <c r="W25" s="2102"/>
      <c r="X25" s="2102"/>
      <c r="Y25" s="1824"/>
      <c r="Z25" s="1824"/>
      <c r="AA25" s="1824"/>
      <c r="AB25" s="1824"/>
      <c r="AC25" s="1824"/>
      <c r="AE25" s="1822"/>
      <c r="AF25" s="1822"/>
      <c r="AG25" s="1822"/>
      <c r="AH25" s="1822"/>
      <c r="AI25" s="1823"/>
      <c r="AJ25" s="1823"/>
      <c r="AK25" s="1823"/>
      <c r="AL25" s="1823"/>
      <c r="AM25" s="1823"/>
    </row>
    <row r="26" spans="1:40" ht="14.25">
      <c r="A26" s="1935" t="s">
        <v>1112</v>
      </c>
      <c r="B26" s="1936" t="s">
        <v>1189</v>
      </c>
      <c r="C26" s="1937" t="s">
        <v>1190</v>
      </c>
      <c r="D26" s="1938">
        <f>IF(E26=G26,F26,IF(G3&lt;10,ROUND(F26+(H26-F26)*(G3-E26)/(G26-E26),4),"——"))</f>
        <v>0</v>
      </c>
      <c r="E26" s="1839">
        <f>ROUNDDOWN(G3,1)</f>
        <v>2.2000000000000002</v>
      </c>
      <c r="F26" s="1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9">
        <f>ROUNDUP(G3,1)</f>
        <v>2.2000000000000002</v>
      </c>
      <c r="H26" s="1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7" t="s">
        <v>1191</v>
      </c>
      <c r="J26" s="1938" t="str">
        <f>IF(G3&gt;=10,D116,"——")</f>
        <v>——</v>
      </c>
      <c r="K26" s="2097"/>
      <c r="L26" s="1934"/>
      <c r="M26" s="1934"/>
      <c r="N26" s="2094" t="s">
        <v>436</v>
      </c>
      <c r="O26" s="2095"/>
      <c r="P26" s="2096">
        <f>SUMPRODUCT((地价!A3:A41=YEAR(G23)&amp;"-"&amp;ROUNDUP(MONTH(G23)/3,0))*(地价!AD2:AH2=N26)*(地价!AD3:AH41))</f>
        <v>0</v>
      </c>
      <c r="Q26" s="2149"/>
      <c r="R26" s="2102"/>
      <c r="S26" s="2102"/>
      <c r="T26" s="2102"/>
      <c r="U26" s="2102"/>
      <c r="V26" s="2102"/>
      <c r="W26" s="2102"/>
      <c r="X26" s="2102"/>
      <c r="Y26" s="2159"/>
      <c r="Z26" s="2159"/>
      <c r="AA26" s="2159"/>
      <c r="AB26" s="2159"/>
      <c r="AC26" s="1824"/>
      <c r="AE26" s="1822"/>
      <c r="AF26" s="1822"/>
      <c r="AG26" s="1822"/>
      <c r="AH26" s="1822"/>
      <c r="AI26" s="1823"/>
      <c r="AJ26" s="1823"/>
      <c r="AK26" s="1823"/>
      <c r="AL26" s="1823"/>
      <c r="AM26" s="1823"/>
    </row>
    <row r="27" spans="1:40" ht="15">
      <c r="A27" s="1935" t="s">
        <v>1115</v>
      </c>
      <c r="B27" s="1936" t="s">
        <v>1192</v>
      </c>
      <c r="C27" s="1939">
        <f>ROUND(IF(I3&lt;6,SUMPRODUCT((B107:B111=I3)*(C106:N106=G2)*(C107:N111)),SUMIF(C106:N106,G2,C113:N113)),4)</f>
        <v>0</v>
      </c>
      <c r="D27" s="1940"/>
      <c r="E27" s="1940"/>
      <c r="F27" s="1941"/>
      <c r="G27" s="1942"/>
      <c r="H27" s="1943"/>
      <c r="I27" s="2098"/>
      <c r="J27" s="2098"/>
      <c r="K27" s="2099"/>
      <c r="L27" s="1830"/>
      <c r="M27" s="1830"/>
      <c r="N27" s="2094" t="s">
        <v>402</v>
      </c>
      <c r="O27" s="2095"/>
      <c r="P27" s="2096">
        <f>SUMPRODUCT((地价!A3:A41=YEAR(G23)&amp;"-"&amp;ROUNDUP(MONTH(G23)/3,0))*(地价!AD2:AH2=N27)*(地价!AD3:AH41))</f>
        <v>0</v>
      </c>
      <c r="Q27" s="2149"/>
      <c r="R27" s="2149"/>
      <c r="S27" s="2149"/>
      <c r="T27" s="2149"/>
      <c r="U27" s="2149"/>
      <c r="V27" s="2149"/>
      <c r="W27" s="2102"/>
      <c r="X27" s="2102"/>
      <c r="Y27" s="2102"/>
      <c r="Z27" s="2102"/>
      <c r="AA27" s="2102"/>
      <c r="AB27" s="2102"/>
      <c r="AC27" s="2102"/>
    </row>
    <row r="28" spans="1:40" ht="15">
      <c r="A28" s="1944" t="s">
        <v>1193</v>
      </c>
      <c r="B28" s="1846" t="s">
        <v>1194</v>
      </c>
      <c r="C28" s="1945">
        <f>SUMIF(A47:A101,E2,B47:B101)</f>
        <v>0</v>
      </c>
      <c r="D28" s="1946"/>
      <c r="E28" s="1947"/>
      <c r="F28" s="1947"/>
      <c r="G28" s="1947"/>
      <c r="H28" s="1947"/>
      <c r="I28" s="1947"/>
      <c r="J28" s="1947"/>
      <c r="K28" s="2099"/>
      <c r="L28" s="1934"/>
      <c r="M28" s="1934"/>
      <c r="N28" s="2094" t="s">
        <v>164</v>
      </c>
      <c r="O28" s="2100"/>
      <c r="P28" s="2096">
        <f>SUMPRODUCT((地价!A3:A41=YEAR(G23)&amp;"-"&amp;ROUNDUP(MONTH(G23)/3,0))*(地价!AD2:AH2=N28)*(地价!AD3:AH41))</f>
        <v>0</v>
      </c>
      <c r="Q28" s="2149"/>
      <c r="R28" s="2149"/>
      <c r="S28" s="2149"/>
      <c r="T28" s="2149"/>
      <c r="U28" s="2149"/>
      <c r="V28" s="2149"/>
      <c r="W28" s="2102"/>
      <c r="X28" s="2102"/>
      <c r="Y28" s="2102"/>
      <c r="Z28" s="2102"/>
      <c r="AA28" s="2102"/>
      <c r="AB28" s="2102"/>
      <c r="AC28" s="2102"/>
      <c r="AD28" s="2159"/>
      <c r="AE28" s="2159"/>
      <c r="AF28" s="2159"/>
      <c r="AG28" s="2159"/>
    </row>
    <row r="29" spans="1:40" ht="14.25">
      <c r="A29" s="1944" t="s">
        <v>1195</v>
      </c>
      <c r="B29" s="1948" t="s">
        <v>1196</v>
      </c>
      <c r="C29" s="1949"/>
      <c r="D29" s="1950"/>
      <c r="E29" s="1950"/>
      <c r="F29" s="1951"/>
      <c r="G29" s="1950"/>
      <c r="H29" s="1950"/>
      <c r="I29" s="1950"/>
      <c r="J29" s="2101"/>
      <c r="K29" s="2054"/>
      <c r="L29" s="2102"/>
      <c r="M29" s="2102"/>
      <c r="N29" s="2103" t="s">
        <v>1065</v>
      </c>
      <c r="O29" s="2104"/>
      <c r="P29" s="2105">
        <f>SUMPRODUCT((地价!A3:A41=YEAR(G23)&amp;"-"&amp;ROUNDUP(MONTH(G23)/3,0))*(地价!AD2:AH2=N29)*(地价!AD3:AH41))</f>
        <v>0</v>
      </c>
      <c r="Q29" s="2149"/>
      <c r="R29" s="2102"/>
      <c r="S29" s="2102"/>
      <c r="T29" s="2102"/>
      <c r="U29" s="2102"/>
      <c r="V29" s="2102"/>
      <c r="W29" s="2149"/>
      <c r="X29" s="2149"/>
      <c r="Y29" s="2149"/>
      <c r="Z29" s="2149"/>
      <c r="AA29" s="2149"/>
      <c r="AB29" s="2102"/>
      <c r="AC29" s="2102"/>
      <c r="AD29" s="2102"/>
      <c r="AE29" s="2102"/>
      <c r="AF29" s="2102"/>
      <c r="AG29" s="2102"/>
      <c r="AH29" s="2102"/>
      <c r="AJ29" s="1824"/>
      <c r="AK29" s="1824"/>
      <c r="AL29" s="1824"/>
      <c r="AM29" s="1819"/>
      <c r="AN29" s="1819"/>
    </row>
    <row r="30" spans="1:40" ht="13.5">
      <c r="A30" s="1952"/>
      <c r="B30" s="1936" t="s">
        <v>1197</v>
      </c>
      <c r="C30" s="1953" t="e">
        <f>IF(B25="容积率修正",E33+SUM(E37:E42),SUM(V2:V16)+SUM(E37:E42))</f>
        <v>#DIV/0!</v>
      </c>
      <c r="D30" s="1954"/>
      <c r="E30" s="1955"/>
      <c r="F30" s="1956"/>
      <c r="G30" s="1955"/>
      <c r="H30" s="1955"/>
      <c r="I30" s="1955"/>
      <c r="J30" s="2106"/>
      <c r="K30" s="2054"/>
      <c r="L30" s="2107" t="s">
        <v>352</v>
      </c>
      <c r="M30" s="2108" t="s">
        <v>435</v>
      </c>
      <c r="N30" s="2108" t="s">
        <v>436</v>
      </c>
      <c r="O30" s="2108" t="s">
        <v>402</v>
      </c>
      <c r="P30" s="2109" t="s">
        <v>164</v>
      </c>
      <c r="Q30" s="2109" t="s">
        <v>297</v>
      </c>
      <c r="R30" s="2037"/>
      <c r="S30" s="2037"/>
      <c r="T30" s="2037"/>
      <c r="U30" s="2037"/>
      <c r="V30" s="2037"/>
      <c r="W30" s="2150"/>
      <c r="X30" s="2150"/>
      <c r="Y30" s="2150"/>
      <c r="Z30" s="2150"/>
      <c r="AA30" s="2150"/>
      <c r="AB30" s="2037"/>
      <c r="AC30" s="2037"/>
      <c r="AD30" s="2037"/>
      <c r="AE30" s="2037"/>
      <c r="AF30" s="2037"/>
      <c r="AG30" s="2037"/>
      <c r="AH30" s="2037"/>
      <c r="AI30" s="2159"/>
      <c r="AJ30" s="2159"/>
      <c r="AK30" s="2159"/>
      <c r="AL30" s="2159"/>
      <c r="AM30" s="1819"/>
      <c r="AN30" s="1819"/>
    </row>
    <row r="31" spans="1:40" ht="13.5">
      <c r="A31" s="1952"/>
      <c r="B31" s="1957" t="s">
        <v>1198</v>
      </c>
      <c r="C31" s="1958" t="e">
        <f>E34+SUM(I37:I42)</f>
        <v>#DIV/0!</v>
      </c>
      <c r="D31" s="1959"/>
      <c r="E31" s="1960"/>
      <c r="F31" s="1961"/>
      <c r="G31" s="1960"/>
      <c r="H31" s="1960"/>
      <c r="I31" s="1960"/>
      <c r="J31" s="2110"/>
      <c r="K31" s="2054"/>
      <c r="L31" s="2111" t="s">
        <v>1199</v>
      </c>
      <c r="M31" s="2112">
        <v>0.25</v>
      </c>
      <c r="N31" s="2112">
        <v>0.2</v>
      </c>
      <c r="O31" s="2112">
        <v>0.15</v>
      </c>
      <c r="P31" s="2113">
        <v>0.1</v>
      </c>
      <c r="Q31" s="2113">
        <v>0.15</v>
      </c>
      <c r="R31" s="2037"/>
      <c r="S31" s="2037"/>
      <c r="T31" s="2037"/>
      <c r="U31" s="2037"/>
      <c r="V31" s="2037"/>
      <c r="W31" s="2150"/>
      <c r="X31" s="2150"/>
      <c r="Y31" s="2150"/>
      <c r="Z31" s="2150"/>
      <c r="AA31" s="2150"/>
      <c r="AB31" s="2037"/>
      <c r="AC31" s="2037"/>
      <c r="AD31" s="2037"/>
      <c r="AE31" s="2037"/>
      <c r="AF31" s="2037"/>
      <c r="AG31" s="2037"/>
      <c r="AH31" s="2037"/>
      <c r="AJ31" s="1824"/>
      <c r="AK31" s="1824"/>
      <c r="AL31" s="1824"/>
      <c r="AM31" s="1819"/>
      <c r="AN31" s="1819"/>
    </row>
    <row r="32" spans="1:40" ht="13.5">
      <c r="A32" s="1962"/>
      <c r="B32" s="1963" t="s">
        <v>1200</v>
      </c>
      <c r="C32" s="1964" t="s">
        <v>1201</v>
      </c>
      <c r="D32" s="1964" t="s">
        <v>444</v>
      </c>
      <c r="E32" s="1965" t="s">
        <v>648</v>
      </c>
      <c r="F32" s="1966"/>
      <c r="G32" s="1967"/>
      <c r="H32" s="1967"/>
      <c r="I32" s="1967"/>
      <c r="J32" s="2114"/>
      <c r="K32" s="2054"/>
      <c r="L32" s="2115" t="s">
        <v>1183</v>
      </c>
      <c r="M32" s="2116">
        <f>ROUND($E$24*(1+M31),3)</f>
        <v>5.3999999999999999E-2</v>
      </c>
      <c r="N32" s="2116">
        <f>ROUND($E$24*(1+N31),3)</f>
        <v>5.1999999999999998E-2</v>
      </c>
      <c r="O32" s="2116">
        <f>ROUND($E$24*(1+O31),3)</f>
        <v>0.05</v>
      </c>
      <c r="P32" s="2117">
        <f>ROUND($E$24*(1+P31),3)</f>
        <v>4.8000000000000001E-2</v>
      </c>
      <c r="Q32" s="2117">
        <f>ROUND($E$24*(1+Q31),3)</f>
        <v>0.05</v>
      </c>
      <c r="R32" s="2037"/>
      <c r="S32" s="2037"/>
      <c r="T32" s="2037"/>
      <c r="U32" s="2037"/>
      <c r="V32" s="2037"/>
      <c r="W32" s="2150"/>
      <c r="X32" s="2150"/>
      <c r="Y32" s="2150"/>
      <c r="Z32" s="2150"/>
      <c r="AA32" s="2150"/>
      <c r="AB32" s="2037"/>
      <c r="AC32" s="2037"/>
      <c r="AD32" s="2037"/>
      <c r="AE32" s="2037"/>
      <c r="AF32" s="2037"/>
      <c r="AG32" s="2037"/>
      <c r="AH32" s="2037"/>
      <c r="AI32" s="1819"/>
      <c r="AJ32" s="1819"/>
      <c r="AK32" s="1819"/>
      <c r="AL32" s="1819"/>
      <c r="AM32" s="1819"/>
      <c r="AN32" s="1819"/>
    </row>
    <row r="33" spans="1:44" ht="12.75">
      <c r="A33" s="1968"/>
      <c r="B33" s="1969" t="s">
        <v>1202</v>
      </c>
      <c r="C33" s="1970" t="e">
        <f>ROUND(C5*C22*C23*C24*C25*C28,0)</f>
        <v>#DIV/0!</v>
      </c>
      <c r="D33" s="1971"/>
      <c r="E33" s="1972" t="e">
        <f>ROUND(C33*D33/10000,0)</f>
        <v>#DIV/0!</v>
      </c>
      <c r="F33" s="1973" t="s">
        <v>1203</v>
      </c>
      <c r="G33" s="1974"/>
      <c r="H33" s="1974"/>
      <c r="I33" s="1974"/>
      <c r="J33" s="2118"/>
      <c r="K33" s="2119"/>
      <c r="L33" s="2120" t="s">
        <v>1204</v>
      </c>
      <c r="M33" s="2121">
        <v>5.5E-2</v>
      </c>
      <c r="N33" s="2121">
        <v>5.5E-2</v>
      </c>
      <c r="O33" s="2121">
        <v>0.05</v>
      </c>
      <c r="P33" s="2121">
        <v>0.05</v>
      </c>
      <c r="Q33" s="2121">
        <v>0.05</v>
      </c>
      <c r="R33" s="2037"/>
      <c r="S33" s="2037"/>
      <c r="T33" s="2037"/>
      <c r="U33" s="2037"/>
      <c r="V33" s="2037"/>
      <c r="W33" s="2150"/>
      <c r="X33" s="2150"/>
      <c r="Y33" s="2150"/>
      <c r="Z33" s="2150"/>
      <c r="AA33" s="2150"/>
      <c r="AB33" s="2037"/>
      <c r="AC33" s="2037"/>
      <c r="AD33" s="2037"/>
      <c r="AE33" s="2037"/>
      <c r="AF33" s="2037"/>
      <c r="AG33" s="2037"/>
      <c r="AH33" s="2150"/>
      <c r="AJ33" s="1824"/>
      <c r="AK33" s="1824"/>
      <c r="AL33" s="1824"/>
      <c r="AM33" s="1824"/>
      <c r="AN33" s="1824"/>
      <c r="AO33" s="1822"/>
      <c r="AP33" s="1822"/>
      <c r="AQ33" s="1822"/>
      <c r="AR33" s="1822"/>
    </row>
    <row r="34" spans="1:44" ht="24">
      <c r="A34" s="1975"/>
      <c r="B34" s="1976" t="s">
        <v>1205</v>
      </c>
      <c r="C34" s="1911" t="e">
        <f>ROUND(IF(E2="工业",C33*M42,IF(B25="楼层修正",SUM(V2:V16)*M41*10000/D34,C33*M41)),0)</f>
        <v>#DIV/0!</v>
      </c>
      <c r="D34" s="1977"/>
      <c r="E34" s="1972" t="e">
        <f>ROUND(IF(B25="楼层修正",SUM(V2:V16)*#REF!,C34*D34/10000),0)</f>
        <v>#DIV/0!</v>
      </c>
      <c r="F34" s="1978" t="s">
        <v>1206</v>
      </c>
      <c r="G34" s="1979"/>
      <c r="H34" s="1979"/>
      <c r="I34" s="1979"/>
      <c r="J34" s="2122"/>
      <c r="K34" s="2054"/>
      <c r="L34" s="2120" t="s">
        <v>1207</v>
      </c>
      <c r="M34" s="2121">
        <v>6.5000000000000002E-2</v>
      </c>
      <c r="N34" s="2121">
        <v>6.5000000000000002E-2</v>
      </c>
      <c r="O34" s="2121">
        <v>0.06</v>
      </c>
      <c r="P34" s="2121">
        <v>0.06</v>
      </c>
      <c r="Q34" s="2121">
        <v>0.06</v>
      </c>
      <c r="R34" s="2037"/>
      <c r="S34" s="2037"/>
      <c r="T34" s="2037"/>
      <c r="U34" s="2037"/>
      <c r="V34" s="2037"/>
      <c r="W34" s="2150"/>
      <c r="X34" s="2150"/>
      <c r="Y34" s="2150"/>
      <c r="Z34" s="2150"/>
      <c r="AA34" s="2150"/>
      <c r="AB34" s="2037"/>
      <c r="AC34" s="2037"/>
      <c r="AD34" s="2037"/>
      <c r="AE34" s="2037"/>
      <c r="AF34" s="2037"/>
      <c r="AG34" s="2037"/>
      <c r="AH34" s="2150"/>
      <c r="AJ34" s="1824"/>
      <c r="AK34" s="1824"/>
      <c r="AL34" s="1824"/>
      <c r="AM34" s="1824"/>
      <c r="AN34" s="1824"/>
      <c r="AO34" s="1822"/>
      <c r="AP34" s="1822"/>
      <c r="AQ34" s="1822"/>
      <c r="AR34" s="1822"/>
    </row>
    <row r="35" spans="1:44">
      <c r="A35" s="1980"/>
      <c r="B35" s="1981" t="s">
        <v>1208</v>
      </c>
      <c r="C35" s="1982" t="s">
        <v>1209</v>
      </c>
      <c r="D35" s="1967"/>
      <c r="E35" s="1982"/>
      <c r="F35" s="1982"/>
      <c r="G35" s="1983" t="s">
        <v>1210</v>
      </c>
      <c r="H35" s="1967"/>
      <c r="I35" s="2123"/>
      <c r="J35" s="2114"/>
      <c r="K35" s="2054"/>
      <c r="L35" s="2054"/>
      <c r="M35" s="2054"/>
      <c r="N35" s="2054"/>
      <c r="O35" s="2054"/>
      <c r="P35" s="2037"/>
      <c r="Q35" s="2037"/>
      <c r="R35" s="2037"/>
      <c r="S35" s="2037"/>
      <c r="T35" s="2037"/>
      <c r="U35" s="2037"/>
      <c r="V35" s="2037"/>
      <c r="W35" s="2150"/>
      <c r="X35" s="2150"/>
      <c r="Y35" s="2150"/>
      <c r="Z35" s="2150"/>
      <c r="AA35" s="2150"/>
      <c r="AB35" s="2037"/>
      <c r="AC35" s="2037"/>
      <c r="AD35" s="2037"/>
      <c r="AE35" s="2037"/>
      <c r="AF35" s="2037"/>
      <c r="AG35" s="2037"/>
      <c r="AH35" s="2150"/>
      <c r="AJ35" s="1824"/>
      <c r="AK35" s="1824"/>
      <c r="AL35" s="1824"/>
      <c r="AM35" s="1824"/>
      <c r="AN35" s="1824"/>
      <c r="AO35" s="1822"/>
      <c r="AP35" s="1822"/>
      <c r="AQ35" s="1822"/>
      <c r="AR35" s="1822"/>
    </row>
    <row r="36" spans="1:44" ht="24">
      <c r="A36" s="1968"/>
      <c r="B36" s="1984"/>
      <c r="C36" s="1985" t="s">
        <v>1201</v>
      </c>
      <c r="D36" s="1986" t="s">
        <v>444</v>
      </c>
      <c r="E36" s="1986" t="s">
        <v>648</v>
      </c>
      <c r="F36" s="1828" t="s">
        <v>1211</v>
      </c>
      <c r="G36" s="1987" t="s">
        <v>1201</v>
      </c>
      <c r="H36" s="1987" t="s">
        <v>444</v>
      </c>
      <c r="I36" s="1987" t="s">
        <v>648</v>
      </c>
      <c r="J36" s="2124"/>
      <c r="K36" s="2125" t="s">
        <v>1212</v>
      </c>
      <c r="L36" s="2126">
        <f ca="1">'数据-取费表'!B40</f>
        <v>3.4500000000000003E-2</v>
      </c>
      <c r="M36" s="2127">
        <f ca="1">ROUND($L$36*(1+M31),3)</f>
        <v>4.2999999999999997E-2</v>
      </c>
      <c r="N36" s="2127">
        <f ca="1">ROUND($L$36*(1+N31),3)</f>
        <v>4.1000000000000002E-2</v>
      </c>
      <c r="O36" s="2127">
        <f ca="1">ROUND($L$36*(1+O31),3)</f>
        <v>0.04</v>
      </c>
      <c r="P36" s="2127">
        <f ca="1">ROUND($L$36*(1+P31),3)</f>
        <v>3.7999999999999999E-2</v>
      </c>
      <c r="Q36" s="2127">
        <f ca="1">ROUND($L$36*(1+Q31),3)</f>
        <v>0.04</v>
      </c>
      <c r="R36" s="2037"/>
      <c r="S36" s="2037"/>
      <c r="T36" s="2037"/>
      <c r="U36" s="2037"/>
      <c r="V36" s="2037"/>
      <c r="W36" s="2150"/>
      <c r="X36" s="2150"/>
      <c r="Y36" s="2150"/>
      <c r="Z36" s="2150"/>
      <c r="AA36" s="2150"/>
      <c r="AB36" s="2037"/>
      <c r="AC36" s="2037"/>
      <c r="AD36" s="2037"/>
      <c r="AE36" s="2037"/>
      <c r="AF36" s="2037"/>
      <c r="AG36" s="2037"/>
      <c r="AH36" s="2150"/>
      <c r="AJ36" s="1824"/>
      <c r="AK36" s="1824"/>
      <c r="AL36" s="1824"/>
      <c r="AM36" s="1824"/>
      <c r="AN36" s="1824"/>
      <c r="AO36" s="1822"/>
      <c r="AP36" s="1822"/>
      <c r="AQ36" s="1822"/>
      <c r="AR36" s="1822"/>
    </row>
    <row r="37" spans="1:44" ht="12.75">
      <c r="A37" s="3906"/>
      <c r="B37" s="1988" t="s">
        <v>1213</v>
      </c>
      <c r="C37" s="1970" t="e">
        <f>ROUND(D5*C22*C23*C24*C28*F37,0)</f>
        <v>#DIV/0!</v>
      </c>
      <c r="D37" s="1989"/>
      <c r="E37" s="1990" t="e">
        <f>ROUND(C37*D37/10000,0)</f>
        <v>#DIV/0!</v>
      </c>
      <c r="F37" s="1990">
        <f>SUMIF(修正!A57:A68,G2,修正!B57:B68)</f>
        <v>0</v>
      </c>
      <c r="G37" s="1990" t="e">
        <f>ROUND(IF(E2="工业",C37*$M$42,C37*$M$41),0)</f>
        <v>#DIV/0!</v>
      </c>
      <c r="H37" s="1990">
        <f>D37</f>
        <v>0</v>
      </c>
      <c r="I37" s="1990" t="e">
        <f>ROUND(G37*H37/10000,0)</f>
        <v>#DIV/0!</v>
      </c>
      <c r="J37" s="3906"/>
      <c r="K37" s="2128" t="s">
        <v>1214</v>
      </c>
      <c r="L37" s="2126">
        <f ca="1">L36+K38</f>
        <v>3.95E-2</v>
      </c>
      <c r="M37" s="2127">
        <f ca="1">ROUND($L$37*(1+M31),3)</f>
        <v>4.9000000000000002E-2</v>
      </c>
      <c r="N37" s="2127">
        <f t="shared" ref="N37:Q37" ca="1" si="3">ROUND($L$37*(1+N31),3)</f>
        <v>4.7E-2</v>
      </c>
      <c r="O37" s="2127">
        <f t="shared" ca="1" si="3"/>
        <v>4.4999999999999998E-2</v>
      </c>
      <c r="P37" s="2127">
        <f t="shared" ca="1" si="3"/>
        <v>4.2999999999999997E-2</v>
      </c>
      <c r="Q37" s="2127">
        <f t="shared" ca="1" si="3"/>
        <v>4.4999999999999998E-2</v>
      </c>
      <c r="R37" s="2150"/>
      <c r="S37" s="2150"/>
      <c r="T37" s="2150"/>
      <c r="U37" s="2150"/>
      <c r="V37" s="2150"/>
      <c r="W37" s="2037"/>
      <c r="X37" s="2037"/>
      <c r="Y37" s="2037"/>
      <c r="Z37" s="2037"/>
      <c r="AA37" s="2037"/>
      <c r="AB37" s="2037"/>
      <c r="AC37" s="2150"/>
    </row>
    <row r="38" spans="1:44" ht="12.75">
      <c r="A38" s="3907"/>
      <c r="B38" s="1991" t="s">
        <v>1215</v>
      </c>
      <c r="C38" s="1970" t="e">
        <f>ROUND(D5*C22*C23*C24*C28*F38,0)</f>
        <v>#DIV/0!</v>
      </c>
      <c r="D38" s="1989"/>
      <c r="E38" s="1990" t="e">
        <f t="shared" ref="E38:E42" si="4">ROUND(C38*D38/10000,0)</f>
        <v>#DIV/0!</v>
      </c>
      <c r="F38" s="1990">
        <f>SUMIF(修正!A57:A68,G2,修正!C57:C68)</f>
        <v>0</v>
      </c>
      <c r="G38" s="1990" t="e">
        <f>ROUND(IF(E2="工业",C38*$M$42,C38*$M$41),0)</f>
        <v>#DIV/0!</v>
      </c>
      <c r="H38" s="1990">
        <f t="shared" ref="H38:H42" si="5">D38</f>
        <v>0</v>
      </c>
      <c r="I38" s="1990" t="e">
        <f t="shared" ref="I38:I42" si="6">ROUND(G38*H38/10000,0)</f>
        <v>#DIV/0!</v>
      </c>
      <c r="J38" s="3907"/>
      <c r="K38" s="2125">
        <v>5.0000000000000001E-3</v>
      </c>
      <c r="L38" s="2125"/>
      <c r="M38" s="2125"/>
      <c r="N38" s="2125"/>
      <c r="O38" s="2125"/>
      <c r="P38" s="2125"/>
      <c r="Q38" s="2125"/>
      <c r="R38" s="2150"/>
      <c r="S38" s="2150"/>
      <c r="T38" s="2150"/>
      <c r="U38" s="2150"/>
      <c r="V38" s="2150"/>
      <c r="W38" s="2037"/>
      <c r="X38" s="2037"/>
      <c r="Y38" s="2037"/>
      <c r="Z38" s="2037"/>
      <c r="AA38" s="2037"/>
      <c r="AB38" s="2037"/>
      <c r="AC38" s="2150"/>
    </row>
    <row r="39" spans="1:44" ht="12.75">
      <c r="A39" s="3907"/>
      <c r="B39" s="1992" t="s">
        <v>1216</v>
      </c>
      <c r="C39" s="1970" t="e">
        <f>ROUND(D5*C22*C23*C24*C28*F39,0)</f>
        <v>#DIV/0!</v>
      </c>
      <c r="D39" s="1989"/>
      <c r="E39" s="1990" t="e">
        <f t="shared" si="4"/>
        <v>#DIV/0!</v>
      </c>
      <c r="F39" s="1990">
        <f>SUMIF(修正!A57:A68,G2,修正!D57:D68)</f>
        <v>0</v>
      </c>
      <c r="G39" s="1990" t="e">
        <f>ROUND(IF(E2="工业",C39*$M$42,C39*$M$41),0)</f>
        <v>#DIV/0!</v>
      </c>
      <c r="H39" s="1990">
        <f t="shared" si="5"/>
        <v>0</v>
      </c>
      <c r="I39" s="1990" t="e">
        <f t="shared" si="6"/>
        <v>#DIV/0!</v>
      </c>
      <c r="J39" s="3907"/>
      <c r="K39" s="2064"/>
      <c r="L39" s="2064"/>
      <c r="M39" s="2064"/>
      <c r="N39" s="2064"/>
      <c r="O39" s="2064"/>
      <c r="P39" s="2037"/>
      <c r="Q39" s="2037"/>
      <c r="R39" s="2150"/>
      <c r="S39" s="2150"/>
      <c r="T39" s="2150"/>
      <c r="U39" s="2150"/>
      <c r="V39" s="2150"/>
      <c r="W39" s="2037"/>
      <c r="X39" s="2037"/>
      <c r="Y39" s="2037"/>
      <c r="Z39" s="2037"/>
      <c r="AA39" s="2037"/>
      <c r="AB39" s="2037"/>
      <c r="AC39" s="2150"/>
    </row>
    <row r="40" spans="1:44" s="1819" customFormat="1" ht="12.75">
      <c r="A40" s="1993"/>
      <c r="B40" s="1991" t="s">
        <v>1217</v>
      </c>
      <c r="C40" s="1990" t="e">
        <f>ROUND(D5*C22*C23*C24*C28*F40,0)</f>
        <v>#DIV/0!</v>
      </c>
      <c r="D40" s="1989"/>
      <c r="E40" s="1990" t="e">
        <f t="shared" si="4"/>
        <v>#DIV/0!</v>
      </c>
      <c r="F40" s="1970">
        <f>SUMIF(修正!A57:A68,G2,修正!E57:E68)</f>
        <v>0</v>
      </c>
      <c r="G40" s="1990" t="e">
        <f>ROUND(IF(E2="工业",C40*$M$42,C40*$M$41),0)</f>
        <v>#DIV/0!</v>
      </c>
      <c r="H40" s="1990">
        <f t="shared" si="5"/>
        <v>0</v>
      </c>
      <c r="I40" s="1990" t="e">
        <f t="shared" si="6"/>
        <v>#DIV/0!</v>
      </c>
      <c r="J40" s="2129"/>
      <c r="K40" s="2037"/>
      <c r="L40" s="2130" t="s">
        <v>1218</v>
      </c>
      <c r="M40" s="2131"/>
      <c r="N40" s="2037"/>
      <c r="O40" s="2037"/>
      <c r="P40" s="2037"/>
      <c r="Q40" s="2037"/>
      <c r="R40" s="2151"/>
      <c r="S40" s="2151"/>
      <c r="T40" s="2151"/>
      <c r="U40" s="2151"/>
      <c r="V40" s="2151"/>
      <c r="W40" s="1997"/>
      <c r="X40" s="1997"/>
      <c r="Y40" s="1997"/>
      <c r="Z40" s="1997"/>
      <c r="AA40" s="1997"/>
      <c r="AB40" s="1997"/>
      <c r="AC40" s="2151"/>
      <c r="AD40" s="1824"/>
      <c r="AE40" s="1824"/>
      <c r="AF40" s="1824"/>
      <c r="AG40" s="1824"/>
      <c r="AH40" s="1824"/>
      <c r="AI40" s="1824"/>
      <c r="AJ40" s="1824"/>
      <c r="AK40" s="1824"/>
      <c r="AL40" s="1824"/>
      <c r="AM40" s="1824"/>
    </row>
    <row r="41" spans="1:44" s="1819" customFormat="1" ht="12.75">
      <c r="A41" s="1993"/>
      <c r="B41" s="1991" t="s">
        <v>1219</v>
      </c>
      <c r="C41" s="1990" t="e">
        <f>ROUND(D5*C22*C23*C44*C28*F41,0)</f>
        <v>#DIV/0!</v>
      </c>
      <c r="D41" s="1989"/>
      <c r="E41" s="1990" t="e">
        <f t="shared" si="4"/>
        <v>#DIV/0!</v>
      </c>
      <c r="F41" s="1970">
        <f>SUMIF(修正!A57:A68,G2,修正!F57:F68)</f>
        <v>0</v>
      </c>
      <c r="G41" s="1990" t="e">
        <f>ROUND(IF(E2="工业",C41*$M$42,C41*$M$41),0)</f>
        <v>#DIV/0!</v>
      </c>
      <c r="H41" s="1990">
        <f t="shared" si="5"/>
        <v>0</v>
      </c>
      <c r="I41" s="1990" t="e">
        <f t="shared" si="6"/>
        <v>#DIV/0!</v>
      </c>
      <c r="J41" s="2129"/>
      <c r="K41" s="2037"/>
      <c r="L41" s="2132" t="s">
        <v>1220</v>
      </c>
      <c r="M41" s="2133">
        <v>0.25</v>
      </c>
      <c r="N41" s="2037"/>
      <c r="O41" s="2037"/>
      <c r="P41" s="2037"/>
      <c r="Q41" s="2037"/>
      <c r="R41" s="2151"/>
      <c r="S41" s="2151"/>
      <c r="T41" s="2151"/>
      <c r="U41" s="2151"/>
      <c r="V41" s="2151"/>
      <c r="W41" s="1997"/>
      <c r="X41" s="1997"/>
      <c r="Y41" s="1997"/>
      <c r="Z41" s="1997"/>
      <c r="AA41" s="1997"/>
      <c r="AB41" s="1997"/>
      <c r="AC41" s="2151"/>
      <c r="AD41" s="1824"/>
      <c r="AE41" s="1824"/>
      <c r="AF41" s="1824"/>
      <c r="AG41" s="1824"/>
      <c r="AH41" s="1824"/>
      <c r="AI41" s="1824"/>
      <c r="AJ41" s="1824"/>
      <c r="AK41" s="1824"/>
      <c r="AL41" s="1824"/>
      <c r="AM41" s="1824"/>
    </row>
    <row r="42" spans="1:44" s="1819" customFormat="1" ht="12.75">
      <c r="A42" s="1975"/>
      <c r="B42" s="1994" t="s">
        <v>1221</v>
      </c>
      <c r="C42" s="1911" t="e">
        <f>ROUND(D5*C22*C23*C44*C28*F42,0)</f>
        <v>#DIV/0!</v>
      </c>
      <c r="D42" s="1995"/>
      <c r="E42" s="1911" t="e">
        <f t="shared" si="4"/>
        <v>#DIV/0!</v>
      </c>
      <c r="F42" s="1996">
        <f>SUMIF(修正!A57:A68,G2,修正!G57:G68)</f>
        <v>0</v>
      </c>
      <c r="G42" s="1911" t="e">
        <f>ROUND(IF(E2="工业",C42*$M$42,C42*$M$41),0)</f>
        <v>#DIV/0!</v>
      </c>
      <c r="H42" s="1911">
        <f t="shared" si="5"/>
        <v>0</v>
      </c>
      <c r="I42" s="1911" t="e">
        <f t="shared" si="6"/>
        <v>#DIV/0!</v>
      </c>
      <c r="J42" s="2134"/>
      <c r="K42" s="2037"/>
      <c r="L42" s="2135" t="s">
        <v>1222</v>
      </c>
      <c r="M42" s="2136">
        <v>0.15</v>
      </c>
      <c r="N42" s="2037"/>
      <c r="O42" s="2037"/>
      <c r="P42" s="2037"/>
      <c r="Q42" s="2037"/>
      <c r="R42" s="2151"/>
      <c r="S42" s="2151"/>
      <c r="T42" s="2151"/>
      <c r="U42" s="2151"/>
      <c r="V42" s="2151"/>
      <c r="W42" s="1997"/>
      <c r="X42" s="1997"/>
      <c r="Y42" s="1997"/>
      <c r="Z42" s="1997"/>
      <c r="AA42" s="1997"/>
      <c r="AB42" s="1997"/>
      <c r="AC42" s="2151"/>
      <c r="AD42" s="1824"/>
      <c r="AE42" s="1824"/>
      <c r="AF42" s="1824"/>
      <c r="AG42" s="1824"/>
      <c r="AH42" s="1824"/>
      <c r="AI42" s="1824"/>
      <c r="AJ42" s="1824"/>
      <c r="AK42" s="1824"/>
      <c r="AL42" s="1824"/>
      <c r="AM42" s="1824"/>
    </row>
    <row r="43" spans="1:44" s="1819" customFormat="1">
      <c r="B43" s="1997"/>
      <c r="C43" s="1997"/>
      <c r="D43" s="1997"/>
      <c r="E43" s="1997"/>
      <c r="F43" s="1997"/>
      <c r="G43" s="1997"/>
      <c r="H43" s="1997"/>
      <c r="I43" s="1997"/>
      <c r="J43" s="1997"/>
      <c r="K43" s="1997"/>
      <c r="L43" s="1997"/>
      <c r="M43" s="1997"/>
      <c r="N43" s="1997"/>
      <c r="O43" s="1997"/>
      <c r="P43" s="1997"/>
      <c r="Q43" s="1997"/>
      <c r="R43" s="2151"/>
      <c r="S43" s="2151"/>
      <c r="T43" s="2151"/>
      <c r="U43" s="2151"/>
      <c r="V43" s="2151"/>
      <c r="W43" s="1997"/>
      <c r="X43" s="1997"/>
      <c r="Y43" s="1997"/>
      <c r="Z43" s="1997"/>
      <c r="AA43" s="1997"/>
      <c r="AB43" s="1997"/>
      <c r="AC43" s="2151"/>
      <c r="AD43" s="1824"/>
      <c r="AE43" s="1824"/>
      <c r="AF43" s="1824"/>
      <c r="AG43" s="1824"/>
      <c r="AH43" s="1824"/>
      <c r="AI43" s="1824"/>
      <c r="AJ43" s="1824"/>
      <c r="AK43" s="1824"/>
      <c r="AL43" s="1824"/>
      <c r="AM43" s="1824"/>
    </row>
    <row r="44" spans="1:44" s="1819" customFormat="1" ht="12.75">
      <c r="A44" s="1824"/>
      <c r="B44" s="1998" t="s">
        <v>1223</v>
      </c>
      <c r="C44" s="818" t="e">
        <f>ROUND(POWER(1+E44,H44-G44)*(POWER(1+E44,G44)-1)/(POWER(1+E44,H44)-1),4)</f>
        <v>#DIV/0!</v>
      </c>
      <c r="D44" s="1999" t="s">
        <v>1224</v>
      </c>
      <c r="E44" s="2000">
        <f>G24</f>
        <v>0</v>
      </c>
      <c r="F44" s="1999" t="s">
        <v>1225</v>
      </c>
      <c r="G44" s="2001"/>
      <c r="H44" s="1999">
        <v>50</v>
      </c>
      <c r="I44" s="1997"/>
      <c r="J44" s="1997"/>
      <c r="K44" s="1997"/>
      <c r="L44" s="1997"/>
      <c r="M44" s="1997"/>
      <c r="N44" s="1997"/>
      <c r="O44" s="1997"/>
      <c r="P44" s="1997"/>
      <c r="Q44" s="1997"/>
      <c r="R44" s="2151"/>
      <c r="S44" s="2151"/>
      <c r="T44" s="2151"/>
      <c r="U44" s="2151"/>
      <c r="V44" s="2151"/>
      <c r="W44" s="1997"/>
      <c r="X44" s="1997"/>
      <c r="Y44" s="1997"/>
      <c r="Z44" s="1997"/>
      <c r="AA44" s="1997"/>
      <c r="AB44" s="1997"/>
      <c r="AC44" s="2151"/>
      <c r="AD44" s="1824"/>
      <c r="AE44" s="1824"/>
      <c r="AF44" s="1824"/>
      <c r="AG44" s="1824"/>
      <c r="AH44" s="1824"/>
      <c r="AI44" s="1824"/>
      <c r="AJ44" s="1824"/>
      <c r="AK44" s="1824"/>
      <c r="AL44" s="1824"/>
      <c r="AM44" s="1824"/>
    </row>
    <row r="45" spans="1:44" s="1819" customFormat="1">
      <c r="A45" s="1824"/>
      <c r="B45" s="2002"/>
      <c r="C45" s="1997"/>
      <c r="D45" s="1997"/>
      <c r="E45" s="1997"/>
      <c r="F45" s="1997"/>
      <c r="G45" s="1997"/>
      <c r="H45" s="1997"/>
      <c r="I45" s="1997"/>
      <c r="J45" s="1997"/>
      <c r="K45" s="1997"/>
      <c r="L45" s="1997"/>
      <c r="M45" s="1997"/>
      <c r="N45" s="1997"/>
      <c r="O45" s="1997"/>
      <c r="P45" s="1997"/>
      <c r="Q45" s="1997"/>
      <c r="R45" s="2151"/>
      <c r="S45" s="2151"/>
      <c r="T45" s="2151"/>
      <c r="U45" s="2151"/>
      <c r="V45" s="2151"/>
      <c r="W45" s="1997"/>
      <c r="X45" s="1997"/>
      <c r="Y45" s="1997"/>
      <c r="Z45" s="1997"/>
      <c r="AA45" s="1997"/>
      <c r="AB45" s="1997"/>
      <c r="AC45" s="1997"/>
      <c r="AD45" s="2151"/>
      <c r="AE45" s="1824"/>
      <c r="AF45" s="1824"/>
      <c r="AG45" s="1824"/>
      <c r="AH45" s="1824"/>
      <c r="AI45" s="1824"/>
      <c r="AJ45" s="1824"/>
      <c r="AK45" s="1824"/>
      <c r="AL45" s="1824"/>
      <c r="AM45" s="1824"/>
      <c r="AN45" s="1824"/>
    </row>
    <row r="46" spans="1:44" s="1819" customFormat="1">
      <c r="A46" s="1824"/>
      <c r="B46" s="2002"/>
      <c r="C46" s="1997"/>
      <c r="D46" s="1997"/>
      <c r="E46" s="1997"/>
      <c r="F46" s="1997"/>
      <c r="G46" s="1997"/>
      <c r="H46" s="1997"/>
      <c r="I46" s="1997"/>
      <c r="J46" s="1997"/>
      <c r="K46" s="1997"/>
      <c r="L46" s="1997"/>
      <c r="M46" s="1997"/>
      <c r="N46" s="1997"/>
      <c r="O46" s="1997"/>
      <c r="P46" s="1997"/>
      <c r="Q46" s="1997"/>
      <c r="R46" s="2151"/>
      <c r="S46" s="2151"/>
      <c r="T46" s="2151"/>
      <c r="U46" s="2151"/>
      <c r="V46" s="2151"/>
      <c r="W46" s="1997"/>
      <c r="X46" s="1997"/>
      <c r="Y46" s="1997"/>
      <c r="Z46" s="1997"/>
      <c r="AA46" s="1997"/>
      <c r="AB46" s="1997"/>
      <c r="AC46" s="1997"/>
      <c r="AD46" s="2151"/>
      <c r="AE46" s="1824"/>
      <c r="AF46" s="1824"/>
      <c r="AG46" s="1824"/>
      <c r="AH46" s="1824"/>
      <c r="AI46" s="1824"/>
      <c r="AJ46" s="1824"/>
      <c r="AK46" s="1824"/>
      <c r="AL46" s="1824"/>
      <c r="AM46" s="1824"/>
      <c r="AN46" s="1824"/>
    </row>
    <row r="47" spans="1:44" s="1820" customFormat="1" ht="14.25">
      <c r="A47" s="2003" t="s">
        <v>1226</v>
      </c>
      <c r="B47" s="2004"/>
      <c r="C47" s="2005"/>
      <c r="D47" s="2006"/>
      <c r="E47" s="2006"/>
      <c r="F47" s="2006"/>
      <c r="G47" s="1684"/>
      <c r="H47" s="2006"/>
      <c r="I47" s="1684"/>
      <c r="J47" s="1684"/>
      <c r="K47" s="1684"/>
      <c r="L47" s="1684"/>
      <c r="M47" s="1684"/>
      <c r="O47" s="2002"/>
      <c r="P47" s="2002"/>
      <c r="Q47" s="2002"/>
      <c r="R47" s="2002"/>
      <c r="S47" s="2002"/>
      <c r="T47" s="2002"/>
      <c r="U47" s="2002"/>
      <c r="V47" s="2002"/>
      <c r="W47" s="2002"/>
      <c r="X47" s="2002"/>
      <c r="Y47" s="2002"/>
      <c r="Z47" s="2002"/>
      <c r="AA47" s="2002"/>
      <c r="AB47" s="2002"/>
      <c r="AC47" s="2002"/>
      <c r="AD47" s="2002"/>
    </row>
    <row r="48" spans="1:44" s="1820" customFormat="1" ht="15">
      <c r="A48" s="2007" t="s">
        <v>435</v>
      </c>
      <c r="B48" s="2008">
        <f>1+E50</f>
        <v>1</v>
      </c>
      <c r="C48" s="2009"/>
      <c r="D48" s="2010"/>
      <c r="E48" s="2011"/>
      <c r="F48" s="2012"/>
      <c r="G48" s="2006"/>
      <c r="H48" s="2006"/>
      <c r="I48" s="1684"/>
      <c r="J48" s="1684"/>
      <c r="K48" s="1684"/>
      <c r="L48" s="1684"/>
      <c r="M48" s="1684"/>
      <c r="O48" s="2002"/>
      <c r="P48" s="2002"/>
      <c r="Q48" s="2002"/>
      <c r="R48" s="2002"/>
      <c r="S48" s="2002"/>
      <c r="T48" s="2002"/>
      <c r="U48" s="2002"/>
      <c r="V48" s="2002"/>
      <c r="W48" s="2002"/>
      <c r="X48" s="2002"/>
      <c r="Y48" s="2002"/>
      <c r="Z48" s="2002"/>
      <c r="AA48" s="2002"/>
      <c r="AB48" s="2002"/>
      <c r="AC48" s="2002"/>
      <c r="AD48" s="2002"/>
    </row>
    <row r="49" spans="1:30" s="1820" customFormat="1" ht="24">
      <c r="A49" s="2013" t="s">
        <v>1227</v>
      </c>
      <c r="B49" s="2014" t="s">
        <v>1228</v>
      </c>
      <c r="C49" s="2015" t="s">
        <v>1229</v>
      </c>
      <c r="D49" s="2016" t="s">
        <v>1230</v>
      </c>
      <c r="E49" s="2017" t="s">
        <v>1231</v>
      </c>
      <c r="F49" s="2018" t="s">
        <v>1232</v>
      </c>
      <c r="G49" s="2016" t="s">
        <v>1233</v>
      </c>
      <c r="H49" s="2019" t="s">
        <v>1234</v>
      </c>
      <c r="I49" s="2016" t="s">
        <v>1235</v>
      </c>
      <c r="J49" s="2137" t="s">
        <v>248</v>
      </c>
      <c r="K49" s="2137" t="s">
        <v>260</v>
      </c>
      <c r="L49" s="2137" t="s">
        <v>270</v>
      </c>
      <c r="M49" s="2137" t="s">
        <v>280</v>
      </c>
      <c r="N49" s="2137" t="s">
        <v>287</v>
      </c>
      <c r="P49" s="2002"/>
      <c r="Q49" s="2002"/>
      <c r="R49" s="2002"/>
      <c r="S49" s="2002"/>
      <c r="T49" s="2002"/>
      <c r="U49" s="2002"/>
      <c r="V49" s="2002"/>
      <c r="W49" s="2002"/>
      <c r="X49" s="2002"/>
      <c r="Y49" s="2002"/>
      <c r="Z49" s="2002"/>
      <c r="AA49" s="2002"/>
      <c r="AB49" s="2002"/>
      <c r="AC49" s="2002"/>
      <c r="AD49" s="2002"/>
    </row>
    <row r="50" spans="1:30" s="1820" customFormat="1" ht="24">
      <c r="A50" s="2013" t="s">
        <v>1236</v>
      </c>
      <c r="B50" s="2020">
        <f>估价对象房地状况!C16</f>
        <v>0</v>
      </c>
      <c r="C50" s="2021"/>
      <c r="D50" s="2022">
        <f t="shared" ref="D50:D58" si="7">SUMIF($J$49:$N$49,C50,J50:N50)</f>
        <v>0</v>
      </c>
      <c r="E50" s="2023">
        <f>ROUND(SUM(D50:D58),4)</f>
        <v>0</v>
      </c>
      <c r="F50" s="2024" t="str">
        <f>IF(E2="商业",SUMIF(L1:L12,G2,N1:N12),"——")</f>
        <v>——</v>
      </c>
      <c r="G50" s="2025"/>
      <c r="H50" s="2026"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P50" s="2002"/>
      <c r="Q50" s="2002"/>
      <c r="R50" s="2002"/>
      <c r="S50" s="2002"/>
      <c r="T50" s="2002"/>
      <c r="U50" s="2002"/>
      <c r="V50" s="2002"/>
      <c r="W50" s="2002"/>
      <c r="X50" s="2002"/>
      <c r="Y50" s="2002"/>
      <c r="Z50" s="2002"/>
      <c r="AA50" s="2002"/>
      <c r="AB50" s="2002"/>
      <c r="AC50" s="2002"/>
      <c r="AD50" s="2002"/>
    </row>
    <row r="51" spans="1:30" s="1820" customFormat="1" ht="48">
      <c r="A51" s="2013" t="s">
        <v>693</v>
      </c>
      <c r="B51" s="2014" t="str">
        <f>估价对象房地状况!C18</f>
        <v>估价对象周边道路状况、公共交通通达情况970、980、郊80、密6路等、停车便捷程度，综合评价交通便捷度一般</v>
      </c>
      <c r="C51" s="2021"/>
      <c r="D51" s="2022">
        <f t="shared" si="7"/>
        <v>0</v>
      </c>
      <c r="E51" s="2027"/>
      <c r="F51" s="2024"/>
      <c r="G51" s="2025"/>
      <c r="H51" s="2026" t="str">
        <f t="shared" si="8"/>
        <v>——</v>
      </c>
      <c r="I51" s="2138">
        <v>0.22</v>
      </c>
      <c r="J51" s="2139">
        <f t="shared" si="9"/>
        <v>0</v>
      </c>
      <c r="K51" s="2139">
        <f t="shared" si="10"/>
        <v>0</v>
      </c>
      <c r="L51" s="2139">
        <v>0</v>
      </c>
      <c r="M51" s="2139">
        <f t="shared" si="11"/>
        <v>0</v>
      </c>
      <c r="N51" s="2139">
        <f t="shared" si="11"/>
        <v>0</v>
      </c>
      <c r="P51" s="2002"/>
      <c r="Q51" s="2002"/>
      <c r="R51" s="2002"/>
      <c r="S51" s="2002"/>
      <c r="T51" s="2002"/>
      <c r="U51" s="2002"/>
      <c r="V51" s="2002"/>
      <c r="W51" s="2002"/>
      <c r="X51" s="2002"/>
      <c r="Y51" s="2002"/>
      <c r="Z51" s="2002"/>
      <c r="AA51" s="2002"/>
      <c r="AB51" s="2002"/>
      <c r="AC51" s="2002"/>
      <c r="AD51" s="2002"/>
    </row>
    <row r="52" spans="1:30" s="1820" customFormat="1" ht="36">
      <c r="A52" s="2028" t="s">
        <v>1237</v>
      </c>
      <c r="B52" s="2014">
        <f>估价对象房地状况!C19</f>
        <v>0</v>
      </c>
      <c r="C52" s="2021"/>
      <c r="D52" s="2022">
        <f t="shared" si="7"/>
        <v>0</v>
      </c>
      <c r="E52" s="2027"/>
      <c r="F52" s="2024"/>
      <c r="G52" s="2025"/>
      <c r="H52" s="2026" t="str">
        <f t="shared" si="8"/>
        <v>——</v>
      </c>
      <c r="I52" s="2138">
        <v>0.12</v>
      </c>
      <c r="J52" s="2139">
        <f t="shared" si="9"/>
        <v>0</v>
      </c>
      <c r="K52" s="2139">
        <f t="shared" si="10"/>
        <v>0</v>
      </c>
      <c r="L52" s="2139">
        <v>0</v>
      </c>
      <c r="M52" s="2139">
        <f t="shared" si="11"/>
        <v>0</v>
      </c>
      <c r="N52" s="2139">
        <f t="shared" si="11"/>
        <v>0</v>
      </c>
      <c r="P52" s="2002"/>
      <c r="Q52" s="2002"/>
      <c r="R52" s="2002"/>
      <c r="S52" s="2002"/>
      <c r="T52" s="2002"/>
      <c r="U52" s="2002"/>
      <c r="V52" s="2002"/>
      <c r="W52" s="2002"/>
      <c r="X52" s="2002"/>
      <c r="Y52" s="2002"/>
      <c r="Z52" s="2002"/>
      <c r="AA52" s="2002"/>
      <c r="AB52" s="2002"/>
      <c r="AC52" s="2002"/>
      <c r="AD52" s="2002"/>
    </row>
    <row r="53" spans="1:30" s="1820" customFormat="1" ht="36">
      <c r="A53" s="2013" t="s">
        <v>1238</v>
      </c>
      <c r="B53" s="2029" t="s">
        <v>1239</v>
      </c>
      <c r="C53" s="2021"/>
      <c r="D53" s="2022">
        <f t="shared" si="7"/>
        <v>0</v>
      </c>
      <c r="E53" s="2027"/>
      <c r="F53" s="2024"/>
      <c r="G53" s="2025"/>
      <c r="H53" s="2026" t="str">
        <f t="shared" si="8"/>
        <v>——</v>
      </c>
      <c r="I53" s="2138">
        <v>0.05</v>
      </c>
      <c r="J53" s="2139">
        <f t="shared" si="9"/>
        <v>0</v>
      </c>
      <c r="K53" s="2139">
        <f t="shared" si="10"/>
        <v>0</v>
      </c>
      <c r="L53" s="2139">
        <v>0</v>
      </c>
      <c r="M53" s="2139">
        <f t="shared" si="11"/>
        <v>0</v>
      </c>
      <c r="N53" s="2139">
        <f t="shared" si="11"/>
        <v>0</v>
      </c>
      <c r="P53" s="2002"/>
      <c r="Q53" s="2002"/>
      <c r="R53" s="2002"/>
      <c r="S53" s="2002"/>
      <c r="T53" s="2002"/>
      <c r="U53" s="2002"/>
      <c r="V53" s="2002"/>
      <c r="W53" s="2002"/>
      <c r="X53" s="2002"/>
      <c r="Y53" s="2002"/>
      <c r="Z53" s="2002"/>
      <c r="AA53" s="2002"/>
      <c r="AB53" s="2002"/>
      <c r="AC53" s="2002"/>
      <c r="AD53" s="2002"/>
    </row>
    <row r="54" spans="1:30" s="1820" customFormat="1" ht="24">
      <c r="A54" s="2013" t="s">
        <v>1240</v>
      </c>
      <c r="B54" s="2014" t="str">
        <f>估价对象房地状况!C24</f>
        <v>城市主干道-京密路</v>
      </c>
      <c r="C54" s="2021"/>
      <c r="D54" s="2022">
        <f t="shared" si="7"/>
        <v>0</v>
      </c>
      <c r="E54" s="2027"/>
      <c r="F54" s="2024"/>
      <c r="G54" s="2025"/>
      <c r="H54" s="2026" t="str">
        <f t="shared" si="8"/>
        <v>——</v>
      </c>
      <c r="I54" s="2138">
        <v>0.08</v>
      </c>
      <c r="J54" s="2139">
        <f t="shared" si="9"/>
        <v>0</v>
      </c>
      <c r="K54" s="2139">
        <f t="shared" si="10"/>
        <v>0</v>
      </c>
      <c r="L54" s="2139">
        <v>0</v>
      </c>
      <c r="M54" s="2139">
        <f t="shared" si="11"/>
        <v>0</v>
      </c>
      <c r="N54" s="2139">
        <f t="shared" si="11"/>
        <v>0</v>
      </c>
      <c r="P54" s="2002"/>
      <c r="Q54" s="2002"/>
      <c r="R54" s="2002"/>
      <c r="S54" s="2002"/>
      <c r="T54" s="2002"/>
      <c r="U54" s="2002"/>
      <c r="V54" s="2002"/>
      <c r="W54" s="2002"/>
      <c r="X54" s="2002"/>
      <c r="Y54" s="2002"/>
      <c r="Z54" s="2002"/>
      <c r="AA54" s="2002"/>
      <c r="AB54" s="2002"/>
      <c r="AC54" s="2002"/>
      <c r="AD54" s="2002"/>
    </row>
    <row r="55" spans="1:30" s="1820" customFormat="1" ht="24">
      <c r="A55" s="2013" t="s">
        <v>1241</v>
      </c>
      <c r="B55" s="2030" t="s">
        <v>1242</v>
      </c>
      <c r="C55" s="2021"/>
      <c r="D55" s="2022">
        <f t="shared" si="7"/>
        <v>0</v>
      </c>
      <c r="E55" s="2027"/>
      <c r="F55" s="2024"/>
      <c r="G55" s="2025"/>
      <c r="H55" s="2026" t="str">
        <f t="shared" si="8"/>
        <v>——</v>
      </c>
      <c r="I55" s="2138">
        <v>0.05</v>
      </c>
      <c r="J55" s="2139">
        <f t="shared" si="9"/>
        <v>0</v>
      </c>
      <c r="K55" s="2139">
        <f t="shared" si="10"/>
        <v>0</v>
      </c>
      <c r="L55" s="2139">
        <v>0</v>
      </c>
      <c r="M55" s="2139">
        <f t="shared" si="11"/>
        <v>0</v>
      </c>
      <c r="N55" s="2139">
        <f t="shared" si="11"/>
        <v>0</v>
      </c>
      <c r="P55" s="2002"/>
      <c r="Q55" s="2002"/>
      <c r="R55" s="2002"/>
      <c r="S55" s="2002"/>
      <c r="T55" s="2002"/>
      <c r="U55" s="2002"/>
      <c r="V55" s="2002"/>
      <c r="W55" s="2002"/>
      <c r="X55" s="2002"/>
      <c r="Y55" s="2002"/>
      <c r="Z55" s="2002"/>
      <c r="AA55" s="2002"/>
      <c r="AB55" s="2002"/>
      <c r="AC55" s="2002"/>
      <c r="AD55" s="2002"/>
    </row>
    <row r="56" spans="1:30" s="1820" customFormat="1" ht="24">
      <c r="A56" s="2031" t="s">
        <v>1243</v>
      </c>
      <c r="B56" s="2032" t="str">
        <f>估价对象房地状况!C21</f>
        <v>估价对象所在区域公共配套设施齐备情况较差</v>
      </c>
      <c r="C56" s="2021"/>
      <c r="D56" s="2022">
        <f t="shared" si="7"/>
        <v>0</v>
      </c>
      <c r="E56" s="2027"/>
      <c r="F56" s="2024"/>
      <c r="G56" s="2025"/>
      <c r="H56" s="2026" t="str">
        <f t="shared" si="8"/>
        <v>——</v>
      </c>
      <c r="I56" s="2138">
        <v>0.05</v>
      </c>
      <c r="J56" s="2139">
        <f t="shared" si="9"/>
        <v>0</v>
      </c>
      <c r="K56" s="2139">
        <f t="shared" si="10"/>
        <v>0</v>
      </c>
      <c r="L56" s="2139">
        <v>0</v>
      </c>
      <c r="M56" s="2139">
        <f t="shared" si="11"/>
        <v>0</v>
      </c>
      <c r="N56" s="2139">
        <f t="shared" si="11"/>
        <v>0</v>
      </c>
      <c r="P56" s="2002"/>
      <c r="Q56" s="2002"/>
      <c r="R56" s="2002"/>
      <c r="S56" s="2002"/>
      <c r="T56" s="2002"/>
      <c r="U56" s="2002"/>
      <c r="V56" s="2002"/>
      <c r="W56" s="2002"/>
      <c r="X56" s="2002"/>
      <c r="Y56" s="2002"/>
      <c r="Z56" s="2002"/>
      <c r="AA56" s="2002"/>
      <c r="AB56" s="2002"/>
      <c r="AC56" s="2002"/>
      <c r="AD56" s="2002"/>
    </row>
    <row r="57" spans="1:30" s="1820" customFormat="1" ht="24">
      <c r="A57" s="2031" t="s">
        <v>1244</v>
      </c>
      <c r="B57" s="2014" t="str">
        <f>估价对象房地状况!C22</f>
        <v>估价对象所在区域基础设施水平</v>
      </c>
      <c r="C57" s="2021"/>
      <c r="D57" s="2022">
        <f t="shared" si="7"/>
        <v>0</v>
      </c>
      <c r="E57" s="2027"/>
      <c r="F57" s="2024"/>
      <c r="G57" s="2025"/>
      <c r="H57" s="2026" t="str">
        <f t="shared" si="8"/>
        <v>——</v>
      </c>
      <c r="I57" s="2138">
        <v>0.08</v>
      </c>
      <c r="J57" s="2139">
        <f t="shared" si="9"/>
        <v>0</v>
      </c>
      <c r="K57" s="2139">
        <f t="shared" si="10"/>
        <v>0</v>
      </c>
      <c r="L57" s="2139">
        <v>0</v>
      </c>
      <c r="M57" s="2139">
        <f t="shared" si="11"/>
        <v>0</v>
      </c>
      <c r="N57" s="2139">
        <f t="shared" si="11"/>
        <v>0</v>
      </c>
      <c r="P57" s="2002"/>
      <c r="Q57" s="2002"/>
      <c r="R57" s="2002"/>
      <c r="S57" s="2002"/>
      <c r="T57" s="2002"/>
      <c r="U57" s="2002"/>
      <c r="V57" s="2002"/>
      <c r="W57" s="2002"/>
      <c r="X57" s="2002"/>
      <c r="Y57" s="2002"/>
      <c r="Z57" s="2002"/>
      <c r="AA57" s="2002"/>
      <c r="AB57" s="2002"/>
      <c r="AC57" s="2002"/>
      <c r="AD57" s="2002"/>
    </row>
    <row r="58" spans="1:30" s="1820" customFormat="1" ht="24">
      <c r="A58" s="2033" t="s">
        <v>1245</v>
      </c>
      <c r="B58" s="2034" t="str">
        <f>估价对象房地状况!C20</f>
        <v>区域自然环境：；人文环境；综合评价环境状况一般</v>
      </c>
      <c r="C58" s="2021"/>
      <c r="D58" s="2022">
        <f t="shared" si="7"/>
        <v>0</v>
      </c>
      <c r="E58" s="2035"/>
      <c r="F58" s="2024"/>
      <c r="G58" s="2025"/>
      <c r="H58" s="2026" t="str">
        <f t="shared" si="8"/>
        <v>——</v>
      </c>
      <c r="I58" s="2140">
        <v>0.05</v>
      </c>
      <c r="J58" s="2139">
        <f t="shared" si="9"/>
        <v>0</v>
      </c>
      <c r="K58" s="2139">
        <f t="shared" si="10"/>
        <v>0</v>
      </c>
      <c r="L58" s="2139">
        <v>0</v>
      </c>
      <c r="M58" s="2139">
        <f t="shared" si="11"/>
        <v>0</v>
      </c>
      <c r="N58" s="2139">
        <f t="shared" si="11"/>
        <v>0</v>
      </c>
      <c r="P58" s="2002"/>
      <c r="Q58" s="2002"/>
      <c r="R58" s="2002"/>
      <c r="S58" s="2002"/>
      <c r="T58" s="2002"/>
      <c r="U58" s="2002"/>
      <c r="V58" s="2002"/>
      <c r="W58" s="2002"/>
      <c r="X58" s="2002"/>
      <c r="Y58" s="2002"/>
      <c r="Z58" s="2002"/>
      <c r="AA58" s="2002"/>
      <c r="AB58" s="2002"/>
      <c r="AC58" s="2002"/>
      <c r="AD58" s="2002"/>
    </row>
    <row r="59" spans="1:30" s="1820" customFormat="1" ht="15">
      <c r="A59" s="2007" t="s">
        <v>436</v>
      </c>
      <c r="B59" s="2008">
        <f>1+E61</f>
        <v>1</v>
      </c>
      <c r="C59" s="2036"/>
      <c r="D59" s="2010"/>
      <c r="E59" s="2011"/>
      <c r="F59" s="2012"/>
      <c r="G59" s="2006"/>
      <c r="H59" s="2006"/>
      <c r="I59" s="2006"/>
      <c r="J59" s="1684"/>
      <c r="K59" s="1684"/>
      <c r="L59" s="1684"/>
      <c r="M59" s="1684"/>
      <c r="N59" s="1684"/>
      <c r="P59" s="2002"/>
      <c r="Q59" s="2002"/>
      <c r="R59" s="2002"/>
      <c r="S59" s="2002"/>
      <c r="T59" s="2002"/>
      <c r="U59" s="2002"/>
      <c r="V59" s="2002"/>
      <c r="W59" s="2002"/>
      <c r="X59" s="2002"/>
      <c r="Y59" s="2002"/>
      <c r="Z59" s="2002"/>
      <c r="AA59" s="2002"/>
      <c r="AB59" s="2002"/>
      <c r="AC59" s="2002"/>
      <c r="AD59" s="2002"/>
    </row>
    <row r="60" spans="1:30" s="1820" customFormat="1" ht="24">
      <c r="A60" s="2013" t="s">
        <v>1227</v>
      </c>
      <c r="B60" s="2014"/>
      <c r="C60" s="2015" t="s">
        <v>1229</v>
      </c>
      <c r="D60" s="2016" t="s">
        <v>1230</v>
      </c>
      <c r="E60" s="2017" t="s">
        <v>1231</v>
      </c>
      <c r="F60" s="2018" t="s">
        <v>1232</v>
      </c>
      <c r="G60" s="2016" t="s">
        <v>1233</v>
      </c>
      <c r="H60" s="2019" t="s">
        <v>1234</v>
      </c>
      <c r="I60" s="2016" t="s">
        <v>1235</v>
      </c>
      <c r="J60" s="2137" t="s">
        <v>248</v>
      </c>
      <c r="K60" s="2137" t="s">
        <v>260</v>
      </c>
      <c r="L60" s="2137" t="s">
        <v>270</v>
      </c>
      <c r="M60" s="2137" t="s">
        <v>280</v>
      </c>
      <c r="N60" s="2137" t="s">
        <v>287</v>
      </c>
      <c r="P60" s="2002"/>
      <c r="Q60" s="2002"/>
      <c r="R60" s="2002"/>
      <c r="S60" s="2002"/>
      <c r="T60" s="2002"/>
      <c r="U60" s="2002"/>
      <c r="V60" s="2002"/>
      <c r="W60" s="2002"/>
      <c r="X60" s="2002"/>
      <c r="Y60" s="2002"/>
      <c r="Z60" s="2002"/>
      <c r="AA60" s="2002"/>
      <c r="AB60" s="2002"/>
      <c r="AC60" s="2002"/>
      <c r="AD60" s="2002"/>
    </row>
    <row r="61" spans="1:30" s="1820" customFormat="1" ht="24">
      <c r="A61" s="2013" t="s">
        <v>695</v>
      </c>
      <c r="B61" s="2020">
        <f>估价对象房地状况!C17</f>
        <v>0</v>
      </c>
      <c r="C61" s="2021"/>
      <c r="D61" s="2022">
        <f t="shared" ref="D61:D69" si="12">SUMIF($J$60:$N$60,C61,J61:N61)</f>
        <v>0</v>
      </c>
      <c r="E61" s="2023">
        <f>ROUND(SUM(D61:D69),4)</f>
        <v>0</v>
      </c>
      <c r="F61" s="2024" t="str">
        <f>IF(E2="办公",SUMIF(L1:L12,G2,N1:N12),"——")</f>
        <v>——</v>
      </c>
      <c r="G61" s="2025"/>
      <c r="H61" s="2026" t="str">
        <f>IFERROR(ROUNDDOWN($F$61*I61/2,4),"——")</f>
        <v>——</v>
      </c>
      <c r="I61" s="2138">
        <v>0.25</v>
      </c>
      <c r="J61" s="2139">
        <f t="shared" ref="J61:J69" si="13">K61+$G61</f>
        <v>0</v>
      </c>
      <c r="K61" s="2139">
        <f t="shared" ref="K61:K69" si="14">$L61+$G61</f>
        <v>0</v>
      </c>
      <c r="L61" s="2139">
        <v>0</v>
      </c>
      <c r="M61" s="2139">
        <f t="shared" ref="M61:N69" si="15">L61-$G61</f>
        <v>0</v>
      </c>
      <c r="N61" s="2139">
        <f t="shared" si="15"/>
        <v>0</v>
      </c>
      <c r="P61" s="2002"/>
      <c r="Q61" s="2002"/>
      <c r="R61" s="2002"/>
      <c r="S61" s="2002"/>
      <c r="T61" s="2002"/>
      <c r="U61" s="2002"/>
      <c r="V61" s="2002"/>
      <c r="W61" s="2002"/>
      <c r="X61" s="2002"/>
      <c r="Y61" s="2002"/>
      <c r="Z61" s="2002"/>
      <c r="AA61" s="2002"/>
      <c r="AB61" s="2002"/>
      <c r="AC61" s="2002"/>
      <c r="AD61" s="2002"/>
    </row>
    <row r="62" spans="1:30" s="1820" customFormat="1" ht="48">
      <c r="A62" s="2013" t="s">
        <v>693</v>
      </c>
      <c r="B62" s="2014" t="str">
        <f>估价对象房地状况!C18</f>
        <v>估价对象周边道路状况、公共交通通达情况970、980、郊80、密6路等、停车便捷程度，综合评价交通便捷度一般</v>
      </c>
      <c r="C62" s="2021"/>
      <c r="D62" s="2022">
        <f t="shared" si="12"/>
        <v>0</v>
      </c>
      <c r="E62" s="2027"/>
      <c r="F62" s="2024"/>
      <c r="G62" s="2025"/>
      <c r="H62" s="2026" t="str">
        <f t="shared" ref="H62:H69" si="16">IFERROR(ROUNDDOWN($F$61*I62/2,4),"——")</f>
        <v>——</v>
      </c>
      <c r="I62" s="2138">
        <v>0.26</v>
      </c>
      <c r="J62" s="2139">
        <f t="shared" si="13"/>
        <v>0</v>
      </c>
      <c r="K62" s="2139">
        <f t="shared" si="14"/>
        <v>0</v>
      </c>
      <c r="L62" s="2139">
        <v>0</v>
      </c>
      <c r="M62" s="2139">
        <f t="shared" si="15"/>
        <v>0</v>
      </c>
      <c r="N62" s="2139">
        <f t="shared" si="15"/>
        <v>0</v>
      </c>
      <c r="P62" s="2002"/>
      <c r="Q62" s="2002"/>
      <c r="R62" s="2002"/>
      <c r="S62" s="2002"/>
      <c r="T62" s="2002"/>
      <c r="U62" s="2002"/>
      <c r="V62" s="2002"/>
      <c r="W62" s="2002"/>
      <c r="X62" s="2002"/>
      <c r="Y62" s="2002"/>
      <c r="Z62" s="2002"/>
      <c r="AA62" s="2002"/>
      <c r="AB62" s="2002"/>
      <c r="AC62" s="2002"/>
      <c r="AD62" s="2002"/>
    </row>
    <row r="63" spans="1:30" s="1820" customFormat="1" ht="36">
      <c r="A63" s="2028" t="s">
        <v>1237</v>
      </c>
      <c r="B63" s="2014">
        <f>估价对象房地状况!C19</f>
        <v>0</v>
      </c>
      <c r="C63" s="2021"/>
      <c r="D63" s="2022">
        <f t="shared" si="12"/>
        <v>0</v>
      </c>
      <c r="E63" s="2027"/>
      <c r="F63" s="2024"/>
      <c r="G63" s="2025"/>
      <c r="H63" s="2026" t="str">
        <f t="shared" si="16"/>
        <v>——</v>
      </c>
      <c r="I63" s="2138">
        <v>0.11</v>
      </c>
      <c r="J63" s="2139">
        <f t="shared" si="13"/>
        <v>0</v>
      </c>
      <c r="K63" s="2139">
        <f t="shared" si="14"/>
        <v>0</v>
      </c>
      <c r="L63" s="2139">
        <v>0</v>
      </c>
      <c r="M63" s="2139">
        <f t="shared" si="15"/>
        <v>0</v>
      </c>
      <c r="N63" s="2139">
        <f t="shared" si="15"/>
        <v>0</v>
      </c>
      <c r="P63" s="2002"/>
      <c r="Q63" s="2002"/>
      <c r="R63" s="2002"/>
      <c r="S63" s="2002"/>
      <c r="T63" s="2002"/>
      <c r="U63" s="2002"/>
      <c r="V63" s="2002"/>
      <c r="W63" s="2002"/>
      <c r="X63" s="2002"/>
      <c r="Y63" s="2002"/>
      <c r="Z63" s="2002"/>
      <c r="AA63" s="2002"/>
      <c r="AB63" s="2002"/>
      <c r="AC63" s="2002"/>
      <c r="AD63" s="2002"/>
    </row>
    <row r="64" spans="1:30" s="1820" customFormat="1" ht="36">
      <c r="A64" s="2013" t="s">
        <v>1238</v>
      </c>
      <c r="B64" s="2029" t="s">
        <v>1239</v>
      </c>
      <c r="C64" s="2021"/>
      <c r="D64" s="2022">
        <f t="shared" si="12"/>
        <v>0</v>
      </c>
      <c r="E64" s="2027"/>
      <c r="F64" s="2024"/>
      <c r="G64" s="2025"/>
      <c r="H64" s="2026" t="str">
        <f t="shared" si="16"/>
        <v>——</v>
      </c>
      <c r="I64" s="2138">
        <v>0.05</v>
      </c>
      <c r="J64" s="2139">
        <f t="shared" si="13"/>
        <v>0</v>
      </c>
      <c r="K64" s="2139">
        <f t="shared" si="14"/>
        <v>0</v>
      </c>
      <c r="L64" s="2139">
        <v>0</v>
      </c>
      <c r="M64" s="2139">
        <f t="shared" si="15"/>
        <v>0</v>
      </c>
      <c r="N64" s="2139">
        <f t="shared" si="15"/>
        <v>0</v>
      </c>
      <c r="P64" s="2002"/>
      <c r="Q64" s="2002"/>
      <c r="R64" s="2002"/>
      <c r="S64" s="2002"/>
      <c r="T64" s="2002"/>
      <c r="U64" s="2002"/>
      <c r="V64" s="2002"/>
      <c r="W64" s="2002"/>
      <c r="X64" s="2002"/>
      <c r="Y64" s="2002"/>
      <c r="Z64" s="2002"/>
      <c r="AA64" s="2002"/>
      <c r="AB64" s="2002"/>
      <c r="AC64" s="2002"/>
      <c r="AD64" s="2002"/>
    </row>
    <row r="65" spans="1:36" s="1820" customFormat="1" ht="24">
      <c r="A65" s="2013" t="s">
        <v>1240</v>
      </c>
      <c r="B65" s="2014" t="str">
        <f>估价对象房地状况!C24</f>
        <v>城市主干道-京密路</v>
      </c>
      <c r="C65" s="2021"/>
      <c r="D65" s="2022">
        <f t="shared" si="12"/>
        <v>0</v>
      </c>
      <c r="E65" s="2027"/>
      <c r="F65" s="2024"/>
      <c r="G65" s="2025"/>
      <c r="H65" s="2026" t="str">
        <f t="shared" si="16"/>
        <v>——</v>
      </c>
      <c r="I65" s="2138">
        <v>0.05</v>
      </c>
      <c r="J65" s="2139">
        <f t="shared" si="13"/>
        <v>0</v>
      </c>
      <c r="K65" s="2139">
        <f t="shared" si="14"/>
        <v>0</v>
      </c>
      <c r="L65" s="2139">
        <v>0</v>
      </c>
      <c r="M65" s="2139">
        <f t="shared" si="15"/>
        <v>0</v>
      </c>
      <c r="N65" s="2139">
        <f t="shared" si="15"/>
        <v>0</v>
      </c>
      <c r="P65" s="2002"/>
      <c r="Q65" s="2002"/>
      <c r="R65" s="2002"/>
      <c r="S65" s="2002"/>
      <c r="T65" s="2002"/>
      <c r="U65" s="2002"/>
      <c r="V65" s="2002"/>
      <c r="W65" s="2002"/>
      <c r="X65" s="2002"/>
      <c r="Y65" s="2002"/>
      <c r="Z65" s="2002"/>
      <c r="AA65" s="2002"/>
      <c r="AB65" s="2002"/>
      <c r="AC65" s="2002"/>
      <c r="AD65" s="2002"/>
    </row>
    <row r="66" spans="1:36" s="1820" customFormat="1" ht="24">
      <c r="A66" s="2013" t="s">
        <v>1241</v>
      </c>
      <c r="B66" s="2030" t="s">
        <v>1242</v>
      </c>
      <c r="C66" s="2021"/>
      <c r="D66" s="2022">
        <f t="shared" si="12"/>
        <v>0</v>
      </c>
      <c r="E66" s="2027"/>
      <c r="F66" s="2024"/>
      <c r="G66" s="2025"/>
      <c r="H66" s="2026" t="str">
        <f t="shared" si="16"/>
        <v>——</v>
      </c>
      <c r="I66" s="2138">
        <v>0.06</v>
      </c>
      <c r="J66" s="2139">
        <f t="shared" si="13"/>
        <v>0</v>
      </c>
      <c r="K66" s="2139">
        <f t="shared" si="14"/>
        <v>0</v>
      </c>
      <c r="L66" s="2139">
        <v>0</v>
      </c>
      <c r="M66" s="2139">
        <f t="shared" si="15"/>
        <v>0</v>
      </c>
      <c r="N66" s="2139">
        <f t="shared" si="15"/>
        <v>0</v>
      </c>
      <c r="P66" s="2002"/>
      <c r="Q66" s="2002"/>
      <c r="R66" s="2002"/>
      <c r="S66" s="2002"/>
      <c r="T66" s="2002"/>
      <c r="U66" s="2002"/>
      <c r="V66" s="2002"/>
      <c r="W66" s="2002"/>
      <c r="X66" s="2002"/>
      <c r="Y66" s="2002"/>
      <c r="Z66" s="2002"/>
      <c r="AA66" s="2002"/>
      <c r="AB66" s="2002"/>
      <c r="AC66" s="2002"/>
      <c r="AD66" s="2002"/>
    </row>
    <row r="67" spans="1:36" s="1820" customFormat="1" ht="24">
      <c r="A67" s="2013" t="s">
        <v>1243</v>
      </c>
      <c r="B67" s="2032" t="str">
        <f>估价对象房地状况!C21</f>
        <v>估价对象所在区域公共配套设施齐备情况较差</v>
      </c>
      <c r="C67" s="2021"/>
      <c r="D67" s="2022">
        <f t="shared" si="12"/>
        <v>0</v>
      </c>
      <c r="E67" s="2027"/>
      <c r="F67" s="2024"/>
      <c r="G67" s="2025"/>
      <c r="H67" s="2026" t="str">
        <f t="shared" si="16"/>
        <v>——</v>
      </c>
      <c r="I67" s="2138">
        <v>0.06</v>
      </c>
      <c r="J67" s="2139">
        <f t="shared" si="13"/>
        <v>0</v>
      </c>
      <c r="K67" s="2139">
        <f t="shared" si="14"/>
        <v>0</v>
      </c>
      <c r="L67" s="2139">
        <v>0</v>
      </c>
      <c r="M67" s="2139">
        <f t="shared" si="15"/>
        <v>0</v>
      </c>
      <c r="N67" s="2139">
        <f t="shared" si="15"/>
        <v>0</v>
      </c>
      <c r="P67" s="2002"/>
      <c r="Q67" s="2002"/>
      <c r="R67" s="2002"/>
      <c r="S67" s="2002"/>
      <c r="T67" s="2002"/>
      <c r="U67" s="2002"/>
      <c r="V67" s="2002"/>
      <c r="W67" s="2002"/>
      <c r="X67" s="2002"/>
      <c r="Y67" s="2002"/>
      <c r="Z67" s="2002"/>
      <c r="AA67" s="2002"/>
      <c r="AB67" s="2002"/>
      <c r="AC67" s="2002"/>
      <c r="AD67" s="2002"/>
    </row>
    <row r="68" spans="1:36" s="1820" customFormat="1" ht="24">
      <c r="A68" s="2013" t="s">
        <v>1244</v>
      </c>
      <c r="B68" s="2032" t="str">
        <f>估价对象房地状况!C22</f>
        <v>估价对象所在区域基础设施水平</v>
      </c>
      <c r="C68" s="2021"/>
      <c r="D68" s="2022">
        <f t="shared" si="12"/>
        <v>0</v>
      </c>
      <c r="E68" s="2027"/>
      <c r="F68" s="2024"/>
      <c r="G68" s="2025"/>
      <c r="H68" s="2026" t="str">
        <f t="shared" si="16"/>
        <v>——</v>
      </c>
      <c r="I68" s="2138">
        <v>0.09</v>
      </c>
      <c r="J68" s="2139">
        <f t="shared" si="13"/>
        <v>0</v>
      </c>
      <c r="K68" s="2139">
        <f t="shared" si="14"/>
        <v>0</v>
      </c>
      <c r="L68" s="2139">
        <v>0</v>
      </c>
      <c r="M68" s="2139">
        <f t="shared" si="15"/>
        <v>0</v>
      </c>
      <c r="N68" s="2139">
        <f t="shared" si="15"/>
        <v>0</v>
      </c>
      <c r="P68" s="2002"/>
      <c r="Q68" s="2002"/>
      <c r="R68" s="2002"/>
      <c r="S68" s="2002"/>
      <c r="T68" s="2002"/>
      <c r="U68" s="2002"/>
      <c r="V68" s="2002"/>
      <c r="W68" s="2002"/>
      <c r="X68" s="2002"/>
      <c r="Y68" s="2002"/>
      <c r="Z68" s="2002"/>
      <c r="AA68" s="2002"/>
      <c r="AB68" s="2002"/>
      <c r="AC68" s="2002"/>
      <c r="AD68" s="2002"/>
    </row>
    <row r="69" spans="1:36" s="1820" customFormat="1" ht="24">
      <c r="A69" s="2033" t="s">
        <v>1245</v>
      </c>
      <c r="B69" s="2164" t="str">
        <f>估价对象房地状况!C20</f>
        <v>区域自然环境：；人文环境；综合评价环境状况一般</v>
      </c>
      <c r="C69" s="2021"/>
      <c r="D69" s="2022">
        <f t="shared" si="12"/>
        <v>0</v>
      </c>
      <c r="E69" s="2035"/>
      <c r="F69" s="2024"/>
      <c r="G69" s="2025"/>
      <c r="H69" s="2026" t="str">
        <f t="shared" si="16"/>
        <v>——</v>
      </c>
      <c r="I69" s="2140">
        <v>7.0000000000000007E-2</v>
      </c>
      <c r="J69" s="2139">
        <f t="shared" si="13"/>
        <v>0</v>
      </c>
      <c r="K69" s="2139">
        <f t="shared" si="14"/>
        <v>0</v>
      </c>
      <c r="L69" s="2139">
        <v>0</v>
      </c>
      <c r="M69" s="2139">
        <f t="shared" si="15"/>
        <v>0</v>
      </c>
      <c r="N69" s="2139">
        <f t="shared" si="15"/>
        <v>0</v>
      </c>
      <c r="P69" s="2002"/>
      <c r="Q69" s="2002"/>
      <c r="R69" s="2002"/>
      <c r="S69" s="2002"/>
      <c r="T69" s="2002"/>
      <c r="U69" s="2002"/>
      <c r="V69" s="2002"/>
      <c r="W69" s="2002"/>
      <c r="X69" s="2002"/>
      <c r="Y69" s="2002"/>
      <c r="Z69" s="2002"/>
      <c r="AA69" s="2002"/>
      <c r="AB69" s="2002"/>
      <c r="AC69" s="2002"/>
      <c r="AD69" s="2002"/>
    </row>
    <row r="70" spans="1:36" s="1820" customFormat="1" ht="15">
      <c r="A70" s="2007" t="s">
        <v>402</v>
      </c>
      <c r="B70" s="2008">
        <f>1+E72</f>
        <v>1</v>
      </c>
      <c r="C70" s="2036"/>
      <c r="D70" s="2010"/>
      <c r="E70" s="2011"/>
      <c r="F70" s="2012"/>
      <c r="G70" s="2006"/>
      <c r="H70" s="2006"/>
      <c r="I70" s="2006"/>
      <c r="J70" s="1684"/>
      <c r="K70" s="1684"/>
      <c r="L70" s="1684"/>
      <c r="M70" s="1684"/>
      <c r="N70" s="1684"/>
      <c r="P70" s="2002"/>
      <c r="Q70" s="2002"/>
      <c r="R70" s="2002"/>
      <c r="S70" s="2002"/>
      <c r="T70" s="2002"/>
      <c r="U70" s="2002"/>
      <c r="V70" s="2002"/>
      <c r="W70" s="2002"/>
      <c r="X70" s="2002"/>
      <c r="Y70" s="2002"/>
      <c r="Z70" s="2002"/>
      <c r="AA70" s="2002"/>
      <c r="AB70" s="2002"/>
      <c r="AC70" s="2002"/>
      <c r="AD70" s="2002"/>
    </row>
    <row r="71" spans="1:36" s="1820" customFormat="1" ht="24">
      <c r="A71" s="2013" t="s">
        <v>1227</v>
      </c>
      <c r="B71" s="2014"/>
      <c r="C71" s="2015" t="s">
        <v>1229</v>
      </c>
      <c r="D71" s="2016" t="s">
        <v>1230</v>
      </c>
      <c r="E71" s="2017" t="s">
        <v>1231</v>
      </c>
      <c r="F71" s="2018" t="s">
        <v>1232</v>
      </c>
      <c r="G71" s="2016" t="s">
        <v>1233</v>
      </c>
      <c r="H71" s="2019" t="s">
        <v>1234</v>
      </c>
      <c r="I71" s="2016" t="s">
        <v>1235</v>
      </c>
      <c r="J71" s="2137" t="s">
        <v>248</v>
      </c>
      <c r="K71" s="2137" t="s">
        <v>260</v>
      </c>
      <c r="L71" s="2137" t="s">
        <v>270</v>
      </c>
      <c r="M71" s="2137" t="s">
        <v>280</v>
      </c>
      <c r="N71" s="2137" t="s">
        <v>287</v>
      </c>
      <c r="P71" s="2002"/>
      <c r="Q71" s="2002"/>
      <c r="R71" s="2002"/>
      <c r="S71" s="2002"/>
      <c r="T71" s="2002"/>
      <c r="U71" s="2002"/>
      <c r="V71" s="2002"/>
      <c r="W71" s="2002"/>
      <c r="X71" s="2002"/>
      <c r="Y71" s="2002"/>
      <c r="Z71" s="2002"/>
      <c r="AA71" s="2002"/>
      <c r="AB71" s="2002"/>
      <c r="AC71" s="2002"/>
      <c r="AD71" s="2002"/>
    </row>
    <row r="72" spans="1:36" s="1820" customFormat="1" ht="60">
      <c r="A72" s="2013" t="s">
        <v>689</v>
      </c>
      <c r="B72" s="2014" t="str">
        <f>估价对象房地状况!C15</f>
        <v>估价对象周边居住用地比例、居住小区规模和社区发展完善程度，有王各庄新庄、明珠花园、枫林园公寓综合评价居住社区成熟度一般</v>
      </c>
      <c r="C72" s="2165"/>
      <c r="D72" s="2022">
        <f t="shared" ref="D72:D80" si="17">SUMIF($J$71:$N$71,C72,J72:N72)</f>
        <v>0</v>
      </c>
      <c r="E72" s="2023">
        <f>ROUND(SUM(D72:D80),4)</f>
        <v>0</v>
      </c>
      <c r="F72" s="2024" t="str">
        <f>IF(E2="住宅",SUMIF(L1:L12,G2,N1:N12),"——")</f>
        <v>——</v>
      </c>
      <c r="G72" s="2166"/>
      <c r="H72" s="2167" t="str">
        <f t="shared" ref="H72:H80" si="18">IFERROR(ROUNDDOWN($F$72*I72/2,4),"——")</f>
        <v>——</v>
      </c>
      <c r="I72" s="2138">
        <v>0.2</v>
      </c>
      <c r="J72" s="2139">
        <f t="shared" ref="J72:J80" si="19">K72+$G72</f>
        <v>0</v>
      </c>
      <c r="K72" s="2139">
        <f t="shared" ref="K72:K80" si="20">$L72+$G72</f>
        <v>0</v>
      </c>
      <c r="L72" s="2139">
        <v>0</v>
      </c>
      <c r="M72" s="2139">
        <f t="shared" ref="M72:N80" si="21">L72-$G72</f>
        <v>0</v>
      </c>
      <c r="N72" s="2139">
        <f t="shared" si="21"/>
        <v>0</v>
      </c>
      <c r="P72" s="2002"/>
      <c r="Q72" s="2002"/>
      <c r="R72" s="2002"/>
      <c r="S72" s="2002"/>
      <c r="T72" s="2002"/>
      <c r="U72" s="2002"/>
      <c r="V72" s="2002"/>
      <c r="W72" s="2002"/>
      <c r="X72" s="2002"/>
      <c r="Y72" s="2002"/>
      <c r="Z72" s="2002"/>
      <c r="AA72" s="2002"/>
      <c r="AB72" s="2002"/>
      <c r="AC72" s="2002"/>
      <c r="AD72" s="2002"/>
    </row>
    <row r="73" spans="1:36" s="1820" customFormat="1" ht="48">
      <c r="A73" s="2013" t="s">
        <v>693</v>
      </c>
      <c r="B73" s="2014" t="str">
        <f>估价对象房地状况!C18</f>
        <v>估价对象周边道路状况、公共交通通达情况970、980、郊80、密6路等、停车便捷程度，综合评价交通便捷度一般</v>
      </c>
      <c r="C73" s="2165"/>
      <c r="D73" s="2022">
        <f t="shared" si="17"/>
        <v>0</v>
      </c>
      <c r="E73" s="2027"/>
      <c r="F73" s="2024"/>
      <c r="G73" s="2166"/>
      <c r="H73" s="2167" t="str">
        <f t="shared" si="18"/>
        <v>——</v>
      </c>
      <c r="I73" s="2138">
        <v>0.26</v>
      </c>
      <c r="J73" s="2139">
        <f t="shared" si="19"/>
        <v>0</v>
      </c>
      <c r="K73" s="2139">
        <f t="shared" si="20"/>
        <v>0</v>
      </c>
      <c r="L73" s="2139">
        <v>0</v>
      </c>
      <c r="M73" s="2139">
        <f t="shared" si="21"/>
        <v>0</v>
      </c>
      <c r="N73" s="2139">
        <f t="shared" si="21"/>
        <v>0</v>
      </c>
      <c r="P73" s="2002"/>
      <c r="Q73" s="2002"/>
      <c r="R73" s="2002"/>
      <c r="S73" s="2002"/>
      <c r="T73" s="2002"/>
      <c r="U73" s="2002"/>
      <c r="V73" s="2002"/>
      <c r="W73" s="2002"/>
      <c r="X73" s="2002"/>
      <c r="Y73" s="2002"/>
      <c r="Z73" s="2002"/>
      <c r="AA73" s="2002"/>
      <c r="AB73" s="2002"/>
      <c r="AC73" s="2002"/>
      <c r="AD73" s="2002"/>
    </row>
    <row r="74" spans="1:36" s="1820" customFormat="1" ht="36">
      <c r="A74" s="2028" t="s">
        <v>1237</v>
      </c>
      <c r="B74" s="2014">
        <f>估价对象房地状况!C19</f>
        <v>0</v>
      </c>
      <c r="C74" s="2165"/>
      <c r="D74" s="2022">
        <f t="shared" si="17"/>
        <v>0</v>
      </c>
      <c r="E74" s="2027"/>
      <c r="F74" s="2024"/>
      <c r="G74" s="2166"/>
      <c r="H74" s="2167" t="str">
        <f t="shared" si="18"/>
        <v>——</v>
      </c>
      <c r="I74" s="2138">
        <v>0.1</v>
      </c>
      <c r="J74" s="2139">
        <f t="shared" si="19"/>
        <v>0</v>
      </c>
      <c r="K74" s="2139">
        <f t="shared" si="20"/>
        <v>0</v>
      </c>
      <c r="L74" s="2139">
        <v>0</v>
      </c>
      <c r="M74" s="2139">
        <f t="shared" si="21"/>
        <v>0</v>
      </c>
      <c r="N74" s="2139">
        <f t="shared" si="21"/>
        <v>0</v>
      </c>
      <c r="P74" s="2002"/>
      <c r="Q74" s="2002"/>
      <c r="R74" s="2002"/>
      <c r="S74" s="2002"/>
      <c r="T74" s="2002"/>
      <c r="U74" s="2002"/>
      <c r="V74" s="2002"/>
      <c r="W74" s="2002"/>
      <c r="X74" s="2002"/>
      <c r="Y74" s="2002"/>
      <c r="Z74" s="2002"/>
      <c r="AA74" s="2002"/>
      <c r="AB74" s="2002"/>
      <c r="AC74" s="2002"/>
      <c r="AD74" s="2002"/>
    </row>
    <row r="75" spans="1:36" s="1821" customFormat="1" ht="14.25">
      <c r="A75" s="2013" t="s">
        <v>1246</v>
      </c>
      <c r="B75" s="2014" t="str">
        <f>估价对象房地状况!C24</f>
        <v>城市主干道-京密路</v>
      </c>
      <c r="C75" s="2165"/>
      <c r="D75" s="2022">
        <f t="shared" si="17"/>
        <v>0</v>
      </c>
      <c r="E75" s="2027"/>
      <c r="F75" s="2024"/>
      <c r="G75" s="2166"/>
      <c r="H75" s="2167" t="str">
        <f t="shared" si="18"/>
        <v>——</v>
      </c>
      <c r="I75" s="2138">
        <v>0.05</v>
      </c>
      <c r="J75" s="2139">
        <f t="shared" si="19"/>
        <v>0</v>
      </c>
      <c r="K75" s="2139">
        <f t="shared" si="20"/>
        <v>0</v>
      </c>
      <c r="L75" s="2139">
        <v>0</v>
      </c>
      <c r="M75" s="2139">
        <f t="shared" si="21"/>
        <v>0</v>
      </c>
      <c r="N75" s="2139">
        <f t="shared" si="21"/>
        <v>0</v>
      </c>
      <c r="O75" s="1820"/>
      <c r="P75" s="2002"/>
      <c r="Q75" s="2002"/>
      <c r="R75" s="2208"/>
      <c r="S75" s="2208"/>
      <c r="T75" s="2208"/>
      <c r="U75" s="2208"/>
      <c r="V75" s="2208"/>
      <c r="W75" s="2208"/>
      <c r="X75" s="2208"/>
      <c r="Y75" s="2208"/>
      <c r="Z75" s="2208"/>
      <c r="AA75" s="2208"/>
      <c r="AB75" s="2208"/>
      <c r="AC75" s="2208"/>
      <c r="AD75" s="2208"/>
      <c r="AE75" s="1820"/>
      <c r="AF75" s="1820"/>
      <c r="AG75" s="1820"/>
      <c r="AH75" s="1820"/>
      <c r="AI75" s="1820"/>
      <c r="AJ75" s="1820"/>
    </row>
    <row r="76" spans="1:36" s="1821" customFormat="1" ht="24">
      <c r="A76" s="2013" t="s">
        <v>1243</v>
      </c>
      <c r="B76" s="2032" t="str">
        <f>估价对象房地状况!C21</f>
        <v>估价对象所在区域公共配套设施齐备情况较差</v>
      </c>
      <c r="C76" s="2165"/>
      <c r="D76" s="2022">
        <f t="shared" si="17"/>
        <v>0</v>
      </c>
      <c r="E76" s="2027"/>
      <c r="F76" s="2024"/>
      <c r="G76" s="2166"/>
      <c r="H76" s="2167" t="str">
        <f t="shared" si="18"/>
        <v>——</v>
      </c>
      <c r="I76" s="2138">
        <v>0.08</v>
      </c>
      <c r="J76" s="2139">
        <f t="shared" si="19"/>
        <v>0</v>
      </c>
      <c r="K76" s="2139">
        <f t="shared" si="20"/>
        <v>0</v>
      </c>
      <c r="L76" s="2139">
        <v>0</v>
      </c>
      <c r="M76" s="2139">
        <f t="shared" si="21"/>
        <v>0</v>
      </c>
      <c r="N76" s="2139">
        <f t="shared" si="21"/>
        <v>0</v>
      </c>
      <c r="O76" s="1820"/>
      <c r="P76" s="2002"/>
      <c r="Q76" s="2002"/>
      <c r="AE76" s="1820"/>
      <c r="AF76" s="1820"/>
      <c r="AG76" s="1820"/>
      <c r="AH76" s="1820"/>
      <c r="AI76" s="1820"/>
      <c r="AJ76" s="1820"/>
    </row>
    <row r="77" spans="1:36" s="1821" customFormat="1" ht="24">
      <c r="A77" s="2013" t="s">
        <v>1244</v>
      </c>
      <c r="B77" s="2032" t="str">
        <f>估价对象房地状况!C22</f>
        <v>估价对象所在区域基础设施水平</v>
      </c>
      <c r="C77" s="2165"/>
      <c r="D77" s="2022">
        <f t="shared" si="17"/>
        <v>0</v>
      </c>
      <c r="E77" s="2027"/>
      <c r="F77" s="2024"/>
      <c r="G77" s="2166"/>
      <c r="H77" s="2167" t="str">
        <f t="shared" si="18"/>
        <v>——</v>
      </c>
      <c r="I77" s="2138">
        <v>0.09</v>
      </c>
      <c r="J77" s="2139">
        <f t="shared" si="19"/>
        <v>0</v>
      </c>
      <c r="K77" s="2139">
        <f t="shared" si="20"/>
        <v>0</v>
      </c>
      <c r="L77" s="2139">
        <v>0</v>
      </c>
      <c r="M77" s="2139">
        <f t="shared" si="21"/>
        <v>0</v>
      </c>
      <c r="N77" s="2139">
        <f t="shared" si="21"/>
        <v>0</v>
      </c>
      <c r="O77" s="1820"/>
      <c r="P77" s="2002"/>
      <c r="Q77" s="2002"/>
      <c r="AE77" s="1820"/>
      <c r="AF77" s="1820"/>
      <c r="AG77" s="1820"/>
      <c r="AH77" s="1820"/>
      <c r="AI77" s="1820"/>
      <c r="AJ77" s="1820"/>
    </row>
    <row r="78" spans="1:36" s="1821" customFormat="1" ht="24">
      <c r="A78" s="2013" t="s">
        <v>1241</v>
      </c>
      <c r="B78" s="2030" t="s">
        <v>1242</v>
      </c>
      <c r="C78" s="2165"/>
      <c r="D78" s="2022">
        <f t="shared" si="17"/>
        <v>0</v>
      </c>
      <c r="E78" s="2027"/>
      <c r="F78" s="2024"/>
      <c r="G78" s="2166"/>
      <c r="H78" s="2167" t="str">
        <f t="shared" si="18"/>
        <v>——</v>
      </c>
      <c r="I78" s="2138">
        <v>0.05</v>
      </c>
      <c r="J78" s="2139">
        <f t="shared" si="19"/>
        <v>0</v>
      </c>
      <c r="K78" s="2139">
        <f t="shared" si="20"/>
        <v>0</v>
      </c>
      <c r="L78" s="2139">
        <v>0</v>
      </c>
      <c r="M78" s="2139">
        <f t="shared" si="21"/>
        <v>0</v>
      </c>
      <c r="N78" s="2139">
        <f t="shared" si="21"/>
        <v>0</v>
      </c>
      <c r="O78" s="1820"/>
      <c r="P78" s="2002"/>
      <c r="Q78" s="2002"/>
      <c r="AE78" s="1820"/>
      <c r="AF78" s="1820"/>
      <c r="AG78" s="1820"/>
      <c r="AH78" s="1820"/>
      <c r="AI78" s="1820"/>
      <c r="AJ78" s="1820"/>
    </row>
    <row r="79" spans="1:36" s="1821" customFormat="1" ht="24">
      <c r="A79" s="2013" t="s">
        <v>1245</v>
      </c>
      <c r="B79" s="2020" t="str">
        <f>估价对象房地状况!C20</f>
        <v>区域自然环境：；人文环境；综合评价环境状况一般</v>
      </c>
      <c r="C79" s="2165"/>
      <c r="D79" s="2022">
        <f t="shared" si="17"/>
        <v>0</v>
      </c>
      <c r="E79" s="2027"/>
      <c r="F79" s="2024"/>
      <c r="G79" s="2166"/>
      <c r="H79" s="2167" t="str">
        <f t="shared" si="18"/>
        <v>——</v>
      </c>
      <c r="I79" s="2138">
        <v>0.12</v>
      </c>
      <c r="J79" s="2139">
        <f t="shared" si="19"/>
        <v>0</v>
      </c>
      <c r="K79" s="2139">
        <f t="shared" si="20"/>
        <v>0</v>
      </c>
      <c r="L79" s="2139">
        <v>0</v>
      </c>
      <c r="M79" s="2139">
        <f t="shared" si="21"/>
        <v>0</v>
      </c>
      <c r="N79" s="2139">
        <f t="shared" si="21"/>
        <v>0</v>
      </c>
      <c r="P79" s="2208"/>
      <c r="Q79" s="2208"/>
      <c r="AE79" s="1820"/>
      <c r="AF79" s="1820"/>
      <c r="AG79" s="1820"/>
      <c r="AH79" s="1820"/>
      <c r="AI79" s="1820"/>
      <c r="AJ79" s="1820"/>
    </row>
    <row r="80" spans="1:36" s="1821" customFormat="1" ht="24">
      <c r="A80" s="2033" t="s">
        <v>1247</v>
      </c>
      <c r="B80" s="2168"/>
      <c r="C80" s="2165"/>
      <c r="D80" s="2022">
        <f t="shared" si="17"/>
        <v>0</v>
      </c>
      <c r="E80" s="2035"/>
      <c r="F80" s="2024"/>
      <c r="G80" s="2166"/>
      <c r="H80" s="2167" t="str">
        <f t="shared" si="18"/>
        <v>——</v>
      </c>
      <c r="I80" s="2140">
        <v>0.05</v>
      </c>
      <c r="J80" s="2139">
        <f t="shared" si="19"/>
        <v>0</v>
      </c>
      <c r="K80" s="2139">
        <f t="shared" si="20"/>
        <v>0</v>
      </c>
      <c r="L80" s="2139">
        <v>0</v>
      </c>
      <c r="M80" s="2139">
        <f t="shared" si="21"/>
        <v>0</v>
      </c>
      <c r="N80" s="2139">
        <f t="shared" si="21"/>
        <v>0</v>
      </c>
      <c r="AE80" s="1820"/>
      <c r="AF80" s="1820"/>
      <c r="AG80" s="1820"/>
      <c r="AH80" s="1820"/>
      <c r="AI80" s="1820"/>
      <c r="AJ80" s="1820"/>
    </row>
    <row r="81" spans="1:36" s="1821" customFormat="1" ht="15">
      <c r="A81" s="2007" t="s">
        <v>164</v>
      </c>
      <c r="B81" s="2008">
        <f>1+E83</f>
        <v>1</v>
      </c>
      <c r="C81" s="2036"/>
      <c r="D81" s="2010"/>
      <c r="E81" s="2011"/>
      <c r="F81" s="2012"/>
      <c r="G81" s="2006"/>
      <c r="H81" s="2006"/>
      <c r="I81" s="2006"/>
      <c r="J81" s="1684"/>
      <c r="K81" s="1684"/>
      <c r="L81" s="1684"/>
      <c r="M81" s="1684"/>
      <c r="N81" s="1684"/>
      <c r="AE81" s="1820"/>
      <c r="AF81" s="1820"/>
      <c r="AG81" s="1820"/>
      <c r="AH81" s="1820"/>
      <c r="AI81" s="1820"/>
      <c r="AJ81" s="1820"/>
    </row>
    <row r="82" spans="1:36" s="1821" customFormat="1" ht="24">
      <c r="A82" s="2013" t="s">
        <v>1227</v>
      </c>
      <c r="B82" s="2014"/>
      <c r="C82" s="2015" t="s">
        <v>1229</v>
      </c>
      <c r="D82" s="2016" t="s">
        <v>1230</v>
      </c>
      <c r="E82" s="2017" t="s">
        <v>1231</v>
      </c>
      <c r="F82" s="2018" t="s">
        <v>1232</v>
      </c>
      <c r="G82" s="2016" t="s">
        <v>1233</v>
      </c>
      <c r="H82" s="2019" t="s">
        <v>1234</v>
      </c>
      <c r="I82" s="2016" t="s">
        <v>1235</v>
      </c>
      <c r="J82" s="2137" t="s">
        <v>248</v>
      </c>
      <c r="K82" s="2137" t="s">
        <v>260</v>
      </c>
      <c r="L82" s="2137" t="s">
        <v>270</v>
      </c>
      <c r="M82" s="2137" t="s">
        <v>280</v>
      </c>
      <c r="N82" s="2137" t="s">
        <v>287</v>
      </c>
      <c r="AE82" s="1820"/>
      <c r="AF82" s="1820"/>
      <c r="AG82" s="1820"/>
      <c r="AH82" s="1820"/>
      <c r="AI82" s="1820"/>
      <c r="AJ82" s="1820"/>
    </row>
    <row r="83" spans="1:36" s="1821" customFormat="1" ht="24">
      <c r="A83" s="2013" t="s">
        <v>690</v>
      </c>
      <c r="B83" s="2014" t="str">
        <f>估价对象房地状况!G15</f>
        <v>估价对象位于XX开发区，园区建设成熟度XX，产业集聚程度XX</v>
      </c>
      <c r="C83" s="2021"/>
      <c r="D83" s="2022">
        <f t="shared" ref="D83:D90" si="22">SUMIF($J$82:$N$82,C83,J83:N83)</f>
        <v>0</v>
      </c>
      <c r="E83" s="2023">
        <f>ROUND(SUM(D83:D90),4)</f>
        <v>0</v>
      </c>
      <c r="F83" s="2024" t="str">
        <f>IF(E2="工业",SUMIF(L1:L12,G2,N1:N12),"——")</f>
        <v>——</v>
      </c>
      <c r="G83" s="2025"/>
      <c r="H83" s="2026"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AE83" s="1820"/>
      <c r="AF83" s="1820"/>
      <c r="AG83" s="1820"/>
      <c r="AH83" s="1820"/>
      <c r="AI83" s="1820"/>
      <c r="AJ83" s="1820"/>
    </row>
    <row r="84" spans="1:36" s="1821" customFormat="1" ht="36">
      <c r="A84" s="2013" t="s">
        <v>693</v>
      </c>
      <c r="B84" s="2014" t="str">
        <f>估价对象房地状况!G16</f>
        <v>估价对象周边道路状况、公共交通通达情况、停车便捷程度，综合评价交通便捷度较好</v>
      </c>
      <c r="C84" s="2021"/>
      <c r="D84" s="2022">
        <f t="shared" si="22"/>
        <v>0</v>
      </c>
      <c r="E84" s="2027"/>
      <c r="F84" s="2024"/>
      <c r="G84" s="2025"/>
      <c r="H84" s="2026" t="str">
        <f t="shared" si="23"/>
        <v>——</v>
      </c>
      <c r="I84" s="2138">
        <v>0.3</v>
      </c>
      <c r="J84" s="2139">
        <f t="shared" si="24"/>
        <v>0</v>
      </c>
      <c r="K84" s="2139">
        <f t="shared" si="25"/>
        <v>0</v>
      </c>
      <c r="L84" s="2139">
        <v>0</v>
      </c>
      <c r="M84" s="2139">
        <f t="shared" si="26"/>
        <v>0</v>
      </c>
      <c r="N84" s="2139">
        <f t="shared" si="26"/>
        <v>0</v>
      </c>
      <c r="AE84" s="1820"/>
      <c r="AF84" s="1820"/>
      <c r="AG84" s="1820"/>
      <c r="AH84" s="1820"/>
      <c r="AI84" s="1820"/>
      <c r="AJ84" s="1820"/>
    </row>
    <row r="85" spans="1:36" s="1821" customFormat="1" ht="24">
      <c r="A85" s="2013" t="s">
        <v>704</v>
      </c>
      <c r="B85" s="2014">
        <f>估价对象房地状况!G17</f>
        <v>0</v>
      </c>
      <c r="C85" s="2021"/>
      <c r="D85" s="2022">
        <f t="shared" si="22"/>
        <v>0</v>
      </c>
      <c r="E85" s="2027"/>
      <c r="F85" s="2024"/>
      <c r="G85" s="2025"/>
      <c r="H85" s="2026" t="str">
        <f t="shared" si="23"/>
        <v>——</v>
      </c>
      <c r="I85" s="2138">
        <v>0.1</v>
      </c>
      <c r="J85" s="2139">
        <f t="shared" si="24"/>
        <v>0</v>
      </c>
      <c r="K85" s="2139">
        <f t="shared" si="25"/>
        <v>0</v>
      </c>
      <c r="L85" s="2139">
        <v>0</v>
      </c>
      <c r="M85" s="2139">
        <f t="shared" si="26"/>
        <v>0</v>
      </c>
      <c r="N85" s="2139">
        <f t="shared" si="26"/>
        <v>0</v>
      </c>
      <c r="AE85" s="1820"/>
      <c r="AF85" s="1820"/>
      <c r="AG85" s="1820"/>
      <c r="AH85" s="1820"/>
      <c r="AI85" s="1820"/>
      <c r="AJ85" s="1820"/>
    </row>
    <row r="86" spans="1:36" s="1821" customFormat="1" ht="14.25">
      <c r="A86" s="2013" t="s">
        <v>1246</v>
      </c>
      <c r="B86" s="2014">
        <f>估价对象房地状况!G22</f>
        <v>0</v>
      </c>
      <c r="C86" s="2021"/>
      <c r="D86" s="2022">
        <f t="shared" si="22"/>
        <v>0</v>
      </c>
      <c r="E86" s="2027"/>
      <c r="F86" s="2024"/>
      <c r="G86" s="2025"/>
      <c r="H86" s="2026" t="str">
        <f t="shared" si="23"/>
        <v>——</v>
      </c>
      <c r="I86" s="2138">
        <v>0.05</v>
      </c>
      <c r="J86" s="2139">
        <f t="shared" si="24"/>
        <v>0</v>
      </c>
      <c r="K86" s="2139">
        <f t="shared" si="25"/>
        <v>0</v>
      </c>
      <c r="L86" s="2139">
        <v>0</v>
      </c>
      <c r="M86" s="2139">
        <f t="shared" si="26"/>
        <v>0</v>
      </c>
      <c r="N86" s="2139">
        <f t="shared" si="26"/>
        <v>0</v>
      </c>
      <c r="AE86" s="1820"/>
      <c r="AF86" s="1820"/>
      <c r="AG86" s="1820"/>
      <c r="AH86" s="1820"/>
      <c r="AI86" s="1820"/>
      <c r="AJ86" s="1820"/>
    </row>
    <row r="87" spans="1:36" s="1821" customFormat="1" ht="24">
      <c r="A87" s="2013" t="s">
        <v>1243</v>
      </c>
      <c r="B87" s="2032" t="str">
        <f>估价对象房地状况!G19</f>
        <v>估价对象所在区域公共配套设施齐备情况</v>
      </c>
      <c r="C87" s="2021"/>
      <c r="D87" s="2022">
        <f t="shared" si="22"/>
        <v>0</v>
      </c>
      <c r="E87" s="2027"/>
      <c r="F87" s="2024"/>
      <c r="G87" s="2025"/>
      <c r="H87" s="2026" t="str">
        <f t="shared" si="23"/>
        <v>——</v>
      </c>
      <c r="I87" s="2138">
        <v>0.06</v>
      </c>
      <c r="J87" s="2139">
        <f t="shared" si="24"/>
        <v>0</v>
      </c>
      <c r="K87" s="2139">
        <f t="shared" si="25"/>
        <v>0</v>
      </c>
      <c r="L87" s="2139">
        <v>0</v>
      </c>
      <c r="M87" s="2139">
        <f t="shared" si="26"/>
        <v>0</v>
      </c>
      <c r="N87" s="2139">
        <f t="shared" si="26"/>
        <v>0</v>
      </c>
      <c r="AE87" s="1820"/>
      <c r="AF87" s="1820"/>
      <c r="AG87" s="1820"/>
      <c r="AH87" s="1820"/>
      <c r="AI87" s="1820"/>
      <c r="AJ87" s="1820"/>
    </row>
    <row r="88" spans="1:36" s="1821" customFormat="1" ht="24">
      <c r="A88" s="2013" t="s">
        <v>1244</v>
      </c>
      <c r="B88" s="2032" t="str">
        <f>估价对象房地状况!G20</f>
        <v>估价对象所在区域基础设施水平</v>
      </c>
      <c r="C88" s="2021"/>
      <c r="D88" s="2022">
        <f t="shared" si="22"/>
        <v>0</v>
      </c>
      <c r="E88" s="2027"/>
      <c r="F88" s="2024"/>
      <c r="G88" s="2025"/>
      <c r="H88" s="2026" t="str">
        <f t="shared" si="23"/>
        <v>——</v>
      </c>
      <c r="I88" s="2138">
        <v>0.12</v>
      </c>
      <c r="J88" s="2139">
        <f t="shared" si="24"/>
        <v>0</v>
      </c>
      <c r="K88" s="2139">
        <f t="shared" si="25"/>
        <v>0</v>
      </c>
      <c r="L88" s="2139">
        <v>0</v>
      </c>
      <c r="M88" s="2139">
        <f t="shared" si="26"/>
        <v>0</v>
      </c>
      <c r="N88" s="2139">
        <f t="shared" si="26"/>
        <v>0</v>
      </c>
      <c r="AE88" s="1820"/>
      <c r="AF88" s="1820"/>
      <c r="AG88" s="1820"/>
      <c r="AH88" s="1820"/>
      <c r="AI88" s="1820"/>
      <c r="AJ88" s="1820"/>
    </row>
    <row r="89" spans="1:36" s="1821" customFormat="1" ht="24">
      <c r="A89" s="2013" t="s">
        <v>1241</v>
      </c>
      <c r="B89" s="2030" t="s">
        <v>1242</v>
      </c>
      <c r="C89" s="2021"/>
      <c r="D89" s="2022">
        <f t="shared" si="22"/>
        <v>0</v>
      </c>
      <c r="E89" s="2027"/>
      <c r="F89" s="2024"/>
      <c r="G89" s="2025"/>
      <c r="H89" s="2026" t="str">
        <f t="shared" si="23"/>
        <v>——</v>
      </c>
      <c r="I89" s="2138">
        <v>0.06</v>
      </c>
      <c r="J89" s="2139">
        <f t="shared" si="24"/>
        <v>0</v>
      </c>
      <c r="K89" s="2139">
        <f t="shared" si="25"/>
        <v>0</v>
      </c>
      <c r="L89" s="2139">
        <v>0</v>
      </c>
      <c r="M89" s="2139">
        <f t="shared" si="26"/>
        <v>0</v>
      </c>
      <c r="N89" s="2139">
        <f t="shared" si="26"/>
        <v>0</v>
      </c>
      <c r="AE89" s="1820"/>
      <c r="AF89" s="1820"/>
      <c r="AG89" s="1820"/>
      <c r="AH89" s="1820"/>
      <c r="AI89" s="1820"/>
      <c r="AJ89" s="1820"/>
    </row>
    <row r="90" spans="1:36" s="1821" customFormat="1" ht="36">
      <c r="A90" s="2033" t="s">
        <v>698</v>
      </c>
      <c r="B90" s="2169" t="str">
        <f>估价对象房地状况!G18</f>
        <v>该园区内是否有污染型企业，绿化情况，卫生条件，整体环境状况判断</v>
      </c>
      <c r="C90" s="2021"/>
      <c r="D90" s="2022">
        <f t="shared" si="22"/>
        <v>0</v>
      </c>
      <c r="E90" s="2035"/>
      <c r="F90" s="2024"/>
      <c r="G90" s="2025"/>
      <c r="H90" s="2026" t="str">
        <f t="shared" si="23"/>
        <v>——</v>
      </c>
      <c r="I90" s="2140">
        <v>0.05</v>
      </c>
      <c r="J90" s="2139">
        <f t="shared" si="24"/>
        <v>0</v>
      </c>
      <c r="K90" s="2139">
        <f t="shared" si="25"/>
        <v>0</v>
      </c>
      <c r="L90" s="2139">
        <v>0</v>
      </c>
      <c r="M90" s="2139">
        <f t="shared" si="26"/>
        <v>0</v>
      </c>
      <c r="N90" s="2139">
        <f t="shared" si="26"/>
        <v>0</v>
      </c>
      <c r="AE90" s="1820"/>
      <c r="AF90" s="1820"/>
      <c r="AG90" s="1820"/>
      <c r="AH90" s="1820"/>
      <c r="AI90" s="1820"/>
      <c r="AJ90" s="1820"/>
    </row>
    <row r="91" spans="1:36" s="1821" customFormat="1" ht="15">
      <c r="A91" s="2170" t="s">
        <v>297</v>
      </c>
      <c r="B91" s="2008">
        <f>1+E93</f>
        <v>1</v>
      </c>
      <c r="C91" s="2171"/>
      <c r="D91" s="2171"/>
      <c r="E91" s="2172"/>
      <c r="F91" s="2024"/>
      <c r="G91" s="2173"/>
      <c r="H91" s="2174"/>
      <c r="I91" s="2209"/>
      <c r="J91" s="2210"/>
      <c r="K91" s="2210"/>
      <c r="L91" s="2210"/>
      <c r="M91" s="2210"/>
      <c r="N91" s="2210"/>
      <c r="AE91" s="1820"/>
      <c r="AF91" s="1820"/>
      <c r="AG91" s="1820"/>
      <c r="AH91" s="1820"/>
      <c r="AI91" s="1820"/>
      <c r="AJ91" s="1820"/>
    </row>
    <row r="92" spans="1:36" s="1821" customFormat="1" ht="24">
      <c r="A92" s="2175" t="s">
        <v>1248</v>
      </c>
      <c r="B92" s="2175"/>
      <c r="C92" s="2175" t="s">
        <v>1249</v>
      </c>
      <c r="D92" s="2175" t="s">
        <v>1250</v>
      </c>
      <c r="E92" s="2176" t="s">
        <v>1251</v>
      </c>
      <c r="F92" s="2177" t="s">
        <v>1232</v>
      </c>
      <c r="G92" s="2016" t="s">
        <v>1233</v>
      </c>
      <c r="H92" s="2019" t="s">
        <v>1234</v>
      </c>
      <c r="I92" s="2016" t="s">
        <v>1235</v>
      </c>
      <c r="J92" s="2137" t="s">
        <v>248</v>
      </c>
      <c r="K92" s="2137" t="s">
        <v>260</v>
      </c>
      <c r="L92" s="2137" t="s">
        <v>270</v>
      </c>
      <c r="M92" s="2137" t="s">
        <v>280</v>
      </c>
      <c r="N92" s="2137" t="s">
        <v>287</v>
      </c>
      <c r="AE92" s="1820"/>
      <c r="AF92" s="1820"/>
      <c r="AG92" s="1820"/>
      <c r="AH92" s="1820"/>
      <c r="AI92" s="1820"/>
      <c r="AJ92" s="1820"/>
    </row>
    <row r="93" spans="1:36" s="1821" customFormat="1" ht="24">
      <c r="A93" s="2178" t="s">
        <v>1252</v>
      </c>
      <c r="B93" s="2179"/>
      <c r="C93" s="2021"/>
      <c r="D93" s="2022">
        <f>SUMIF($J$92:$N$92,C93,J93:N93)</f>
        <v>0</v>
      </c>
      <c r="E93" s="2180">
        <f>ROUND(SUM(D93:D101),4)</f>
        <v>0</v>
      </c>
      <c r="F93" s="2024" t="str">
        <f>IF(E2="公共服务",SUMIF(L1:L12,G2,N1:N12),"——")</f>
        <v>——</v>
      </c>
      <c r="G93" s="2166"/>
      <c r="H93" s="2026" t="str">
        <f>IFERROR(ROUNDDOWN($F$93*I93/2,4),"——")</f>
        <v>——</v>
      </c>
      <c r="I93" s="2138">
        <v>0.25</v>
      </c>
      <c r="J93" s="2211">
        <f>K93+$G93</f>
        <v>0</v>
      </c>
      <c r="K93" s="2211">
        <f t="shared" ref="K93:K101" si="27">$L93+$G93</f>
        <v>0</v>
      </c>
      <c r="L93" s="2211">
        <v>0</v>
      </c>
      <c r="M93" s="2211">
        <f t="shared" ref="M93:N93" si="28">L93-$G93</f>
        <v>0</v>
      </c>
      <c r="N93" s="2211">
        <f t="shared" si="28"/>
        <v>0</v>
      </c>
      <c r="AE93" s="1820"/>
      <c r="AF93" s="1820"/>
      <c r="AG93" s="1820"/>
      <c r="AH93" s="1820"/>
      <c r="AI93" s="1820"/>
      <c r="AJ93" s="1820"/>
    </row>
    <row r="94" spans="1:36" s="1821" customFormat="1" ht="36">
      <c r="A94" s="2175" t="s">
        <v>1253</v>
      </c>
      <c r="B94" s="2014" t="str">
        <f>估价对象房地状况!G16</f>
        <v>估价对象周边道路状况、公共交通通达情况、停车便捷程度，综合评价交通便捷度较好</v>
      </c>
      <c r="C94" s="2021"/>
      <c r="D94" s="2022">
        <f t="shared" ref="D94:D101" si="29">SUMIF($J$92:$N$92,C94,J94:N94)</f>
        <v>0</v>
      </c>
      <c r="E94" s="2172"/>
      <c r="F94" s="2024"/>
      <c r="G94" s="2166"/>
      <c r="H94" s="2026" t="str">
        <f t="shared" ref="H94:H101" si="30">IFERROR(ROUNDDOWN($F$93*I94/2,4),"——")</f>
        <v>——</v>
      </c>
      <c r="I94" s="2138">
        <v>0.26</v>
      </c>
      <c r="J94" s="2211">
        <f>K94+$G94</f>
        <v>0</v>
      </c>
      <c r="K94" s="2211">
        <f t="shared" si="27"/>
        <v>0</v>
      </c>
      <c r="L94" s="2211">
        <v>0</v>
      </c>
      <c r="M94" s="2211">
        <f t="shared" ref="M94:M101" si="31">L94-$G94</f>
        <v>0</v>
      </c>
      <c r="N94" s="2211">
        <f t="shared" ref="N94:N101" si="32">M94-$G94</f>
        <v>0</v>
      </c>
      <c r="AE94" s="1820"/>
      <c r="AF94" s="1820"/>
      <c r="AG94" s="1820"/>
      <c r="AH94" s="1820"/>
      <c r="AI94" s="1820"/>
      <c r="AJ94" s="1820"/>
    </row>
    <row r="95" spans="1:36" s="1821" customFormat="1" ht="36">
      <c r="A95" s="2178" t="s">
        <v>1237</v>
      </c>
      <c r="B95" s="2014">
        <f>估价对象房地状况!G17</f>
        <v>0</v>
      </c>
      <c r="C95" s="2021"/>
      <c r="D95" s="2022">
        <f t="shared" si="29"/>
        <v>0</v>
      </c>
      <c r="E95" s="2172"/>
      <c r="F95" s="2024"/>
      <c r="G95" s="2166"/>
      <c r="H95" s="2026" t="str">
        <f t="shared" si="30"/>
        <v>——</v>
      </c>
      <c r="I95" s="2138">
        <v>0.11</v>
      </c>
      <c r="J95" s="2211">
        <f t="shared" ref="J95:J101" si="33">K95+$G95</f>
        <v>0</v>
      </c>
      <c r="K95" s="2211">
        <f t="shared" si="27"/>
        <v>0</v>
      </c>
      <c r="L95" s="2211">
        <v>0</v>
      </c>
      <c r="M95" s="2211">
        <f t="shared" si="31"/>
        <v>0</v>
      </c>
      <c r="N95" s="2211">
        <f t="shared" si="32"/>
        <v>0</v>
      </c>
      <c r="AE95" s="1820"/>
      <c r="AF95" s="1820"/>
      <c r="AG95" s="1820"/>
      <c r="AH95" s="1820"/>
      <c r="AI95" s="1820"/>
      <c r="AJ95" s="1820"/>
    </row>
    <row r="96" spans="1:36" s="1821" customFormat="1" ht="36.75">
      <c r="A96" s="2175" t="s">
        <v>1254</v>
      </c>
      <c r="B96" s="2181" t="s">
        <v>1255</v>
      </c>
      <c r="C96" s="2021"/>
      <c r="D96" s="2022">
        <f t="shared" si="29"/>
        <v>0</v>
      </c>
      <c r="E96" s="2172"/>
      <c r="F96" s="2024"/>
      <c r="G96" s="2166"/>
      <c r="H96" s="2026" t="str">
        <f t="shared" si="30"/>
        <v>——</v>
      </c>
      <c r="I96" s="2138">
        <v>0.05</v>
      </c>
      <c r="J96" s="2211">
        <f t="shared" si="33"/>
        <v>0</v>
      </c>
      <c r="K96" s="2211">
        <f t="shared" si="27"/>
        <v>0</v>
      </c>
      <c r="L96" s="2211">
        <v>0</v>
      </c>
      <c r="M96" s="2211">
        <f t="shared" si="31"/>
        <v>0</v>
      </c>
      <c r="N96" s="2211">
        <f t="shared" si="32"/>
        <v>0</v>
      </c>
      <c r="AE96" s="1820"/>
      <c r="AF96" s="1820"/>
      <c r="AG96" s="1820"/>
      <c r="AH96" s="1820"/>
      <c r="AI96" s="1820"/>
      <c r="AJ96" s="1820"/>
    </row>
    <row r="97" spans="1:36" s="1821" customFormat="1" ht="24">
      <c r="A97" s="2175" t="s">
        <v>1256</v>
      </c>
      <c r="B97" s="2014">
        <f>估价对象房地状况!G22</f>
        <v>0</v>
      </c>
      <c r="C97" s="2021"/>
      <c r="D97" s="2022">
        <f t="shared" si="29"/>
        <v>0</v>
      </c>
      <c r="E97" s="2172"/>
      <c r="F97" s="2024"/>
      <c r="G97" s="2166"/>
      <c r="H97" s="2026" t="str">
        <f t="shared" si="30"/>
        <v>——</v>
      </c>
      <c r="I97" s="2138">
        <v>0.05</v>
      </c>
      <c r="J97" s="2211">
        <f t="shared" si="33"/>
        <v>0</v>
      </c>
      <c r="K97" s="2211">
        <f t="shared" si="27"/>
        <v>0</v>
      </c>
      <c r="L97" s="2211">
        <v>0</v>
      </c>
      <c r="M97" s="2211">
        <f t="shared" si="31"/>
        <v>0</v>
      </c>
      <c r="N97" s="2211">
        <f t="shared" si="32"/>
        <v>0</v>
      </c>
      <c r="AE97" s="1820"/>
      <c r="AF97" s="1820"/>
      <c r="AG97" s="1820"/>
      <c r="AH97" s="1820"/>
      <c r="AI97" s="1820"/>
      <c r="AJ97" s="1820"/>
    </row>
    <row r="98" spans="1:36" s="1821" customFormat="1" ht="24">
      <c r="A98" s="2175" t="s">
        <v>1257</v>
      </c>
      <c r="B98" s="2029" t="s">
        <v>1242</v>
      </c>
      <c r="C98" s="2021"/>
      <c r="D98" s="2022">
        <f t="shared" si="29"/>
        <v>0</v>
      </c>
      <c r="E98" s="2172"/>
      <c r="F98" s="2024"/>
      <c r="G98" s="2166"/>
      <c r="H98" s="2026" t="str">
        <f t="shared" si="30"/>
        <v>——</v>
      </c>
      <c r="I98" s="2138">
        <v>0.06</v>
      </c>
      <c r="J98" s="2211">
        <f t="shared" si="33"/>
        <v>0</v>
      </c>
      <c r="K98" s="2211">
        <f t="shared" si="27"/>
        <v>0</v>
      </c>
      <c r="L98" s="2211">
        <v>0</v>
      </c>
      <c r="M98" s="2211">
        <f t="shared" si="31"/>
        <v>0</v>
      </c>
      <c r="N98" s="2211">
        <f t="shared" si="32"/>
        <v>0</v>
      </c>
      <c r="AE98" s="1820"/>
      <c r="AF98" s="1820"/>
      <c r="AG98" s="1820"/>
      <c r="AH98" s="1820"/>
      <c r="AI98" s="1820"/>
      <c r="AJ98" s="1820"/>
    </row>
    <row r="99" spans="1:36" s="1821" customFormat="1" ht="24">
      <c r="A99" s="2175" t="s">
        <v>1258</v>
      </c>
      <c r="B99" s="2014" t="str">
        <f>估价对象房地状况!C21</f>
        <v>估价对象所在区域公共配套设施齐备情况较差</v>
      </c>
      <c r="C99" s="2021"/>
      <c r="D99" s="2022">
        <f t="shared" si="29"/>
        <v>0</v>
      </c>
      <c r="E99" s="2172"/>
      <c r="F99" s="2024"/>
      <c r="G99" s="2166"/>
      <c r="H99" s="2026" t="str">
        <f t="shared" si="30"/>
        <v>——</v>
      </c>
      <c r="I99" s="2138">
        <v>0.06</v>
      </c>
      <c r="J99" s="2211">
        <f t="shared" si="33"/>
        <v>0</v>
      </c>
      <c r="K99" s="2211">
        <f t="shared" si="27"/>
        <v>0</v>
      </c>
      <c r="L99" s="2211">
        <v>0</v>
      </c>
      <c r="M99" s="2211">
        <f t="shared" si="31"/>
        <v>0</v>
      </c>
      <c r="N99" s="2211">
        <f t="shared" si="32"/>
        <v>0</v>
      </c>
      <c r="AE99" s="1820"/>
      <c r="AF99" s="1820"/>
      <c r="AG99" s="1820"/>
      <c r="AH99" s="1820"/>
      <c r="AI99" s="1820"/>
      <c r="AJ99" s="1820"/>
    </row>
    <row r="100" spans="1:36" s="1821" customFormat="1" ht="24">
      <c r="A100" s="2175" t="s">
        <v>1259</v>
      </c>
      <c r="B100" s="2014" t="str">
        <f>估价对象房地状况!C22</f>
        <v>估价对象所在区域基础设施水平</v>
      </c>
      <c r="C100" s="2021"/>
      <c r="D100" s="2022">
        <f t="shared" si="29"/>
        <v>0</v>
      </c>
      <c r="E100" s="2172"/>
      <c r="F100" s="2024"/>
      <c r="G100" s="2166"/>
      <c r="H100" s="2026" t="str">
        <f t="shared" si="30"/>
        <v>——</v>
      </c>
      <c r="I100" s="2138">
        <v>0.09</v>
      </c>
      <c r="J100" s="2211">
        <f t="shared" si="33"/>
        <v>0</v>
      </c>
      <c r="K100" s="2211">
        <f t="shared" si="27"/>
        <v>0</v>
      </c>
      <c r="L100" s="2211">
        <v>0</v>
      </c>
      <c r="M100" s="2211">
        <f t="shared" si="31"/>
        <v>0</v>
      </c>
      <c r="N100" s="2211">
        <f t="shared" si="32"/>
        <v>0</v>
      </c>
      <c r="AE100" s="1820"/>
      <c r="AF100" s="1820"/>
      <c r="AG100" s="1820"/>
      <c r="AH100" s="1820"/>
      <c r="AI100" s="1820"/>
      <c r="AJ100" s="1820"/>
    </row>
    <row r="101" spans="1:36" s="1821" customFormat="1" ht="24">
      <c r="A101" s="2175" t="s">
        <v>1260</v>
      </c>
      <c r="B101" s="2020" t="str">
        <f>估价对象房地状况!C20</f>
        <v>区域自然环境：；人文环境；综合评价环境状况一般</v>
      </c>
      <c r="C101" s="2021"/>
      <c r="D101" s="2022">
        <f t="shared" si="29"/>
        <v>0</v>
      </c>
      <c r="E101" s="2172"/>
      <c r="F101" s="2024"/>
      <c r="G101" s="2166"/>
      <c r="H101" s="2026" t="str">
        <f t="shared" si="30"/>
        <v>——</v>
      </c>
      <c r="I101" s="2140">
        <v>7.0000000000000007E-2</v>
      </c>
      <c r="J101" s="2211">
        <f t="shared" si="33"/>
        <v>0</v>
      </c>
      <c r="K101" s="2211">
        <f t="shared" si="27"/>
        <v>0</v>
      </c>
      <c r="L101" s="2211">
        <v>0</v>
      </c>
      <c r="M101" s="2211">
        <f t="shared" si="31"/>
        <v>0</v>
      </c>
      <c r="N101" s="2211">
        <f t="shared" si="32"/>
        <v>0</v>
      </c>
      <c r="AE101" s="1820"/>
      <c r="AF101" s="1820"/>
      <c r="AG101" s="1820"/>
      <c r="AH101" s="1820"/>
      <c r="AI101" s="1820"/>
      <c r="AJ101" s="1820"/>
    </row>
    <row r="102" spans="1:36" s="1821" customFormat="1" ht="14.25">
      <c r="A102" s="2182"/>
      <c r="B102" s="2183"/>
      <c r="C102" s="2184"/>
      <c r="D102" s="2171"/>
      <c r="E102" s="2172"/>
      <c r="F102" s="2024"/>
      <c r="G102" s="2185"/>
      <c r="H102" s="2174"/>
      <c r="I102" s="2212"/>
      <c r="J102" s="2213"/>
      <c r="K102" s="2213"/>
      <c r="L102" s="2213"/>
      <c r="M102" s="2213"/>
      <c r="N102" s="2213"/>
      <c r="AE102" s="1820"/>
      <c r="AF102" s="1820"/>
      <c r="AG102" s="1820"/>
      <c r="AH102" s="1820"/>
      <c r="AI102" s="1820"/>
      <c r="AJ102" s="1820"/>
    </row>
    <row r="103" spans="1:36" s="1821" customFormat="1">
      <c r="K103" s="1820"/>
      <c r="AD103" s="1820"/>
      <c r="AE103" s="1820"/>
      <c r="AF103" s="1820"/>
      <c r="AG103" s="1820"/>
      <c r="AH103" s="1820"/>
      <c r="AI103" s="1820"/>
    </row>
    <row r="104" spans="1:36">
      <c r="A104" s="3902" t="s">
        <v>1261</v>
      </c>
      <c r="B104" s="3902"/>
      <c r="C104" s="3902"/>
      <c r="D104" s="3902"/>
      <c r="E104" s="3902"/>
      <c r="F104" s="3902"/>
      <c r="G104" s="3902"/>
      <c r="H104" s="3902"/>
      <c r="I104" s="3902"/>
      <c r="J104" s="3902"/>
      <c r="K104" s="1817"/>
      <c r="L104" s="1817"/>
      <c r="M104" s="1817"/>
      <c r="N104" s="1817"/>
    </row>
    <row r="105" spans="1:36">
      <c r="A105" s="3908" t="s">
        <v>352</v>
      </c>
      <c r="B105" s="3908" t="s">
        <v>1262</v>
      </c>
      <c r="C105" s="2186" t="s">
        <v>1096</v>
      </c>
      <c r="D105" s="2187"/>
      <c r="E105" s="2187"/>
      <c r="F105" s="2187"/>
      <c r="G105" s="2187"/>
      <c r="H105" s="2187"/>
      <c r="I105" s="2187"/>
      <c r="J105" s="2214"/>
      <c r="K105" s="1781"/>
      <c r="L105" s="1781"/>
      <c r="M105" s="1781"/>
      <c r="N105" s="1781"/>
    </row>
    <row r="106" spans="1:36">
      <c r="A106" s="3908"/>
      <c r="B106" s="3908"/>
      <c r="C106" s="1813" t="s">
        <v>238</v>
      </c>
      <c r="D106" s="1813" t="s">
        <v>251</v>
      </c>
      <c r="E106" s="1813" t="s">
        <v>263</v>
      </c>
      <c r="F106" s="1813" t="s">
        <v>273</v>
      </c>
      <c r="G106" s="1813" t="s">
        <v>282</v>
      </c>
      <c r="H106" s="1813" t="s">
        <v>290</v>
      </c>
      <c r="I106" s="1813" t="s">
        <v>295</v>
      </c>
      <c r="J106" s="1813" t="s">
        <v>301</v>
      </c>
      <c r="K106" s="1813" t="s">
        <v>305</v>
      </c>
      <c r="L106" s="1813" t="s">
        <v>309</v>
      </c>
      <c r="M106" s="1813" t="s">
        <v>313</v>
      </c>
      <c r="N106" s="1813" t="s">
        <v>317</v>
      </c>
    </row>
    <row r="107" spans="1:36">
      <c r="A107" s="3909" t="s">
        <v>1263</v>
      </c>
      <c r="B107" s="2188">
        <v>1</v>
      </c>
      <c r="C107" s="2189">
        <v>1.5206</v>
      </c>
      <c r="D107" s="2189">
        <v>1.5206</v>
      </c>
      <c r="E107" s="2189">
        <v>1.5019</v>
      </c>
      <c r="F107" s="2189">
        <v>1.5019</v>
      </c>
      <c r="G107" s="2189">
        <v>1.5019</v>
      </c>
      <c r="H107" s="2189">
        <v>1.5019</v>
      </c>
      <c r="I107" s="2189">
        <v>1.5019</v>
      </c>
      <c r="J107" s="2189">
        <v>1.5418000000000001</v>
      </c>
      <c r="K107" s="2189">
        <v>1.5418000000000001</v>
      </c>
      <c r="L107" s="2189">
        <v>1.5418000000000001</v>
      </c>
      <c r="M107" s="2189">
        <v>1.5418000000000001</v>
      </c>
      <c r="N107" s="2189">
        <v>1.5418000000000001</v>
      </c>
    </row>
    <row r="108" spans="1:36">
      <c r="A108" s="3910"/>
      <c r="B108" s="2188">
        <v>2</v>
      </c>
      <c r="C108" s="2189">
        <v>1.2072000000000001</v>
      </c>
      <c r="D108" s="2189">
        <v>1.2072000000000001</v>
      </c>
      <c r="E108" s="2189">
        <v>1.1838</v>
      </c>
      <c r="F108" s="2189">
        <v>1.1838</v>
      </c>
      <c r="G108" s="2189">
        <v>1.1838</v>
      </c>
      <c r="H108" s="2189">
        <v>1.1838</v>
      </c>
      <c r="I108" s="2189">
        <v>1.1838</v>
      </c>
      <c r="J108" s="2189">
        <v>1.1883999999999999</v>
      </c>
      <c r="K108" s="2189">
        <v>1.1883999999999999</v>
      </c>
      <c r="L108" s="2189">
        <v>1.1883999999999999</v>
      </c>
      <c r="M108" s="2189">
        <v>1.1883999999999999</v>
      </c>
      <c r="N108" s="2189">
        <v>1.1883999999999999</v>
      </c>
    </row>
    <row r="109" spans="1:36">
      <c r="A109" s="3910"/>
      <c r="B109" s="2188">
        <v>3</v>
      </c>
      <c r="C109" s="2189">
        <v>1.0430999999999999</v>
      </c>
      <c r="D109" s="2189">
        <v>1.0430999999999999</v>
      </c>
      <c r="E109" s="2189">
        <v>1.0004999999999999</v>
      </c>
      <c r="F109" s="2189">
        <v>1.0004999999999999</v>
      </c>
      <c r="G109" s="2189">
        <v>1.0004999999999999</v>
      </c>
      <c r="H109" s="2189">
        <v>1.0004999999999999</v>
      </c>
      <c r="I109" s="2189">
        <v>1.0004999999999999</v>
      </c>
      <c r="J109" s="2189">
        <v>0.96940000000000004</v>
      </c>
      <c r="K109" s="2189">
        <v>0.96940000000000004</v>
      </c>
      <c r="L109" s="2189">
        <v>0.96940000000000004</v>
      </c>
      <c r="M109" s="2189">
        <v>0.96940000000000004</v>
      </c>
      <c r="N109" s="2189">
        <v>0.96940000000000004</v>
      </c>
    </row>
    <row r="110" spans="1:36">
      <c r="A110" s="3910"/>
      <c r="B110" s="2188">
        <v>4</v>
      </c>
      <c r="C110" s="2189">
        <v>0.94389999999999996</v>
      </c>
      <c r="D110" s="2189">
        <v>0.94389999999999996</v>
      </c>
      <c r="E110" s="2189">
        <v>0.88239999999999996</v>
      </c>
      <c r="F110" s="2189">
        <v>0.88239999999999996</v>
      </c>
      <c r="G110" s="2189">
        <v>0.88239999999999996</v>
      </c>
      <c r="H110" s="2189">
        <v>0.88239999999999996</v>
      </c>
      <c r="I110" s="2189">
        <v>0.88239999999999996</v>
      </c>
      <c r="J110" s="2189">
        <v>0.82299999999999995</v>
      </c>
      <c r="K110" s="2189">
        <v>0.82299999999999995</v>
      </c>
      <c r="L110" s="2189">
        <v>0.82299999999999995</v>
      </c>
      <c r="M110" s="2189">
        <v>0.82299999999999995</v>
      </c>
      <c r="N110" s="2189">
        <v>0.82299999999999995</v>
      </c>
    </row>
    <row r="111" spans="1:36">
      <c r="A111" s="3910"/>
      <c r="B111" s="2188">
        <v>5</v>
      </c>
      <c r="C111" s="2189">
        <v>0.89959999999999996</v>
      </c>
      <c r="D111" s="2189">
        <v>0.89959999999999996</v>
      </c>
      <c r="E111" s="2189">
        <v>0.84799999999999998</v>
      </c>
      <c r="F111" s="2189">
        <v>0.84799999999999998</v>
      </c>
      <c r="G111" s="2189">
        <v>0.84799999999999998</v>
      </c>
      <c r="H111" s="2189">
        <v>0.84799999999999998</v>
      </c>
      <c r="I111" s="2189">
        <v>0.84799999999999998</v>
      </c>
      <c r="J111" s="2189">
        <v>0.74980000000000002</v>
      </c>
      <c r="K111" s="2189">
        <v>0.74980000000000002</v>
      </c>
      <c r="L111" s="2189">
        <v>0.74980000000000002</v>
      </c>
      <c r="M111" s="2189">
        <v>0.74980000000000002</v>
      </c>
      <c r="N111" s="2189">
        <v>0.74980000000000002</v>
      </c>
    </row>
    <row r="112" spans="1:36">
      <c r="A112" s="3910"/>
      <c r="B112" s="2188" t="s">
        <v>1264</v>
      </c>
      <c r="C112" s="2190">
        <f>$I$3</f>
        <v>0</v>
      </c>
      <c r="D112" s="2190">
        <f t="shared" ref="D112:N112" si="34">$I$3</f>
        <v>0</v>
      </c>
      <c r="E112" s="2190">
        <f t="shared" si="34"/>
        <v>0</v>
      </c>
      <c r="F112" s="2190">
        <f t="shared" si="34"/>
        <v>0</v>
      </c>
      <c r="G112" s="2190">
        <f t="shared" si="34"/>
        <v>0</v>
      </c>
      <c r="H112" s="2190">
        <f t="shared" si="34"/>
        <v>0</v>
      </c>
      <c r="I112" s="2190">
        <f t="shared" si="34"/>
        <v>0</v>
      </c>
      <c r="J112" s="2190">
        <f t="shared" si="34"/>
        <v>0</v>
      </c>
      <c r="K112" s="2190">
        <f t="shared" si="34"/>
        <v>0</v>
      </c>
      <c r="L112" s="2190">
        <f t="shared" si="34"/>
        <v>0</v>
      </c>
      <c r="M112" s="2190">
        <f t="shared" si="34"/>
        <v>0</v>
      </c>
      <c r="N112" s="2190">
        <f t="shared" si="34"/>
        <v>0</v>
      </c>
    </row>
    <row r="113" spans="1:14">
      <c r="A113" s="3911"/>
      <c r="B113" s="2188">
        <v>6</v>
      </c>
      <c r="C113" s="2191">
        <f>(-0.5556*(C112^2)-0.2719*C112+8944)*(10^(-4))</f>
        <v>0.89439999999999997</v>
      </c>
      <c r="D113" s="2191">
        <f>(-0.5556*(D112^2)-0.2719*D112+8944)*(10^(-4))</f>
        <v>0.89439999999999997</v>
      </c>
      <c r="E113" s="2191">
        <f>(-0.7912*(E112^2)-11.3794*E112+8482)*(10^(-4))</f>
        <v>0.84819999999999995</v>
      </c>
      <c r="F113" s="2191">
        <f>(-0.7912*(F112^2)-11.3794*F112+8482)*(10^(-4))</f>
        <v>0.84819999999999995</v>
      </c>
      <c r="G113" s="2191">
        <f>(-0.7912*(G112^2)-11.3794*G112+8482)*(10^(-4))</f>
        <v>0.84819999999999995</v>
      </c>
      <c r="H113" s="2191">
        <f>(-0.7912*(H112^2)-11.3794*H112+8482)*(10^(-4))</f>
        <v>0.84819999999999995</v>
      </c>
      <c r="I113" s="2191">
        <f>(-0.7912*(I112^2)-11.3794*I112+8482)*(10^(-4))</f>
        <v>0.84819999999999995</v>
      </c>
      <c r="J113" s="2191">
        <f>(-0.989*(J112^2)-63.78*J112+7771)*(10^(-4))</f>
        <v>0.77710000000000001</v>
      </c>
      <c r="K113" s="2191">
        <f>(-0.989*(K112^2)-63.78*K112+7771)*(10^(-4))</f>
        <v>0.77710000000000001</v>
      </c>
      <c r="L113" s="2191">
        <f>(-0.989*(L112^2)-63.78*L112+7771)*(10^(-4))</f>
        <v>0.77710000000000001</v>
      </c>
      <c r="M113" s="2191">
        <f>(-0.989*(M112^2)-63.78*M112+7771)*(10^(-4))</f>
        <v>0.77710000000000001</v>
      </c>
      <c r="N113" s="2191">
        <f>(-0.989*(N112^2)-63.78*N112+7771)*(10^(-4))</f>
        <v>0.77710000000000001</v>
      </c>
    </row>
    <row r="114" spans="1:14">
      <c r="A114" s="3903" t="s">
        <v>1265</v>
      </c>
      <c r="B114" s="3903"/>
      <c r="C114" s="3903"/>
      <c r="D114" s="3903"/>
      <c r="E114" s="3903"/>
      <c r="F114" s="3903"/>
      <c r="G114" s="3903"/>
      <c r="H114" s="3903"/>
      <c r="I114" s="3903"/>
      <c r="J114" s="3903"/>
      <c r="K114" s="2192"/>
      <c r="L114" s="2192"/>
      <c r="M114" s="2192"/>
      <c r="N114" s="2192"/>
    </row>
    <row r="117" spans="1:14" ht="24.75">
      <c r="A117" s="2193" t="s">
        <v>1266</v>
      </c>
      <c r="B117" s="2194">
        <f>G3</f>
        <v>2.2000000000000002</v>
      </c>
      <c r="C117" s="2195" t="s">
        <v>1267</v>
      </c>
      <c r="D117" s="2196" t="e">
        <f>SUMPRODUCT((A118:A122=F116)*(B117:M117=H116)*B118:M122)</f>
        <v>#VALUE!</v>
      </c>
      <c r="E117" s="2197" t="s">
        <v>352</v>
      </c>
      <c r="F117" s="2198">
        <f>E2</f>
        <v>0</v>
      </c>
      <c r="G117" s="2197" t="s">
        <v>215</v>
      </c>
      <c r="H117" s="2198">
        <f>G2</f>
        <v>0</v>
      </c>
      <c r="I117" s="2197"/>
      <c r="J117" s="1665"/>
      <c r="K117" s="1665"/>
      <c r="L117" s="1665"/>
      <c r="M117" s="1665"/>
    </row>
    <row r="118" spans="1:14" ht="12.75">
      <c r="A118" s="2199"/>
      <c r="B118" s="2200" t="s">
        <v>238</v>
      </c>
      <c r="C118" s="2200" t="s">
        <v>251</v>
      </c>
      <c r="D118" s="2200" t="s">
        <v>263</v>
      </c>
      <c r="E118" s="2201" t="s">
        <v>273</v>
      </c>
      <c r="F118" s="2201" t="s">
        <v>282</v>
      </c>
      <c r="G118" s="2201" t="s">
        <v>290</v>
      </c>
      <c r="H118" s="2202" t="s">
        <v>295</v>
      </c>
      <c r="I118" s="2202" t="s">
        <v>301</v>
      </c>
      <c r="J118" s="2215" t="s">
        <v>305</v>
      </c>
      <c r="K118" s="2215" t="s">
        <v>309</v>
      </c>
      <c r="L118" s="2215" t="s">
        <v>313</v>
      </c>
      <c r="M118" s="2216" t="s">
        <v>317</v>
      </c>
    </row>
    <row r="119" spans="1:14" ht="12.75">
      <c r="A119" s="2203" t="s">
        <v>1268</v>
      </c>
      <c r="B119" s="2204">
        <f>ROUND(0.9968-0.011*B117,4)</f>
        <v>0.97260000000000002</v>
      </c>
      <c r="C119" s="2204">
        <f>B119</f>
        <v>0.97260000000000002</v>
      </c>
      <c r="D119" s="2204">
        <f>ROUND(0.949-0.014*B117,4)</f>
        <v>0.91820000000000002</v>
      </c>
      <c r="E119" s="2204">
        <f>D119</f>
        <v>0.91820000000000002</v>
      </c>
      <c r="F119" s="2204">
        <f>E119</f>
        <v>0.91820000000000002</v>
      </c>
      <c r="G119" s="2204">
        <f>F119</f>
        <v>0.91820000000000002</v>
      </c>
      <c r="H119" s="2204">
        <f>G119</f>
        <v>0.91820000000000002</v>
      </c>
      <c r="I119" s="2204">
        <f>ROUND(0.8486-0.018*B117,4)</f>
        <v>0.80900000000000005</v>
      </c>
      <c r="J119" s="2204">
        <f t="shared" ref="J119:M123" si="35">I119</f>
        <v>0.80900000000000005</v>
      </c>
      <c r="K119" s="2204">
        <f t="shared" si="35"/>
        <v>0.80900000000000005</v>
      </c>
      <c r="L119" s="2204">
        <f t="shared" si="35"/>
        <v>0.80900000000000005</v>
      </c>
      <c r="M119" s="2217">
        <f t="shared" si="35"/>
        <v>0.80900000000000005</v>
      </c>
    </row>
    <row r="120" spans="1:14" ht="12.75">
      <c r="A120" s="2203" t="s">
        <v>1269</v>
      </c>
      <c r="B120" s="2204">
        <f>ROUND(0.993-0.0112*B117,4)</f>
        <v>0.96840000000000004</v>
      </c>
      <c r="C120" s="2204">
        <f>B120</f>
        <v>0.96840000000000004</v>
      </c>
      <c r="D120" s="2204">
        <f>ROUND(0.9415-0.0142*B117,4)</f>
        <v>0.9103</v>
      </c>
      <c r="E120" s="2204">
        <f t="shared" ref="E120:H121" si="36">D120</f>
        <v>0.9103</v>
      </c>
      <c r="F120" s="2204">
        <f t="shared" si="36"/>
        <v>0.9103</v>
      </c>
      <c r="G120" s="2204">
        <f t="shared" si="36"/>
        <v>0.9103</v>
      </c>
      <c r="H120" s="2204">
        <f t="shared" si="36"/>
        <v>0.9103</v>
      </c>
      <c r="I120" s="2204">
        <f>ROUND(0.838-0.0182*B117,4)</f>
        <v>0.79800000000000004</v>
      </c>
      <c r="J120" s="2204">
        <f t="shared" si="35"/>
        <v>0.79800000000000004</v>
      </c>
      <c r="K120" s="2204">
        <f t="shared" si="35"/>
        <v>0.79800000000000004</v>
      </c>
      <c r="L120" s="2204">
        <f t="shared" si="35"/>
        <v>0.79800000000000004</v>
      </c>
      <c r="M120" s="2217">
        <f t="shared" si="35"/>
        <v>0.79800000000000004</v>
      </c>
    </row>
    <row r="121" spans="1:14" ht="12.75">
      <c r="A121" s="2203" t="s">
        <v>1270</v>
      </c>
      <c r="B121" s="2204">
        <f>ROUND(0.9448-0.0115*B117,4)</f>
        <v>0.91949999999999998</v>
      </c>
      <c r="C121" s="2204">
        <f>B121</f>
        <v>0.91949999999999998</v>
      </c>
      <c r="D121" s="2204">
        <f>ROUND(0.937-0.0145*B117,4)</f>
        <v>0.90510000000000002</v>
      </c>
      <c r="E121" s="2204">
        <f t="shared" si="36"/>
        <v>0.90510000000000002</v>
      </c>
      <c r="F121" s="2204">
        <f t="shared" si="36"/>
        <v>0.90510000000000002</v>
      </c>
      <c r="G121" s="2204">
        <f t="shared" si="36"/>
        <v>0.90510000000000002</v>
      </c>
      <c r="H121" s="2204">
        <f t="shared" si="36"/>
        <v>0.90510000000000002</v>
      </c>
      <c r="I121" s="2204">
        <f>ROUND(0.7965-0.0185*B117,4)</f>
        <v>0.75580000000000003</v>
      </c>
      <c r="J121" s="2204">
        <f t="shared" si="35"/>
        <v>0.75580000000000003</v>
      </c>
      <c r="K121" s="2204">
        <f t="shared" si="35"/>
        <v>0.75580000000000003</v>
      </c>
      <c r="L121" s="2204">
        <f t="shared" si="35"/>
        <v>0.75580000000000003</v>
      </c>
      <c r="M121" s="2217">
        <f t="shared" si="35"/>
        <v>0.75580000000000003</v>
      </c>
    </row>
    <row r="122" spans="1:14" ht="12.75">
      <c r="A122" s="2205" t="s">
        <v>1271</v>
      </c>
      <c r="B122" s="2206">
        <f>ROUND(0.7836-0.012*B117,4)</f>
        <v>0.75719999999999998</v>
      </c>
      <c r="C122" s="2206">
        <f>B122</f>
        <v>0.75719999999999998</v>
      </c>
      <c r="D122" s="2206">
        <f>ROUND(0.753-0.015*B117,4)</f>
        <v>0.72</v>
      </c>
      <c r="E122" s="2206">
        <f>D122</f>
        <v>0.72</v>
      </c>
      <c r="F122" s="2206">
        <f>E122</f>
        <v>0.72</v>
      </c>
      <c r="G122" s="2206">
        <f>ROUND(0.6612-0.018*B117,4)</f>
        <v>0.62160000000000004</v>
      </c>
      <c r="H122" s="2206">
        <f>G122</f>
        <v>0.62160000000000004</v>
      </c>
      <c r="I122" s="2206">
        <f>ROUND(0.5905-0.019*B117,4)</f>
        <v>0.54869999999999997</v>
      </c>
      <c r="J122" s="2206">
        <f t="shared" si="35"/>
        <v>0.54869999999999997</v>
      </c>
      <c r="K122" s="2206">
        <f t="shared" si="35"/>
        <v>0.54869999999999997</v>
      </c>
      <c r="L122" s="2206">
        <f t="shared" si="35"/>
        <v>0.54869999999999997</v>
      </c>
      <c r="M122" s="2218">
        <f t="shared" si="35"/>
        <v>0.54869999999999997</v>
      </c>
    </row>
    <row r="123" spans="1:14" ht="12.75">
      <c r="A123" s="2207" t="s">
        <v>297</v>
      </c>
      <c r="B123" s="2204">
        <f>ROUND(0.9404-0.0106*B117,4)</f>
        <v>0.91710000000000003</v>
      </c>
      <c r="C123" s="2204">
        <f>B123</f>
        <v>0.91710000000000003</v>
      </c>
      <c r="D123" s="2204">
        <f>ROUND(0.8955-0.0135*B117,4)</f>
        <v>0.86580000000000001</v>
      </c>
      <c r="E123" s="2204">
        <f t="shared" ref="E123:H123" si="37">D123</f>
        <v>0.86580000000000001</v>
      </c>
      <c r="F123" s="2204">
        <f t="shared" si="37"/>
        <v>0.86580000000000001</v>
      </c>
      <c r="G123" s="2204">
        <f t="shared" si="37"/>
        <v>0.86580000000000001</v>
      </c>
      <c r="H123" s="2204">
        <f t="shared" si="37"/>
        <v>0.86580000000000001</v>
      </c>
      <c r="I123" s="2204">
        <f>ROUND(0.7632-0.0166*B117,4)</f>
        <v>0.72670000000000001</v>
      </c>
      <c r="J123" s="2204">
        <f t="shared" si="35"/>
        <v>0.72670000000000001</v>
      </c>
      <c r="K123" s="2204">
        <f t="shared" si="35"/>
        <v>0.72670000000000001</v>
      </c>
      <c r="L123" s="2204">
        <f t="shared" si="35"/>
        <v>0.72670000000000001</v>
      </c>
      <c r="M123" s="2217">
        <f t="shared" si="35"/>
        <v>0.72670000000000001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5"/>
    <col min="2" max="9" width="13.875" style="1747"/>
    <col min="10" max="16384" width="13.875" style="1685"/>
  </cols>
  <sheetData>
    <row r="1" spans="1:13">
      <c r="A1" s="1748" t="s">
        <v>215</v>
      </c>
      <c r="B1" s="1749" t="s">
        <v>238</v>
      </c>
      <c r="C1" s="1749" t="s">
        <v>251</v>
      </c>
      <c r="D1" s="1749" t="s">
        <v>263</v>
      </c>
      <c r="E1" s="1749" t="s">
        <v>273</v>
      </c>
      <c r="F1" s="1749" t="s">
        <v>282</v>
      </c>
      <c r="G1" s="1749" t="s">
        <v>290</v>
      </c>
      <c r="H1" s="1749" t="s">
        <v>295</v>
      </c>
      <c r="I1" s="1749" t="s">
        <v>301</v>
      </c>
      <c r="J1" s="1749" t="s">
        <v>305</v>
      </c>
      <c r="K1" s="1749" t="s">
        <v>309</v>
      </c>
      <c r="L1" s="1749" t="s">
        <v>313</v>
      </c>
      <c r="M1" s="1802" t="s">
        <v>317</v>
      </c>
    </row>
    <row r="2" spans="1:13">
      <c r="A2" s="1750" t="s">
        <v>435</v>
      </c>
      <c r="B2" s="1751">
        <v>3.5</v>
      </c>
      <c r="C2" s="1751">
        <v>3.5</v>
      </c>
      <c r="D2" s="1752">
        <v>2.5</v>
      </c>
      <c r="E2" s="1752">
        <v>2.5</v>
      </c>
      <c r="F2" s="1752">
        <v>2.5</v>
      </c>
      <c r="G2" s="1752">
        <v>2.5</v>
      </c>
      <c r="H2" s="1752">
        <v>2.5</v>
      </c>
      <c r="I2" s="1751">
        <v>2</v>
      </c>
      <c r="J2" s="1751">
        <v>2</v>
      </c>
      <c r="K2" s="1751">
        <v>2</v>
      </c>
      <c r="L2" s="1751">
        <v>2</v>
      </c>
      <c r="M2" s="1803">
        <v>2</v>
      </c>
    </row>
    <row r="3" spans="1:13">
      <c r="A3" s="1753" t="s">
        <v>436</v>
      </c>
      <c r="B3" s="1754">
        <v>3.5</v>
      </c>
      <c r="C3" s="1754">
        <v>3.5</v>
      </c>
      <c r="D3" s="1755">
        <v>2.5</v>
      </c>
      <c r="E3" s="1755">
        <v>2.5</v>
      </c>
      <c r="F3" s="1755">
        <v>2.5</v>
      </c>
      <c r="G3" s="1755">
        <v>2.5</v>
      </c>
      <c r="H3" s="1755">
        <v>2.5</v>
      </c>
      <c r="I3" s="1754">
        <v>2</v>
      </c>
      <c r="J3" s="1754">
        <v>2</v>
      </c>
      <c r="K3" s="1754">
        <v>2</v>
      </c>
      <c r="L3" s="1754">
        <v>2</v>
      </c>
      <c r="M3" s="1804">
        <v>2</v>
      </c>
    </row>
    <row r="4" spans="1:13">
      <c r="A4" s="1753" t="s">
        <v>402</v>
      </c>
      <c r="B4" s="1755">
        <v>2.5</v>
      </c>
      <c r="C4" s="1755">
        <v>2.5</v>
      </c>
      <c r="D4" s="1755">
        <v>2.5</v>
      </c>
      <c r="E4" s="1755">
        <v>2.5</v>
      </c>
      <c r="F4" s="1755">
        <v>2.5</v>
      </c>
      <c r="G4" s="1755">
        <v>2.5</v>
      </c>
      <c r="H4" s="1755">
        <v>2.5</v>
      </c>
      <c r="I4" s="1754">
        <v>1.5</v>
      </c>
      <c r="J4" s="1754">
        <v>1.5</v>
      </c>
      <c r="K4" s="1754">
        <v>1.5</v>
      </c>
      <c r="L4" s="1754">
        <v>1.5</v>
      </c>
      <c r="M4" s="1804">
        <v>1.5</v>
      </c>
    </row>
    <row r="5" spans="1:13">
      <c r="A5" s="1756" t="s">
        <v>164</v>
      </c>
      <c r="B5" s="1754">
        <v>1.5</v>
      </c>
      <c r="C5" s="1754">
        <v>1.5</v>
      </c>
      <c r="D5" s="1754">
        <v>1.5</v>
      </c>
      <c r="E5" s="1754">
        <v>1.5</v>
      </c>
      <c r="F5" s="1754">
        <v>1.5</v>
      </c>
      <c r="G5" s="1754">
        <v>1.2</v>
      </c>
      <c r="H5" s="1754">
        <v>1.2</v>
      </c>
      <c r="I5" s="1754">
        <v>1</v>
      </c>
      <c r="J5" s="1754">
        <v>1</v>
      </c>
      <c r="K5" s="1754">
        <v>1</v>
      </c>
      <c r="L5" s="1754">
        <v>1</v>
      </c>
      <c r="M5" s="1804">
        <v>1</v>
      </c>
    </row>
    <row r="6" spans="1:13">
      <c r="A6" s="1757" t="s">
        <v>1272</v>
      </c>
      <c r="B6" s="1758">
        <v>2.5</v>
      </c>
      <c r="C6" s="1758">
        <v>2.5</v>
      </c>
      <c r="D6" s="1758">
        <v>2</v>
      </c>
      <c r="E6" s="1758">
        <v>2</v>
      </c>
      <c r="F6" s="1758">
        <v>2</v>
      </c>
      <c r="G6" s="1758">
        <v>2</v>
      </c>
      <c r="H6" s="1758">
        <v>2</v>
      </c>
      <c r="I6" s="1805">
        <v>1.5</v>
      </c>
      <c r="J6" s="1805">
        <v>1.5</v>
      </c>
      <c r="K6" s="1805">
        <v>1.5</v>
      </c>
      <c r="L6" s="1805">
        <v>1.5</v>
      </c>
      <c r="M6" s="1806">
        <v>1.5</v>
      </c>
    </row>
    <row r="7" spans="1:13">
      <c r="A7" s="1759" t="s">
        <v>297</v>
      </c>
      <c r="B7" s="1760">
        <v>2.5</v>
      </c>
      <c r="C7" s="1760">
        <v>2.5</v>
      </c>
      <c r="D7" s="1760">
        <v>2</v>
      </c>
      <c r="E7" s="1760">
        <v>2</v>
      </c>
      <c r="F7" s="1760">
        <v>2</v>
      </c>
      <c r="G7" s="1760">
        <v>2</v>
      </c>
      <c r="H7" s="1760">
        <v>2</v>
      </c>
      <c r="I7" s="1807">
        <v>1.5</v>
      </c>
      <c r="J7" s="1807">
        <v>1.5</v>
      </c>
      <c r="K7" s="1807">
        <v>1.5</v>
      </c>
      <c r="L7" s="1807">
        <v>1.5</v>
      </c>
      <c r="M7" s="1808">
        <v>1.5</v>
      </c>
    </row>
    <row r="8" spans="1:13">
      <c r="A8" s="1761" t="s">
        <v>1273</v>
      </c>
      <c r="B8" s="1762">
        <v>80</v>
      </c>
      <c r="C8" s="1762">
        <v>80</v>
      </c>
      <c r="D8" s="1762">
        <v>70</v>
      </c>
      <c r="E8" s="1762">
        <v>70</v>
      </c>
      <c r="F8" s="1762">
        <v>70</v>
      </c>
      <c r="G8" s="1762">
        <v>70</v>
      </c>
      <c r="H8" s="1762">
        <v>70</v>
      </c>
      <c r="I8" s="1762">
        <v>60</v>
      </c>
      <c r="J8" s="1762">
        <v>60</v>
      </c>
      <c r="K8" s="1762">
        <v>60</v>
      </c>
      <c r="L8" s="1762">
        <v>60</v>
      </c>
      <c r="M8" s="1809">
        <v>60</v>
      </c>
    </row>
    <row r="9" spans="1:13">
      <c r="A9" s="1763" t="s">
        <v>1274</v>
      </c>
      <c r="B9" s="1764">
        <v>70</v>
      </c>
      <c r="C9" s="1764">
        <v>70</v>
      </c>
      <c r="D9" s="1764">
        <v>60</v>
      </c>
      <c r="E9" s="1764">
        <v>60</v>
      </c>
      <c r="F9" s="1764">
        <v>60</v>
      </c>
      <c r="G9" s="1764">
        <v>60</v>
      </c>
      <c r="H9" s="1764">
        <v>60</v>
      </c>
      <c r="I9" s="1764">
        <v>50</v>
      </c>
      <c r="J9" s="1764">
        <v>50</v>
      </c>
      <c r="K9" s="1764">
        <v>50</v>
      </c>
      <c r="L9" s="1764">
        <v>50</v>
      </c>
      <c r="M9" s="1810">
        <v>50</v>
      </c>
    </row>
    <row r="10" spans="1:13">
      <c r="A10" s="1763" t="s">
        <v>1275</v>
      </c>
      <c r="B10" s="1764">
        <v>20</v>
      </c>
      <c r="C10" s="1764">
        <v>20</v>
      </c>
      <c r="D10" s="1764">
        <v>15</v>
      </c>
      <c r="E10" s="1764">
        <v>15</v>
      </c>
      <c r="F10" s="1764">
        <v>15</v>
      </c>
      <c r="G10" s="1764">
        <v>15</v>
      </c>
      <c r="H10" s="1764">
        <v>15</v>
      </c>
      <c r="I10" s="1764">
        <v>10</v>
      </c>
      <c r="J10" s="1764">
        <v>10</v>
      </c>
      <c r="K10" s="1764">
        <v>10</v>
      </c>
      <c r="L10" s="1764">
        <v>10</v>
      </c>
      <c r="M10" s="1810">
        <v>10</v>
      </c>
    </row>
    <row r="11" spans="1:13">
      <c r="A11" s="1763" t="s">
        <v>1276</v>
      </c>
      <c r="B11" s="1764">
        <v>30</v>
      </c>
      <c r="C11" s="1764">
        <v>30</v>
      </c>
      <c r="D11" s="1764">
        <v>25</v>
      </c>
      <c r="E11" s="1764">
        <v>25</v>
      </c>
      <c r="F11" s="1764">
        <v>25</v>
      </c>
      <c r="G11" s="1764">
        <v>25</v>
      </c>
      <c r="H11" s="1764">
        <v>25</v>
      </c>
      <c r="I11" s="1764">
        <v>20</v>
      </c>
      <c r="J11" s="1764">
        <v>20</v>
      </c>
      <c r="K11" s="1764">
        <v>20</v>
      </c>
      <c r="L11" s="1764">
        <v>20</v>
      </c>
      <c r="M11" s="1810">
        <v>20</v>
      </c>
    </row>
    <row r="12" spans="1:13">
      <c r="A12" s="1763" t="s">
        <v>1277</v>
      </c>
      <c r="B12" s="1764">
        <v>45</v>
      </c>
      <c r="C12" s="1764">
        <v>45</v>
      </c>
      <c r="D12" s="1764">
        <v>40</v>
      </c>
      <c r="E12" s="1764">
        <v>40</v>
      </c>
      <c r="F12" s="1764">
        <v>40</v>
      </c>
      <c r="G12" s="1764">
        <v>40</v>
      </c>
      <c r="H12" s="1764">
        <v>40</v>
      </c>
      <c r="I12" s="1764">
        <v>35</v>
      </c>
      <c r="J12" s="1764">
        <v>35</v>
      </c>
      <c r="K12" s="1764">
        <v>35</v>
      </c>
      <c r="L12" s="1764">
        <v>35</v>
      </c>
      <c r="M12" s="1810">
        <v>35</v>
      </c>
    </row>
    <row r="13" spans="1:13">
      <c r="A13" s="1763" t="s">
        <v>1278</v>
      </c>
      <c r="B13" s="1764">
        <v>60</v>
      </c>
      <c r="C13" s="1764">
        <v>60</v>
      </c>
      <c r="D13" s="1764">
        <v>50</v>
      </c>
      <c r="E13" s="1764">
        <v>50</v>
      </c>
      <c r="F13" s="1764">
        <v>50</v>
      </c>
      <c r="G13" s="1764">
        <v>50</v>
      </c>
      <c r="H13" s="1764">
        <v>50</v>
      </c>
      <c r="I13" s="1764">
        <v>40</v>
      </c>
      <c r="J13" s="1764">
        <v>40</v>
      </c>
      <c r="K13" s="1764">
        <v>40</v>
      </c>
      <c r="L13" s="1764">
        <v>40</v>
      </c>
      <c r="M13" s="1810">
        <v>40</v>
      </c>
    </row>
    <row r="14" spans="1:13">
      <c r="A14" s="1763" t="s">
        <v>1279</v>
      </c>
      <c r="B14" s="1764">
        <v>50</v>
      </c>
      <c r="C14" s="1764">
        <v>50</v>
      </c>
      <c r="D14" s="1764">
        <v>40</v>
      </c>
      <c r="E14" s="1764">
        <v>40</v>
      </c>
      <c r="F14" s="1764">
        <v>40</v>
      </c>
      <c r="G14" s="1764">
        <v>40</v>
      </c>
      <c r="H14" s="1764">
        <v>40</v>
      </c>
      <c r="I14" s="1764">
        <v>30</v>
      </c>
      <c r="J14" s="1764">
        <v>30</v>
      </c>
      <c r="K14" s="1764">
        <v>30</v>
      </c>
      <c r="L14" s="1764">
        <v>30</v>
      </c>
      <c r="M14" s="1810">
        <v>30</v>
      </c>
    </row>
    <row r="15" spans="1:13">
      <c r="A15" s="1765" t="s">
        <v>1280</v>
      </c>
      <c r="B15" s="1766">
        <v>20</v>
      </c>
      <c r="C15" s="1766">
        <v>20</v>
      </c>
      <c r="D15" s="1766">
        <v>15</v>
      </c>
      <c r="E15" s="1766">
        <v>15</v>
      </c>
      <c r="F15" s="1766">
        <v>15</v>
      </c>
      <c r="G15" s="1766">
        <v>15</v>
      </c>
      <c r="H15" s="1766">
        <v>15</v>
      </c>
      <c r="I15" s="1766">
        <v>10</v>
      </c>
      <c r="J15" s="1766">
        <v>10</v>
      </c>
      <c r="K15" s="1766">
        <v>10</v>
      </c>
      <c r="L15" s="1766">
        <v>10</v>
      </c>
      <c r="M15" s="1811">
        <v>10</v>
      </c>
    </row>
    <row r="16" spans="1:13">
      <c r="A16" s="1767" t="s">
        <v>138</v>
      </c>
      <c r="B16" s="1768">
        <v>0</v>
      </c>
      <c r="C16" s="1768">
        <v>0</v>
      </c>
      <c r="D16" s="1768">
        <v>0</v>
      </c>
      <c r="E16" s="1768">
        <v>0</v>
      </c>
      <c r="F16" s="1768">
        <v>0</v>
      </c>
      <c r="G16" s="1768">
        <v>0</v>
      </c>
      <c r="H16" s="1768">
        <v>0</v>
      </c>
      <c r="I16" s="1768">
        <v>0</v>
      </c>
      <c r="J16" s="1768">
        <v>0</v>
      </c>
      <c r="K16" s="1768">
        <v>0</v>
      </c>
      <c r="L16" s="1768">
        <v>0</v>
      </c>
      <c r="M16" s="1768">
        <v>0</v>
      </c>
    </row>
    <row r="17" spans="1:13">
      <c r="A17" s="1769" t="s">
        <v>1173</v>
      </c>
      <c r="B17" s="1770">
        <f>SUM(B8:B15)</f>
        <v>375</v>
      </c>
      <c r="C17" s="1770">
        <f t="shared" ref="C17:H17" si="0">SUM(C8:C15)</f>
        <v>375</v>
      </c>
      <c r="D17" s="1770">
        <f t="shared" si="0"/>
        <v>315</v>
      </c>
      <c r="E17" s="1770">
        <f t="shared" si="0"/>
        <v>315</v>
      </c>
      <c r="F17" s="1770">
        <f t="shared" si="0"/>
        <v>315</v>
      </c>
      <c r="G17" s="1770">
        <f t="shared" si="0"/>
        <v>315</v>
      </c>
      <c r="H17" s="1770">
        <f t="shared" si="0"/>
        <v>315</v>
      </c>
      <c r="I17" s="1770">
        <f>SUM(I8:I15)-I13-I14</f>
        <v>185</v>
      </c>
      <c r="J17" s="1770">
        <f>SUM(J8:J15)-J13-J14</f>
        <v>185</v>
      </c>
      <c r="K17" s="1770">
        <f>SUM(K8:K15)-K13-K14</f>
        <v>185</v>
      </c>
      <c r="L17" s="1770">
        <f>SUM(L8:L15)-L13-L14</f>
        <v>185</v>
      </c>
      <c r="M17" s="1770">
        <f>SUM(M8:M15)-M13-M14</f>
        <v>185</v>
      </c>
    </row>
    <row r="18" spans="1:13">
      <c r="A18" s="1771" t="s">
        <v>1281</v>
      </c>
      <c r="B18" s="1771"/>
      <c r="C18" s="1772"/>
      <c r="D18" s="1772"/>
      <c r="E18" s="1771"/>
      <c r="F18" s="1772"/>
      <c r="G18" s="1772"/>
    </row>
    <row r="19" spans="1:13">
      <c r="A19" s="1766" t="s">
        <v>1282</v>
      </c>
      <c r="B19" s="1773" t="s">
        <v>1283</v>
      </c>
      <c r="C19" s="1774" t="s">
        <v>1284</v>
      </c>
      <c r="D19" s="1775"/>
      <c r="E19" s="1764" t="s">
        <v>1176</v>
      </c>
      <c r="F19" s="1776"/>
      <c r="G19" s="1776"/>
    </row>
    <row r="20" spans="1:13" s="1746" customFormat="1">
      <c r="A20" s="3913" t="s">
        <v>435</v>
      </c>
      <c r="B20" s="3919" t="s">
        <v>1285</v>
      </c>
      <c r="C20" s="1777" t="s">
        <v>1286</v>
      </c>
      <c r="D20" s="1778"/>
      <c r="E20" s="1779">
        <v>1</v>
      </c>
      <c r="F20" s="1780" t="s">
        <v>1287</v>
      </c>
      <c r="G20" s="1781"/>
      <c r="H20" s="1747"/>
      <c r="I20" s="1747"/>
    </row>
    <row r="21" spans="1:13" s="1746" customFormat="1">
      <c r="A21" s="3914"/>
      <c r="B21" s="3920"/>
      <c r="C21" s="1782" t="s">
        <v>1288</v>
      </c>
      <c r="D21" s="1783"/>
      <c r="E21" s="1784">
        <v>1</v>
      </c>
      <c r="F21" s="1780" t="s">
        <v>1289</v>
      </c>
      <c r="G21" s="1781"/>
      <c r="H21" s="1747"/>
      <c r="I21" s="1747"/>
    </row>
    <row r="22" spans="1:13" s="1746" customFormat="1">
      <c r="A22" s="3914"/>
      <c r="B22" s="3920"/>
      <c r="C22" s="1782" t="s">
        <v>1290</v>
      </c>
      <c r="D22" s="1783"/>
      <c r="E22" s="1784">
        <v>0.9</v>
      </c>
      <c r="F22" s="1780" t="s">
        <v>1291</v>
      </c>
      <c r="G22" s="1781"/>
      <c r="H22" s="1747"/>
      <c r="I22" s="1747"/>
    </row>
    <row r="23" spans="1:13" s="1746" customFormat="1">
      <c r="A23" s="3914"/>
      <c r="B23" s="3920"/>
      <c r="C23" s="1782" t="s">
        <v>1292</v>
      </c>
      <c r="D23" s="1783"/>
      <c r="E23" s="1784">
        <v>0.9</v>
      </c>
      <c r="F23" s="1780" t="s">
        <v>1293</v>
      </c>
      <c r="G23" s="1781"/>
      <c r="H23" s="1747"/>
      <c r="I23" s="1747"/>
    </row>
    <row r="24" spans="1:13" s="1746" customFormat="1">
      <c r="A24" s="3914"/>
      <c r="B24" s="3920"/>
      <c r="C24" s="1782" t="s">
        <v>1294</v>
      </c>
      <c r="D24" s="1783"/>
      <c r="E24" s="1784">
        <v>0.8</v>
      </c>
      <c r="F24" s="1780" t="s">
        <v>1295</v>
      </c>
      <c r="G24" s="1781"/>
      <c r="H24" s="1747"/>
      <c r="I24" s="1747"/>
    </row>
    <row r="25" spans="1:13" s="1746" customFormat="1">
      <c r="A25" s="3915"/>
      <c r="B25" s="3921"/>
      <c r="C25" s="1785" t="s">
        <v>1296</v>
      </c>
      <c r="D25" s="1786"/>
      <c r="E25" s="1787">
        <v>0.8</v>
      </c>
      <c r="F25" s="1780" t="s">
        <v>1297</v>
      </c>
      <c r="G25" s="1781"/>
      <c r="H25" s="1747"/>
      <c r="I25" s="1747"/>
    </row>
    <row r="26" spans="1:13" s="1746" customFormat="1">
      <c r="A26" s="1788" t="s">
        <v>436</v>
      </c>
      <c r="B26" s="1789" t="s">
        <v>1285</v>
      </c>
      <c r="C26" s="1790" t="s">
        <v>1298</v>
      </c>
      <c r="D26" s="1791"/>
      <c r="E26" s="1792">
        <v>1</v>
      </c>
      <c r="F26" s="1780" t="s">
        <v>1299</v>
      </c>
      <c r="G26" s="1781"/>
      <c r="H26" s="1747"/>
      <c r="I26" s="1747"/>
    </row>
    <row r="27" spans="1:13" s="1746" customFormat="1">
      <c r="A27" s="3916" t="s">
        <v>297</v>
      </c>
      <c r="B27" s="3919" t="s">
        <v>297</v>
      </c>
      <c r="C27" s="1777" t="s">
        <v>1300</v>
      </c>
      <c r="D27" s="1778"/>
      <c r="E27" s="1779">
        <v>1</v>
      </c>
      <c r="F27" s="1780" t="s">
        <v>1301</v>
      </c>
      <c r="G27" s="1781"/>
      <c r="H27" s="1747"/>
      <c r="I27" s="1747"/>
    </row>
    <row r="28" spans="1:13" s="1746" customFormat="1">
      <c r="A28" s="3917"/>
      <c r="B28" s="3920"/>
      <c r="C28" s="1782" t="s">
        <v>1302</v>
      </c>
      <c r="D28" s="1783"/>
      <c r="E28" s="1784">
        <v>1</v>
      </c>
      <c r="F28" s="1780" t="s">
        <v>1303</v>
      </c>
      <c r="G28" s="1781"/>
      <c r="H28" s="1747"/>
      <c r="I28" s="1747"/>
    </row>
    <row r="29" spans="1:13" s="1746" customFormat="1">
      <c r="A29" s="3917"/>
      <c r="B29" s="3920"/>
      <c r="C29" s="1782" t="s">
        <v>1304</v>
      </c>
      <c r="D29" s="1783"/>
      <c r="E29" s="1784">
        <v>0.8</v>
      </c>
      <c r="F29" s="1780" t="s">
        <v>1305</v>
      </c>
      <c r="G29" s="1781"/>
      <c r="H29" s="1747"/>
      <c r="I29" s="1747"/>
    </row>
    <row r="30" spans="1:13" s="1746" customFormat="1">
      <c r="A30" s="3917"/>
      <c r="B30" s="3920"/>
      <c r="C30" s="1782" t="s">
        <v>1306</v>
      </c>
      <c r="D30" s="1783"/>
      <c r="E30" s="1784">
        <v>0.8</v>
      </c>
      <c r="F30" s="1780" t="s">
        <v>1307</v>
      </c>
      <c r="G30" s="1781"/>
      <c r="H30" s="1747"/>
      <c r="I30" s="1747"/>
    </row>
    <row r="31" spans="1:13" s="1746" customFormat="1">
      <c r="A31" s="3917"/>
      <c r="B31" s="3920"/>
      <c r="C31" s="1782" t="s">
        <v>1308</v>
      </c>
      <c r="D31" s="1783"/>
      <c r="E31" s="1784">
        <v>0.8</v>
      </c>
      <c r="F31" s="1780" t="s">
        <v>1309</v>
      </c>
      <c r="G31" s="1781"/>
      <c r="H31" s="1747"/>
      <c r="I31" s="1747"/>
    </row>
    <row r="32" spans="1:13" s="1746" customFormat="1">
      <c r="A32" s="3917"/>
      <c r="B32" s="3920"/>
      <c r="C32" s="1782" t="s">
        <v>1310</v>
      </c>
      <c r="D32" s="1783"/>
      <c r="E32" s="1784">
        <v>0.7</v>
      </c>
      <c r="F32" s="1780" t="s">
        <v>1311</v>
      </c>
      <c r="G32" s="1781"/>
      <c r="H32" s="1747"/>
      <c r="I32" s="1747"/>
    </row>
    <row r="33" spans="1:9" s="1746" customFormat="1">
      <c r="A33" s="3917"/>
      <c r="B33" s="3920"/>
      <c r="C33" s="1782" t="s">
        <v>1312</v>
      </c>
      <c r="D33" s="1783"/>
      <c r="E33" s="1784">
        <v>0.8</v>
      </c>
      <c r="F33" s="1780" t="s">
        <v>1313</v>
      </c>
      <c r="G33" s="1781"/>
      <c r="H33" s="1747"/>
      <c r="I33" s="1747"/>
    </row>
    <row r="34" spans="1:9" s="1746" customFormat="1">
      <c r="A34" s="3917"/>
      <c r="B34" s="3920"/>
      <c r="C34" s="1782" t="s">
        <v>1314</v>
      </c>
      <c r="D34" s="1783"/>
      <c r="E34" s="1784">
        <v>0.6</v>
      </c>
      <c r="F34" s="1780" t="s">
        <v>1315</v>
      </c>
      <c r="G34" s="1781"/>
      <c r="H34" s="1747"/>
      <c r="I34" s="1747"/>
    </row>
    <row r="35" spans="1:9" s="1746" customFormat="1">
      <c r="A35" s="3917"/>
      <c r="B35" s="3920"/>
      <c r="C35" s="1782" t="s">
        <v>1316</v>
      </c>
      <c r="D35" s="1783"/>
      <c r="E35" s="1784">
        <v>0.2</v>
      </c>
      <c r="F35" s="1780" t="s">
        <v>1317</v>
      </c>
      <c r="G35" s="1781"/>
      <c r="H35" s="1747"/>
      <c r="I35" s="1747"/>
    </row>
    <row r="36" spans="1:9" s="1746" customFormat="1">
      <c r="A36" s="3917"/>
      <c r="B36" s="3920"/>
      <c r="C36" s="1782" t="s">
        <v>1318</v>
      </c>
      <c r="D36" s="1783"/>
      <c r="E36" s="1784">
        <v>0.2</v>
      </c>
      <c r="F36" s="1780" t="s">
        <v>1319</v>
      </c>
      <c r="G36" s="1781"/>
      <c r="H36" s="1747"/>
      <c r="I36" s="1747"/>
    </row>
    <row r="37" spans="1:9" s="1746" customFormat="1">
      <c r="A37" s="3917"/>
      <c r="B37" s="3922" t="s">
        <v>1320</v>
      </c>
      <c r="C37" s="1782" t="s">
        <v>1321</v>
      </c>
      <c r="D37" s="1783"/>
      <c r="E37" s="1784">
        <v>0.6</v>
      </c>
      <c r="F37" s="1780" t="s">
        <v>1322</v>
      </c>
      <c r="G37" s="1781"/>
      <c r="H37" s="1747"/>
      <c r="I37" s="1747"/>
    </row>
    <row r="38" spans="1:9" s="1746" customFormat="1">
      <c r="A38" s="3917"/>
      <c r="B38" s="3920"/>
      <c r="C38" s="1782" t="s">
        <v>1323</v>
      </c>
      <c r="D38" s="1783"/>
      <c r="E38" s="1784">
        <v>0.6</v>
      </c>
      <c r="F38" s="1780" t="s">
        <v>1324</v>
      </c>
      <c r="G38" s="1781"/>
      <c r="H38" s="1747"/>
      <c r="I38" s="1747"/>
    </row>
    <row r="39" spans="1:9" s="1746" customFormat="1">
      <c r="A39" s="3918"/>
      <c r="B39" s="3921"/>
      <c r="C39" s="1785" t="s">
        <v>1325</v>
      </c>
      <c r="D39" s="1786"/>
      <c r="E39" s="1787">
        <v>0.6</v>
      </c>
      <c r="F39" s="1780" t="s">
        <v>1326</v>
      </c>
      <c r="G39" s="1781"/>
      <c r="H39" s="1747"/>
      <c r="I39" s="1747"/>
    </row>
    <row r="40" spans="1:9" s="1746" customFormat="1">
      <c r="A40" s="1788" t="s">
        <v>402</v>
      </c>
      <c r="B40" s="1789" t="s">
        <v>402</v>
      </c>
      <c r="C40" s="1790" t="s">
        <v>1327</v>
      </c>
      <c r="D40" s="1791"/>
      <c r="E40" s="1792">
        <v>1</v>
      </c>
      <c r="F40" s="1780" t="s">
        <v>1328</v>
      </c>
      <c r="G40" s="1781"/>
      <c r="H40" s="1747"/>
      <c r="I40" s="1747"/>
    </row>
    <row r="41" spans="1:9" s="1746" customFormat="1">
      <c r="A41" s="3913" t="s">
        <v>164</v>
      </c>
      <c r="B41" s="3919" t="s">
        <v>1329</v>
      </c>
      <c r="C41" s="1777" t="s">
        <v>1330</v>
      </c>
      <c r="D41" s="1778"/>
      <c r="E41" s="1779">
        <v>1</v>
      </c>
      <c r="F41" s="1780" t="s">
        <v>1331</v>
      </c>
      <c r="G41" s="1781"/>
      <c r="H41" s="1747"/>
      <c r="I41" s="1747"/>
    </row>
    <row r="42" spans="1:9" s="1746" customFormat="1">
      <c r="A42" s="3914"/>
      <c r="B42" s="3920"/>
      <c r="C42" s="1782" t="s">
        <v>1332</v>
      </c>
      <c r="D42" s="1783"/>
      <c r="E42" s="1784">
        <v>1</v>
      </c>
      <c r="F42" s="1780" t="s">
        <v>1333</v>
      </c>
      <c r="G42" s="1781"/>
      <c r="H42" s="1747"/>
      <c r="I42" s="1747"/>
    </row>
    <row r="43" spans="1:9" s="1746" customFormat="1">
      <c r="A43" s="3914"/>
      <c r="B43" s="3923"/>
      <c r="C43" s="1782" t="s">
        <v>1334</v>
      </c>
      <c r="D43" s="1783"/>
      <c r="E43" s="1784">
        <v>1.5</v>
      </c>
      <c r="F43" s="1780" t="s">
        <v>1335</v>
      </c>
      <c r="G43" s="1781"/>
      <c r="H43" s="1747"/>
      <c r="I43" s="1747"/>
    </row>
    <row r="44" spans="1:9" s="1746" customFormat="1">
      <c r="A44" s="3914"/>
      <c r="B44" s="1793" t="s">
        <v>297</v>
      </c>
      <c r="C44" s="1782" t="s">
        <v>1272</v>
      </c>
      <c r="D44" s="1783"/>
      <c r="E44" s="1784">
        <v>2</v>
      </c>
      <c r="F44" s="1780" t="s">
        <v>1336</v>
      </c>
      <c r="G44" s="1781"/>
      <c r="H44" s="1747"/>
      <c r="I44" s="1747"/>
    </row>
    <row r="45" spans="1:9" s="1746" customFormat="1">
      <c r="A45" s="3914"/>
      <c r="B45" s="3922" t="s">
        <v>1337</v>
      </c>
      <c r="C45" s="1782" t="s">
        <v>1338</v>
      </c>
      <c r="D45" s="1783"/>
      <c r="E45" s="1784">
        <v>1</v>
      </c>
      <c r="F45" s="1780" t="s">
        <v>1339</v>
      </c>
      <c r="G45" s="1781"/>
      <c r="H45" s="1747"/>
      <c r="I45" s="1747"/>
    </row>
    <row r="46" spans="1:9" s="1746" customFormat="1">
      <c r="A46" s="3914"/>
      <c r="B46" s="3920"/>
      <c r="C46" s="1782" t="s">
        <v>1340</v>
      </c>
      <c r="D46" s="1783"/>
      <c r="E46" s="1784">
        <v>1</v>
      </c>
      <c r="F46" s="1780" t="s">
        <v>1341</v>
      </c>
      <c r="G46" s="1781"/>
      <c r="H46" s="1747"/>
      <c r="I46" s="1747"/>
    </row>
    <row r="47" spans="1:9" s="1746" customFormat="1">
      <c r="A47" s="3914"/>
      <c r="B47" s="3920"/>
      <c r="C47" s="1782" t="s">
        <v>1342</v>
      </c>
      <c r="D47" s="1783"/>
      <c r="E47" s="1784">
        <v>1</v>
      </c>
      <c r="F47" s="1780" t="s">
        <v>1343</v>
      </c>
      <c r="G47" s="1781"/>
      <c r="H47" s="1747"/>
      <c r="I47" s="1747"/>
    </row>
    <row r="48" spans="1:9" s="1746" customFormat="1">
      <c r="A48" s="3914"/>
      <c r="B48" s="3920"/>
      <c r="C48" s="1782" t="s">
        <v>1344</v>
      </c>
      <c r="D48" s="1783"/>
      <c r="E48" s="1784">
        <v>1</v>
      </c>
      <c r="F48" s="1780" t="s">
        <v>1345</v>
      </c>
      <c r="G48" s="1781"/>
      <c r="H48" s="1747"/>
      <c r="I48" s="1747"/>
    </row>
    <row r="49" spans="1:9" s="1746" customFormat="1">
      <c r="A49" s="3914"/>
      <c r="B49" s="3920"/>
      <c r="C49" s="1782" t="s">
        <v>1346</v>
      </c>
      <c r="D49" s="1783"/>
      <c r="E49" s="1784">
        <v>1</v>
      </c>
      <c r="F49" s="1780" t="s">
        <v>1347</v>
      </c>
      <c r="G49" s="1781"/>
      <c r="H49" s="1747"/>
      <c r="I49" s="1747"/>
    </row>
    <row r="50" spans="1:9" s="1746" customFormat="1">
      <c r="A50" s="3914"/>
      <c r="B50" s="3920"/>
      <c r="C50" s="1782" t="s">
        <v>1348</v>
      </c>
      <c r="D50" s="1783"/>
      <c r="E50" s="1784">
        <v>1</v>
      </c>
      <c r="F50" s="1780" t="s">
        <v>1349</v>
      </c>
      <c r="G50" s="1781"/>
      <c r="H50" s="1747"/>
      <c r="I50" s="1747"/>
    </row>
    <row r="51" spans="1:9" s="1746" customFormat="1">
      <c r="A51" s="3915"/>
      <c r="B51" s="3921"/>
      <c r="C51" s="1785" t="s">
        <v>1350</v>
      </c>
      <c r="D51" s="1786"/>
      <c r="E51" s="1787">
        <v>1</v>
      </c>
      <c r="F51" s="1780" t="s">
        <v>1351</v>
      </c>
      <c r="G51" s="1781"/>
      <c r="H51" s="1747"/>
      <c r="I51" s="1747"/>
    </row>
    <row r="52" spans="1:9" s="1746" customFormat="1">
      <c r="A52" s="1794"/>
      <c r="B52" s="1794"/>
      <c r="C52" s="1794"/>
      <c r="D52" s="1794"/>
      <c r="E52" s="1794"/>
      <c r="F52" s="1795"/>
      <c r="G52" s="1795"/>
      <c r="H52" s="1747"/>
      <c r="I52" s="1747"/>
    </row>
    <row r="54" spans="1:9">
      <c r="A54" s="1796"/>
      <c r="B54" s="1767" t="s">
        <v>525</v>
      </c>
      <c r="C54" s="1767" t="s">
        <v>525</v>
      </c>
      <c r="D54" s="1767" t="s">
        <v>525</v>
      </c>
      <c r="E54" s="1797" t="s">
        <v>525</v>
      </c>
      <c r="F54" s="1797" t="s">
        <v>1219</v>
      </c>
      <c r="G54" s="1797" t="s">
        <v>525</v>
      </c>
      <c r="I54" s="1685"/>
    </row>
    <row r="55" spans="1:9">
      <c r="A55" s="1798"/>
      <c r="B55" s="1797" t="s">
        <v>435</v>
      </c>
      <c r="C55" s="1797" t="s">
        <v>435</v>
      </c>
      <c r="D55" s="1797" t="s">
        <v>435</v>
      </c>
      <c r="E55" s="1767" t="s">
        <v>436</v>
      </c>
      <c r="F55" s="1767" t="s">
        <v>164</v>
      </c>
      <c r="G55" s="1767" t="s">
        <v>437</v>
      </c>
      <c r="I55" s="1685"/>
    </row>
    <row r="56" spans="1:9">
      <c r="A56" s="1799"/>
      <c r="B56" s="1767">
        <v>1</v>
      </c>
      <c r="C56" s="1767">
        <v>2</v>
      </c>
      <c r="D56" s="1767">
        <v>3</v>
      </c>
      <c r="E56" s="1800" t="s">
        <v>1352</v>
      </c>
      <c r="F56" s="1800" t="s">
        <v>1352</v>
      </c>
      <c r="G56" s="1800" t="s">
        <v>1352</v>
      </c>
      <c r="I56" s="1685"/>
    </row>
    <row r="57" spans="1:9">
      <c r="A57" s="1801" t="s">
        <v>238</v>
      </c>
      <c r="B57" s="1764">
        <v>0.7</v>
      </c>
      <c r="C57" s="1764">
        <v>0.4</v>
      </c>
      <c r="D57" s="1764">
        <v>0.3</v>
      </c>
      <c r="E57" s="1775">
        <v>0.3</v>
      </c>
      <c r="F57" s="1764">
        <v>0.3</v>
      </c>
      <c r="G57" s="1764">
        <v>0.2</v>
      </c>
      <c r="I57" s="1685"/>
    </row>
    <row r="58" spans="1:9">
      <c r="A58" s="1801" t="s">
        <v>251</v>
      </c>
      <c r="B58" s="1764">
        <v>0.7</v>
      </c>
      <c r="C58" s="1764">
        <v>0.4</v>
      </c>
      <c r="D58" s="1764">
        <v>0.3</v>
      </c>
      <c r="E58" s="1764">
        <v>0.3</v>
      </c>
      <c r="F58" s="1764">
        <v>0.3</v>
      </c>
      <c r="G58" s="1764">
        <v>0.2</v>
      </c>
      <c r="I58" s="1685"/>
    </row>
    <row r="59" spans="1:9">
      <c r="A59" s="1801" t="s">
        <v>263</v>
      </c>
      <c r="B59" s="1764">
        <v>0.6</v>
      </c>
      <c r="C59" s="1764">
        <v>0.3</v>
      </c>
      <c r="D59" s="1764">
        <v>0.25</v>
      </c>
      <c r="E59" s="1764">
        <v>0.25</v>
      </c>
      <c r="F59" s="1764">
        <v>0.25</v>
      </c>
      <c r="G59" s="1764">
        <v>0.15</v>
      </c>
      <c r="I59" s="1685"/>
    </row>
    <row r="60" spans="1:9">
      <c r="A60" s="1801" t="s">
        <v>273</v>
      </c>
      <c r="B60" s="1764">
        <v>0.6</v>
      </c>
      <c r="C60" s="1764">
        <v>0.3</v>
      </c>
      <c r="D60" s="1764">
        <v>0.25</v>
      </c>
      <c r="E60" s="1764">
        <v>0.25</v>
      </c>
      <c r="F60" s="1764">
        <v>0.25</v>
      </c>
      <c r="G60" s="1764">
        <v>0.15</v>
      </c>
      <c r="I60" s="1685"/>
    </row>
    <row r="61" spans="1:9" s="1747" customFormat="1">
      <c r="A61" s="1801" t="s">
        <v>282</v>
      </c>
      <c r="B61" s="1764">
        <v>0.6</v>
      </c>
      <c r="C61" s="1764">
        <v>0.3</v>
      </c>
      <c r="D61" s="1764">
        <v>0.25</v>
      </c>
      <c r="E61" s="1764">
        <v>0.25</v>
      </c>
      <c r="F61" s="1764">
        <v>0.25</v>
      </c>
      <c r="G61" s="1764">
        <v>0.15</v>
      </c>
    </row>
    <row r="62" spans="1:9" s="1747" customFormat="1">
      <c r="A62" s="1801" t="s">
        <v>290</v>
      </c>
      <c r="B62" s="1764">
        <v>0.6</v>
      </c>
      <c r="C62" s="1764">
        <v>0.3</v>
      </c>
      <c r="D62" s="1764">
        <v>0.25</v>
      </c>
      <c r="E62" s="1764">
        <v>0.25</v>
      </c>
      <c r="F62" s="1764">
        <v>0.25</v>
      </c>
      <c r="G62" s="1764">
        <v>0.15</v>
      </c>
    </row>
    <row r="63" spans="1:9" s="1747" customFormat="1">
      <c r="A63" s="1801" t="s">
        <v>295</v>
      </c>
      <c r="B63" s="1764">
        <v>0.6</v>
      </c>
      <c r="C63" s="1764">
        <v>0.3</v>
      </c>
      <c r="D63" s="1764">
        <v>0.25</v>
      </c>
      <c r="E63" s="1764">
        <v>0.25</v>
      </c>
      <c r="F63" s="1764">
        <v>0.25</v>
      </c>
      <c r="G63" s="1764">
        <v>0.15</v>
      </c>
    </row>
    <row r="64" spans="1:9" s="1747" customFormat="1">
      <c r="A64" s="1801" t="s">
        <v>301</v>
      </c>
      <c r="B64" s="1764">
        <v>0.5</v>
      </c>
      <c r="C64" s="1764">
        <v>0.2</v>
      </c>
      <c r="D64" s="1764">
        <v>0.2</v>
      </c>
      <c r="E64" s="1764">
        <v>0.2</v>
      </c>
      <c r="F64" s="1764">
        <v>0.2</v>
      </c>
      <c r="G64" s="1764">
        <v>0.1</v>
      </c>
    </row>
    <row r="65" spans="1:8" s="1747" customFormat="1">
      <c r="A65" s="1801" t="s">
        <v>305</v>
      </c>
      <c r="B65" s="1764">
        <v>0.5</v>
      </c>
      <c r="C65" s="1764">
        <v>0.2</v>
      </c>
      <c r="D65" s="1764">
        <v>0.2</v>
      </c>
      <c r="E65" s="1764">
        <v>0.2</v>
      </c>
      <c r="F65" s="1764">
        <v>0.2</v>
      </c>
      <c r="G65" s="1764">
        <v>0.1</v>
      </c>
    </row>
    <row r="66" spans="1:8" s="1747" customFormat="1">
      <c r="A66" s="1801" t="s">
        <v>309</v>
      </c>
      <c r="B66" s="1764">
        <v>0.5</v>
      </c>
      <c r="C66" s="1764">
        <v>0.2</v>
      </c>
      <c r="D66" s="1764">
        <v>0.2</v>
      </c>
      <c r="E66" s="1764">
        <v>0.2</v>
      </c>
      <c r="F66" s="1764">
        <v>0.2</v>
      </c>
      <c r="G66" s="1764">
        <v>0.1</v>
      </c>
    </row>
    <row r="67" spans="1:8" s="1747" customFormat="1">
      <c r="A67" s="1801" t="s">
        <v>313</v>
      </c>
      <c r="B67" s="1764">
        <v>0.5</v>
      </c>
      <c r="C67" s="1764">
        <v>0.2</v>
      </c>
      <c r="D67" s="1764">
        <v>0.2</v>
      </c>
      <c r="E67" s="1764">
        <v>0.2</v>
      </c>
      <c r="F67" s="1764">
        <v>0.2</v>
      </c>
      <c r="G67" s="1764">
        <v>0.1</v>
      </c>
    </row>
    <row r="68" spans="1:8" s="1747" customFormat="1">
      <c r="A68" s="1801" t="s">
        <v>317</v>
      </c>
      <c r="B68" s="1764">
        <v>0.5</v>
      </c>
      <c r="C68" s="1764">
        <v>0.2</v>
      </c>
      <c r="D68" s="1764">
        <v>0.2</v>
      </c>
      <c r="E68" s="1764">
        <v>0.2</v>
      </c>
      <c r="F68" s="1764">
        <v>0.2</v>
      </c>
      <c r="G68" s="1764">
        <v>0.1</v>
      </c>
    </row>
    <row r="70" spans="1:8" s="1747" customFormat="1">
      <c r="A70" s="1812"/>
      <c r="B70" s="1771"/>
      <c r="C70" s="1771"/>
      <c r="D70" s="1771" t="s">
        <v>1353</v>
      </c>
      <c r="E70" s="1771"/>
      <c r="F70" s="1771"/>
    </row>
    <row r="71" spans="1:8" s="1747" customFormat="1">
      <c r="A71" s="1813" t="s">
        <v>1354</v>
      </c>
      <c r="B71" s="1813" t="s">
        <v>1355</v>
      </c>
      <c r="C71" s="1813" t="s">
        <v>1356</v>
      </c>
      <c r="D71" s="1813" t="s">
        <v>1357</v>
      </c>
      <c r="E71" s="1813" t="s">
        <v>1138</v>
      </c>
      <c r="F71" s="1813" t="s">
        <v>1358</v>
      </c>
    </row>
    <row r="72" spans="1:8" s="1747" customFormat="1">
      <c r="A72" s="1813"/>
      <c r="B72" s="1813"/>
      <c r="C72" s="1813" t="s">
        <v>1359</v>
      </c>
      <c r="D72" s="1813"/>
      <c r="E72" s="1814" t="s">
        <v>138</v>
      </c>
      <c r="F72" s="1813" t="s">
        <v>138</v>
      </c>
    </row>
    <row r="73" spans="1:8" s="1747" customFormat="1">
      <c r="A73" s="1793">
        <v>1</v>
      </c>
      <c r="B73" s="3922" t="s">
        <v>1360</v>
      </c>
      <c r="C73" s="1764" t="s">
        <v>1361</v>
      </c>
      <c r="D73" s="1764" t="s">
        <v>1362</v>
      </c>
      <c r="E73" s="1815">
        <v>0.2</v>
      </c>
      <c r="F73" s="1793">
        <v>25</v>
      </c>
      <c r="H73" s="1747">
        <f>SUMIF(C71:C139,基准地价!C8,E71:E139)</f>
        <v>0</v>
      </c>
    </row>
    <row r="74" spans="1:8" s="1747" customFormat="1" ht="24">
      <c r="A74" s="1793">
        <v>2</v>
      </c>
      <c r="B74" s="3920"/>
      <c r="C74" s="1764" t="s">
        <v>1363</v>
      </c>
      <c r="D74" s="1764" t="s">
        <v>1364</v>
      </c>
      <c r="E74" s="1815">
        <v>0.2</v>
      </c>
      <c r="F74" s="1793">
        <v>25</v>
      </c>
    </row>
    <row r="75" spans="1:8" s="1747" customFormat="1" ht="24">
      <c r="A75" s="1793">
        <v>3</v>
      </c>
      <c r="B75" s="3920"/>
      <c r="C75" s="1764" t="s">
        <v>1365</v>
      </c>
      <c r="D75" s="1764" t="s">
        <v>1366</v>
      </c>
      <c r="E75" s="1815">
        <v>0.2</v>
      </c>
      <c r="F75" s="1793">
        <v>25</v>
      </c>
    </row>
    <row r="76" spans="1:8" s="1747" customFormat="1">
      <c r="A76" s="1793">
        <v>4</v>
      </c>
      <c r="B76" s="3920"/>
      <c r="C76" s="1764" t="s">
        <v>1367</v>
      </c>
      <c r="D76" s="1764" t="s">
        <v>1368</v>
      </c>
      <c r="E76" s="1815">
        <v>0.15</v>
      </c>
      <c r="F76" s="1793">
        <v>20</v>
      </c>
    </row>
    <row r="77" spans="1:8" s="1747" customFormat="1" ht="24">
      <c r="A77" s="1793">
        <v>5</v>
      </c>
      <c r="B77" s="3920"/>
      <c r="C77" s="1764" t="s">
        <v>1369</v>
      </c>
      <c r="D77" s="1764" t="s">
        <v>1370</v>
      </c>
      <c r="E77" s="1815">
        <v>0.15</v>
      </c>
      <c r="F77" s="1793">
        <v>20</v>
      </c>
    </row>
    <row r="78" spans="1:8" s="1747" customFormat="1" ht="24">
      <c r="A78" s="1793">
        <v>6</v>
      </c>
      <c r="B78" s="3920"/>
      <c r="C78" s="1764" t="s">
        <v>1371</v>
      </c>
      <c r="D78" s="1764" t="s">
        <v>1372</v>
      </c>
      <c r="E78" s="1815">
        <v>0.15</v>
      </c>
      <c r="F78" s="1793">
        <v>20</v>
      </c>
    </row>
    <row r="79" spans="1:8" s="1747" customFormat="1" ht="24">
      <c r="A79" s="1793">
        <v>7</v>
      </c>
      <c r="B79" s="3920"/>
      <c r="C79" s="1764" t="s">
        <v>1373</v>
      </c>
      <c r="D79" s="1764" t="s">
        <v>1374</v>
      </c>
      <c r="E79" s="1815">
        <v>0.15</v>
      </c>
      <c r="F79" s="1793">
        <v>20</v>
      </c>
    </row>
    <row r="80" spans="1:8" s="1747" customFormat="1" ht="24">
      <c r="A80" s="1793">
        <v>8</v>
      </c>
      <c r="B80" s="3920"/>
      <c r="C80" s="1764" t="s">
        <v>1375</v>
      </c>
      <c r="D80" s="1764" t="s">
        <v>1376</v>
      </c>
      <c r="E80" s="1815">
        <v>0.1</v>
      </c>
      <c r="F80" s="1793">
        <v>15</v>
      </c>
    </row>
    <row r="81" spans="1:6" s="1747" customFormat="1" ht="24">
      <c r="A81" s="1793">
        <v>9</v>
      </c>
      <c r="B81" s="3920"/>
      <c r="C81" s="1764" t="s">
        <v>1377</v>
      </c>
      <c r="D81" s="1764" t="s">
        <v>1378</v>
      </c>
      <c r="E81" s="1815">
        <v>0.1</v>
      </c>
      <c r="F81" s="1793">
        <v>15</v>
      </c>
    </row>
    <row r="82" spans="1:6" s="1747" customFormat="1" ht="24">
      <c r="A82" s="1793">
        <v>10</v>
      </c>
      <c r="B82" s="3920"/>
      <c r="C82" s="1764" t="s">
        <v>1379</v>
      </c>
      <c r="D82" s="1764" t="s">
        <v>1380</v>
      </c>
      <c r="E82" s="1815">
        <v>0.1</v>
      </c>
      <c r="F82" s="1793">
        <v>15</v>
      </c>
    </row>
    <row r="83" spans="1:6" s="1747" customFormat="1" ht="24">
      <c r="A83" s="1793">
        <v>11</v>
      </c>
      <c r="B83" s="3920"/>
      <c r="C83" s="1764" t="s">
        <v>1381</v>
      </c>
      <c r="D83" s="1764" t="s">
        <v>1382</v>
      </c>
      <c r="E83" s="1815">
        <v>0.1</v>
      </c>
      <c r="F83" s="1793">
        <v>15</v>
      </c>
    </row>
    <row r="84" spans="1:6" s="1747" customFormat="1" ht="24">
      <c r="A84" s="1793">
        <v>12</v>
      </c>
      <c r="B84" s="3920"/>
      <c r="C84" s="1764" t="s">
        <v>1383</v>
      </c>
      <c r="D84" s="1764" t="s">
        <v>1384</v>
      </c>
      <c r="E84" s="1815">
        <v>0.1</v>
      </c>
      <c r="F84" s="1793">
        <v>15</v>
      </c>
    </row>
    <row r="85" spans="1:6" s="1747" customFormat="1">
      <c r="A85" s="1793">
        <v>13</v>
      </c>
      <c r="B85" s="3920"/>
      <c r="C85" s="1764" t="s">
        <v>1385</v>
      </c>
      <c r="D85" s="1764" t="s">
        <v>1386</v>
      </c>
      <c r="E85" s="1815">
        <v>0.1</v>
      </c>
      <c r="F85" s="1793">
        <v>15</v>
      </c>
    </row>
    <row r="86" spans="1:6" s="1747" customFormat="1">
      <c r="A86" s="1793">
        <v>14</v>
      </c>
      <c r="B86" s="3920"/>
      <c r="C86" s="1764" t="s">
        <v>1387</v>
      </c>
      <c r="D86" s="1764" t="s">
        <v>1388</v>
      </c>
      <c r="E86" s="1815">
        <v>0.1</v>
      </c>
      <c r="F86" s="1793">
        <v>15</v>
      </c>
    </row>
    <row r="87" spans="1:6" s="1747" customFormat="1">
      <c r="A87" s="1793">
        <v>15</v>
      </c>
      <c r="B87" s="3920"/>
      <c r="C87" s="1764" t="s">
        <v>1389</v>
      </c>
      <c r="D87" s="1764" t="s">
        <v>1390</v>
      </c>
      <c r="E87" s="1815">
        <v>0.1</v>
      </c>
      <c r="F87" s="1793">
        <v>15</v>
      </c>
    </row>
    <row r="88" spans="1:6" s="1747" customFormat="1" ht="24">
      <c r="A88" s="1793">
        <v>16</v>
      </c>
      <c r="B88" s="3920"/>
      <c r="C88" s="1764" t="s">
        <v>1391</v>
      </c>
      <c r="D88" s="1764" t="s">
        <v>1392</v>
      </c>
      <c r="E88" s="1815">
        <v>0.1</v>
      </c>
      <c r="F88" s="1793">
        <v>15</v>
      </c>
    </row>
    <row r="89" spans="1:6" s="1747" customFormat="1" ht="24">
      <c r="A89" s="1793">
        <v>17</v>
      </c>
      <c r="B89" s="3923"/>
      <c r="C89" s="1764" t="s">
        <v>1393</v>
      </c>
      <c r="D89" s="1764" t="s">
        <v>1394</v>
      </c>
      <c r="E89" s="1815">
        <v>0.1</v>
      </c>
      <c r="F89" s="1793">
        <v>15</v>
      </c>
    </row>
    <row r="90" spans="1:6" s="1747" customFormat="1">
      <c r="A90" s="1793">
        <v>18</v>
      </c>
      <c r="B90" s="3922" t="s">
        <v>1395</v>
      </c>
      <c r="C90" s="1764" t="s">
        <v>1396</v>
      </c>
      <c r="D90" s="1764" t="s">
        <v>1397</v>
      </c>
      <c r="E90" s="1815">
        <v>0.2</v>
      </c>
      <c r="F90" s="1793">
        <v>25</v>
      </c>
    </row>
    <row r="91" spans="1:6" s="1747" customFormat="1" ht="24">
      <c r="A91" s="1793">
        <v>19</v>
      </c>
      <c r="B91" s="3920"/>
      <c r="C91" s="1764" t="s">
        <v>1398</v>
      </c>
      <c r="D91" s="1764" t="s">
        <v>1399</v>
      </c>
      <c r="E91" s="1815">
        <v>0.2</v>
      </c>
      <c r="F91" s="1793">
        <v>25</v>
      </c>
    </row>
    <row r="92" spans="1:6" s="1747" customFormat="1">
      <c r="A92" s="1793">
        <v>20</v>
      </c>
      <c r="B92" s="3920"/>
      <c r="C92" s="1764" t="s">
        <v>1400</v>
      </c>
      <c r="D92" s="1764" t="s">
        <v>1401</v>
      </c>
      <c r="E92" s="1815">
        <v>0.15</v>
      </c>
      <c r="F92" s="1793">
        <v>20</v>
      </c>
    </row>
    <row r="93" spans="1:6" s="1747" customFormat="1" ht="24">
      <c r="A93" s="1793">
        <v>21</v>
      </c>
      <c r="B93" s="3920"/>
      <c r="C93" s="1764" t="s">
        <v>1402</v>
      </c>
      <c r="D93" s="1764" t="s">
        <v>1403</v>
      </c>
      <c r="E93" s="1815">
        <v>0.15</v>
      </c>
      <c r="F93" s="1793">
        <v>20</v>
      </c>
    </row>
    <row r="94" spans="1:6" s="1747" customFormat="1" ht="24">
      <c r="A94" s="1793">
        <v>22</v>
      </c>
      <c r="B94" s="3920"/>
      <c r="C94" s="1764" t="s">
        <v>1404</v>
      </c>
      <c r="D94" s="1764" t="s">
        <v>1405</v>
      </c>
      <c r="E94" s="1815">
        <v>0.15</v>
      </c>
      <c r="F94" s="1793">
        <v>20</v>
      </c>
    </row>
    <row r="95" spans="1:6" s="1747" customFormat="1" ht="36">
      <c r="A95" s="1793">
        <v>23</v>
      </c>
      <c r="B95" s="3920"/>
      <c r="C95" s="1764" t="s">
        <v>1406</v>
      </c>
      <c r="D95" s="1764" t="s">
        <v>1407</v>
      </c>
      <c r="E95" s="1815">
        <v>0.15</v>
      </c>
      <c r="F95" s="1793">
        <v>20</v>
      </c>
    </row>
    <row r="96" spans="1:6" s="1747" customFormat="1">
      <c r="A96" s="1793">
        <v>24</v>
      </c>
      <c r="B96" s="3920"/>
      <c r="C96" s="1764" t="s">
        <v>1408</v>
      </c>
      <c r="D96" s="1764" t="s">
        <v>1409</v>
      </c>
      <c r="E96" s="1815">
        <v>0.1</v>
      </c>
      <c r="F96" s="1793">
        <v>15</v>
      </c>
    </row>
    <row r="97" spans="1:6" s="1747" customFormat="1" ht="24">
      <c r="A97" s="1793">
        <v>25</v>
      </c>
      <c r="B97" s="3920"/>
      <c r="C97" s="1764" t="s">
        <v>1410</v>
      </c>
      <c r="D97" s="1764" t="s">
        <v>1411</v>
      </c>
      <c r="E97" s="1815">
        <v>0.1</v>
      </c>
      <c r="F97" s="1793">
        <v>15</v>
      </c>
    </row>
    <row r="98" spans="1:6" s="1747" customFormat="1" ht="24">
      <c r="A98" s="1793">
        <v>26</v>
      </c>
      <c r="B98" s="3920"/>
      <c r="C98" s="1764" t="s">
        <v>1412</v>
      </c>
      <c r="D98" s="1764" t="s">
        <v>1413</v>
      </c>
      <c r="E98" s="1815">
        <v>0.1</v>
      </c>
      <c r="F98" s="1793">
        <v>15</v>
      </c>
    </row>
    <row r="99" spans="1:6" s="1747" customFormat="1" ht="24">
      <c r="A99" s="1793">
        <v>27</v>
      </c>
      <c r="B99" s="3920"/>
      <c r="C99" s="1764" t="s">
        <v>1414</v>
      </c>
      <c r="D99" s="1764" t="s">
        <v>1415</v>
      </c>
      <c r="E99" s="1815">
        <v>0.1</v>
      </c>
      <c r="F99" s="1793">
        <v>15</v>
      </c>
    </row>
    <row r="100" spans="1:6" s="1747" customFormat="1" ht="24">
      <c r="A100" s="1793">
        <v>28</v>
      </c>
      <c r="B100" s="3920"/>
      <c r="C100" s="1764" t="s">
        <v>1416</v>
      </c>
      <c r="D100" s="1764" t="s">
        <v>1417</v>
      </c>
      <c r="E100" s="1815">
        <v>0.1</v>
      </c>
      <c r="F100" s="1793">
        <v>15</v>
      </c>
    </row>
    <row r="101" spans="1:6" s="1747" customFormat="1" ht="24">
      <c r="A101" s="1793">
        <v>29</v>
      </c>
      <c r="B101" s="3920"/>
      <c r="C101" s="1764" t="s">
        <v>1418</v>
      </c>
      <c r="D101" s="1764" t="s">
        <v>1419</v>
      </c>
      <c r="E101" s="1815">
        <v>0.1</v>
      </c>
      <c r="F101" s="1793">
        <v>15</v>
      </c>
    </row>
    <row r="102" spans="1:6" s="1747" customFormat="1" ht="24">
      <c r="A102" s="1793">
        <v>30</v>
      </c>
      <c r="B102" s="3920"/>
      <c r="C102" s="1764" t="s">
        <v>1420</v>
      </c>
      <c r="D102" s="1764" t="s">
        <v>1421</v>
      </c>
      <c r="E102" s="1815">
        <v>0.1</v>
      </c>
      <c r="F102" s="1793">
        <v>15</v>
      </c>
    </row>
    <row r="103" spans="1:6" s="1747" customFormat="1" ht="24">
      <c r="A103" s="1793">
        <v>31</v>
      </c>
      <c r="B103" s="3920"/>
      <c r="C103" s="1764" t="s">
        <v>1422</v>
      </c>
      <c r="D103" s="1764" t="s">
        <v>1423</v>
      </c>
      <c r="E103" s="1815">
        <v>0.1</v>
      </c>
      <c r="F103" s="1793">
        <v>15</v>
      </c>
    </row>
    <row r="104" spans="1:6" s="1747" customFormat="1" ht="24">
      <c r="A104" s="1793">
        <v>32</v>
      </c>
      <c r="B104" s="3920"/>
      <c r="C104" s="1764" t="s">
        <v>1424</v>
      </c>
      <c r="D104" s="1764" t="s">
        <v>1425</v>
      </c>
      <c r="E104" s="1815">
        <v>0.1</v>
      </c>
      <c r="F104" s="1793">
        <v>15</v>
      </c>
    </row>
    <row r="105" spans="1:6" s="1747" customFormat="1" ht="24">
      <c r="A105" s="1793">
        <v>33</v>
      </c>
      <c r="B105" s="3920"/>
      <c r="C105" s="1764" t="s">
        <v>1426</v>
      </c>
      <c r="D105" s="1764" t="s">
        <v>1427</v>
      </c>
      <c r="E105" s="1815">
        <v>0.1</v>
      </c>
      <c r="F105" s="1793">
        <v>15</v>
      </c>
    </row>
    <row r="106" spans="1:6" s="1747" customFormat="1" ht="24">
      <c r="A106" s="1793">
        <v>34</v>
      </c>
      <c r="B106" s="3923"/>
      <c r="C106" s="1764" t="s">
        <v>1428</v>
      </c>
      <c r="D106" s="1764" t="s">
        <v>1429</v>
      </c>
      <c r="E106" s="1815">
        <v>0.1</v>
      </c>
      <c r="F106" s="1793">
        <v>15</v>
      </c>
    </row>
    <row r="107" spans="1:6" s="1747" customFormat="1" ht="24">
      <c r="A107" s="1793">
        <v>35</v>
      </c>
      <c r="B107" s="3922" t="s">
        <v>1430</v>
      </c>
      <c r="C107" s="1793" t="s">
        <v>1431</v>
      </c>
      <c r="D107" s="1764" t="s">
        <v>1432</v>
      </c>
      <c r="E107" s="1815">
        <v>0.15</v>
      </c>
      <c r="F107" s="1793">
        <v>20</v>
      </c>
    </row>
    <row r="108" spans="1:6" s="1747" customFormat="1" ht="24">
      <c r="A108" s="1793">
        <v>36</v>
      </c>
      <c r="B108" s="3920"/>
      <c r="C108" s="1793" t="s">
        <v>1433</v>
      </c>
      <c r="D108" s="1764" t="s">
        <v>1434</v>
      </c>
      <c r="E108" s="1815">
        <v>0.15</v>
      </c>
      <c r="F108" s="1793">
        <v>20</v>
      </c>
    </row>
    <row r="109" spans="1:6" s="1747" customFormat="1" ht="24">
      <c r="A109" s="1793">
        <v>37</v>
      </c>
      <c r="B109" s="3920"/>
      <c r="C109" s="1793" t="s">
        <v>1435</v>
      </c>
      <c r="D109" s="1764" t="s">
        <v>1436</v>
      </c>
      <c r="E109" s="1815">
        <v>0.15</v>
      </c>
      <c r="F109" s="1793">
        <v>20</v>
      </c>
    </row>
    <row r="110" spans="1:6" s="1747" customFormat="1">
      <c r="A110" s="1793">
        <v>38</v>
      </c>
      <c r="B110" s="3920"/>
      <c r="C110" s="1793" t="s">
        <v>1437</v>
      </c>
      <c r="D110" s="1764" t="s">
        <v>1438</v>
      </c>
      <c r="E110" s="1815">
        <v>0.1</v>
      </c>
      <c r="F110" s="1793">
        <v>15</v>
      </c>
    </row>
    <row r="111" spans="1:6" s="1747" customFormat="1" ht="24">
      <c r="A111" s="1793">
        <v>39</v>
      </c>
      <c r="B111" s="3920"/>
      <c r="C111" s="1793" t="s">
        <v>1439</v>
      </c>
      <c r="D111" s="1764" t="s">
        <v>1440</v>
      </c>
      <c r="E111" s="1815">
        <v>0.1</v>
      </c>
      <c r="F111" s="1793">
        <v>15</v>
      </c>
    </row>
    <row r="112" spans="1:6" s="1747" customFormat="1" ht="24">
      <c r="A112" s="1793">
        <v>40</v>
      </c>
      <c r="B112" s="3923"/>
      <c r="C112" s="1793" t="s">
        <v>1441</v>
      </c>
      <c r="D112" s="1764" t="s">
        <v>1442</v>
      </c>
      <c r="E112" s="1815">
        <v>0.1</v>
      </c>
      <c r="F112" s="1793">
        <v>15</v>
      </c>
    </row>
    <row r="113" spans="1:6" s="1747" customFormat="1" ht="24">
      <c r="A113" s="1793">
        <v>41</v>
      </c>
      <c r="B113" s="3924" t="s">
        <v>1443</v>
      </c>
      <c r="C113" s="1793" t="s">
        <v>1444</v>
      </c>
      <c r="D113" s="1764" t="s">
        <v>1445</v>
      </c>
      <c r="E113" s="1815">
        <v>0.1</v>
      </c>
      <c r="F113" s="1793">
        <v>15</v>
      </c>
    </row>
    <row r="114" spans="1:6" s="1747" customFormat="1">
      <c r="A114" s="1793">
        <v>42</v>
      </c>
      <c r="B114" s="3924"/>
      <c r="C114" s="1793" t="s">
        <v>1446</v>
      </c>
      <c r="D114" s="1764" t="s">
        <v>1447</v>
      </c>
      <c r="E114" s="1815">
        <v>0.1</v>
      </c>
      <c r="F114" s="1793">
        <v>15</v>
      </c>
    </row>
    <row r="115" spans="1:6" s="1747" customFormat="1" ht="24">
      <c r="A115" s="1793">
        <v>43</v>
      </c>
      <c r="B115" s="3924"/>
      <c r="C115" s="1793" t="s">
        <v>1448</v>
      </c>
      <c r="D115" s="1764" t="s">
        <v>1449</v>
      </c>
      <c r="E115" s="1815">
        <v>0.1</v>
      </c>
      <c r="F115" s="1793">
        <v>15</v>
      </c>
    </row>
    <row r="116" spans="1:6" s="1747" customFormat="1" ht="24">
      <c r="A116" s="1793">
        <v>44</v>
      </c>
      <c r="B116" s="3922" t="s">
        <v>1450</v>
      </c>
      <c r="C116" s="1793" t="s">
        <v>1451</v>
      </c>
      <c r="D116" s="1764" t="s">
        <v>1452</v>
      </c>
      <c r="E116" s="1815">
        <v>0.1</v>
      </c>
      <c r="F116" s="1793">
        <v>15</v>
      </c>
    </row>
    <row r="117" spans="1:6" s="1747" customFormat="1" ht="24">
      <c r="A117" s="1793">
        <v>45</v>
      </c>
      <c r="B117" s="3923"/>
      <c r="C117" s="1764" t="s">
        <v>1453</v>
      </c>
      <c r="D117" s="1764" t="s">
        <v>1454</v>
      </c>
      <c r="E117" s="1815">
        <v>0.1</v>
      </c>
      <c r="F117" s="1793">
        <v>15</v>
      </c>
    </row>
    <row r="118" spans="1:6" s="1747" customFormat="1" ht="24">
      <c r="A118" s="1793">
        <v>46</v>
      </c>
      <c r="B118" s="3922" t="s">
        <v>1455</v>
      </c>
      <c r="C118" s="1793" t="s">
        <v>1456</v>
      </c>
      <c r="D118" s="1764" t="s">
        <v>1457</v>
      </c>
      <c r="E118" s="1815">
        <v>0.1</v>
      </c>
      <c r="F118" s="1793">
        <v>15</v>
      </c>
    </row>
    <row r="119" spans="1:6" s="1747" customFormat="1" ht="24">
      <c r="A119" s="1793">
        <v>47</v>
      </c>
      <c r="B119" s="3923"/>
      <c r="C119" s="1793" t="s">
        <v>1458</v>
      </c>
      <c r="D119" s="1764" t="s">
        <v>1459</v>
      </c>
      <c r="E119" s="1815">
        <v>0.1</v>
      </c>
      <c r="F119" s="1793">
        <v>15</v>
      </c>
    </row>
    <row r="120" spans="1:6" s="1747" customFormat="1" ht="24">
      <c r="A120" s="1793">
        <v>48</v>
      </c>
      <c r="B120" s="3922" t="s">
        <v>1460</v>
      </c>
      <c r="C120" s="1793" t="s">
        <v>1461</v>
      </c>
      <c r="D120" s="1764" t="s">
        <v>1462</v>
      </c>
      <c r="E120" s="1815">
        <v>0.1</v>
      </c>
      <c r="F120" s="1793">
        <v>15</v>
      </c>
    </row>
    <row r="121" spans="1:6" s="1747" customFormat="1">
      <c r="A121" s="1793">
        <v>49</v>
      </c>
      <c r="B121" s="3923"/>
      <c r="C121" s="1793" t="s">
        <v>1463</v>
      </c>
      <c r="D121" s="1764" t="s">
        <v>1464</v>
      </c>
      <c r="E121" s="1815">
        <v>0.1</v>
      </c>
      <c r="F121" s="1793">
        <v>15</v>
      </c>
    </row>
    <row r="122" spans="1:6" s="1747" customFormat="1" ht="24">
      <c r="A122" s="1793">
        <v>50</v>
      </c>
      <c r="B122" s="3924" t="s">
        <v>1465</v>
      </c>
      <c r="C122" s="1793" t="s">
        <v>1466</v>
      </c>
      <c r="D122" s="1764" t="s">
        <v>1467</v>
      </c>
      <c r="E122" s="1815">
        <v>0.1</v>
      </c>
      <c r="F122" s="1793">
        <v>15</v>
      </c>
    </row>
    <row r="123" spans="1:6" s="1747" customFormat="1" ht="24">
      <c r="A123" s="1793">
        <v>51</v>
      </c>
      <c r="B123" s="3924"/>
      <c r="C123" s="1793" t="s">
        <v>1468</v>
      </c>
      <c r="D123" s="1764" t="s">
        <v>1469</v>
      </c>
      <c r="E123" s="1815">
        <v>0.1</v>
      </c>
      <c r="F123" s="1793">
        <v>15</v>
      </c>
    </row>
    <row r="124" spans="1:6" s="1747" customFormat="1" ht="24">
      <c r="A124" s="1793">
        <v>52</v>
      </c>
      <c r="B124" s="3924" t="s">
        <v>1470</v>
      </c>
      <c r="C124" s="1793" t="s">
        <v>1471</v>
      </c>
      <c r="D124" s="1764" t="s">
        <v>1472</v>
      </c>
      <c r="E124" s="1815">
        <v>0.1</v>
      </c>
      <c r="F124" s="1793">
        <v>15</v>
      </c>
    </row>
    <row r="125" spans="1:6" s="1747" customFormat="1" ht="24">
      <c r="A125" s="1793">
        <v>53</v>
      </c>
      <c r="B125" s="3924"/>
      <c r="C125" s="1793" t="s">
        <v>1473</v>
      </c>
      <c r="D125" s="1764" t="s">
        <v>1474</v>
      </c>
      <c r="E125" s="1815">
        <v>0.1</v>
      </c>
      <c r="F125" s="1793">
        <v>15</v>
      </c>
    </row>
    <row r="126" spans="1:6" ht="24">
      <c r="A126" s="1793">
        <v>54</v>
      </c>
      <c r="B126" s="1793" t="s">
        <v>1475</v>
      </c>
      <c r="C126" s="1793" t="s">
        <v>1476</v>
      </c>
      <c r="D126" s="1764" t="s">
        <v>1477</v>
      </c>
      <c r="E126" s="1815">
        <v>0.1</v>
      </c>
      <c r="F126" s="1793">
        <v>15</v>
      </c>
    </row>
    <row r="127" spans="1:6">
      <c r="A127" s="1793">
        <v>55</v>
      </c>
      <c r="B127" s="3924" t="s">
        <v>1478</v>
      </c>
      <c r="C127" s="1793" t="s">
        <v>1479</v>
      </c>
      <c r="D127" s="1764" t="s">
        <v>1480</v>
      </c>
      <c r="E127" s="1815">
        <v>0.1</v>
      </c>
      <c r="F127" s="1793">
        <v>15</v>
      </c>
    </row>
    <row r="128" spans="1:6">
      <c r="A128" s="1793">
        <v>56</v>
      </c>
      <c r="B128" s="3924"/>
      <c r="C128" s="1793" t="s">
        <v>1481</v>
      </c>
      <c r="D128" s="1764" t="s">
        <v>1482</v>
      </c>
      <c r="E128" s="1815">
        <v>0.1</v>
      </c>
      <c r="F128" s="1793">
        <v>15</v>
      </c>
    </row>
    <row r="129" spans="1:14" ht="24">
      <c r="A129" s="1793">
        <v>57</v>
      </c>
      <c r="B129" s="3924"/>
      <c r="C129" s="1793" t="s">
        <v>1483</v>
      </c>
      <c r="D129" s="1764" t="s">
        <v>1484</v>
      </c>
      <c r="E129" s="1815">
        <v>0.1</v>
      </c>
      <c r="F129" s="1793">
        <v>15</v>
      </c>
    </row>
    <row r="130" spans="1:14" ht="24">
      <c r="A130" s="1793">
        <v>58</v>
      </c>
      <c r="B130" s="3924" t="s">
        <v>1485</v>
      </c>
      <c r="C130" s="1793" t="s">
        <v>1486</v>
      </c>
      <c r="D130" s="1764" t="s">
        <v>1487</v>
      </c>
      <c r="E130" s="1815">
        <v>0.1</v>
      </c>
      <c r="F130" s="1793">
        <v>15</v>
      </c>
    </row>
    <row r="131" spans="1:14" ht="24">
      <c r="A131" s="1793">
        <v>59</v>
      </c>
      <c r="B131" s="3924"/>
      <c r="C131" s="1793" t="s">
        <v>1488</v>
      </c>
      <c r="D131" s="1764" t="s">
        <v>1489</v>
      </c>
      <c r="E131" s="1815">
        <v>0.1</v>
      </c>
      <c r="F131" s="1793">
        <v>15</v>
      </c>
    </row>
    <row r="132" spans="1:14" ht="24">
      <c r="A132" s="1793">
        <v>60</v>
      </c>
      <c r="B132" s="3922" t="s">
        <v>1490</v>
      </c>
      <c r="C132" s="1793" t="s">
        <v>1491</v>
      </c>
      <c r="D132" s="1764" t="s">
        <v>1492</v>
      </c>
      <c r="E132" s="1815">
        <v>0.1</v>
      </c>
      <c r="F132" s="1793">
        <v>15</v>
      </c>
    </row>
    <row r="133" spans="1:14" ht="24">
      <c r="A133" s="1793">
        <v>61</v>
      </c>
      <c r="B133" s="3923"/>
      <c r="C133" s="1793" t="s">
        <v>1493</v>
      </c>
      <c r="D133" s="1764" t="s">
        <v>1494</v>
      </c>
      <c r="E133" s="1815">
        <v>0.1</v>
      </c>
      <c r="F133" s="1793">
        <v>15</v>
      </c>
    </row>
    <row r="134" spans="1:14" ht="24">
      <c r="A134" s="1793">
        <v>62</v>
      </c>
      <c r="B134" s="1793" t="s">
        <v>1495</v>
      </c>
      <c r="C134" s="1793" t="s">
        <v>1496</v>
      </c>
      <c r="D134" s="1764" t="s">
        <v>1497</v>
      </c>
      <c r="E134" s="1815">
        <v>0.1</v>
      </c>
      <c r="F134" s="1793">
        <v>15</v>
      </c>
    </row>
    <row r="135" spans="1:14" ht="24">
      <c r="A135" s="1793">
        <v>63</v>
      </c>
      <c r="B135" s="3924" t="s">
        <v>1498</v>
      </c>
      <c r="C135" s="1793" t="s">
        <v>1499</v>
      </c>
      <c r="D135" s="1764" t="s">
        <v>1500</v>
      </c>
      <c r="E135" s="1815">
        <v>0.1</v>
      </c>
      <c r="F135" s="1793">
        <v>15</v>
      </c>
    </row>
    <row r="136" spans="1:14">
      <c r="A136" s="1793">
        <v>64</v>
      </c>
      <c r="B136" s="3924"/>
      <c r="C136" s="1793" t="s">
        <v>1501</v>
      </c>
      <c r="D136" s="1764" t="s">
        <v>1502</v>
      </c>
      <c r="E136" s="1815">
        <v>0.1</v>
      </c>
      <c r="F136" s="1793">
        <v>15</v>
      </c>
    </row>
    <row r="137" spans="1:14" ht="24">
      <c r="A137" s="1793">
        <v>65</v>
      </c>
      <c r="B137" s="1793" t="s">
        <v>1503</v>
      </c>
      <c r="C137" s="1793" t="s">
        <v>1504</v>
      </c>
      <c r="D137" s="1764" t="s">
        <v>1505</v>
      </c>
      <c r="E137" s="1815">
        <v>0.1</v>
      </c>
      <c r="F137" s="1793">
        <v>15</v>
      </c>
    </row>
    <row r="138" spans="1:14">
      <c r="A138" s="1813"/>
      <c r="B138" s="1813"/>
      <c r="C138" s="1813"/>
      <c r="D138" s="1767"/>
      <c r="E138" s="1814"/>
      <c r="F138" s="1813"/>
    </row>
    <row r="139" spans="1:14">
      <c r="A139" s="1813"/>
      <c r="B139" s="1813"/>
      <c r="C139" s="1813"/>
      <c r="D139" s="1813"/>
      <c r="E139" s="1814"/>
      <c r="F139" s="1813"/>
    </row>
    <row r="141" spans="1:14">
      <c r="A141" s="1816"/>
      <c r="B141" s="1816"/>
      <c r="C141" s="1816"/>
      <c r="D141" s="1816"/>
      <c r="E141" s="1816"/>
      <c r="F141" s="1816"/>
      <c r="G141" s="1816"/>
      <c r="H141" s="1816"/>
      <c r="I141" s="1816"/>
      <c r="J141" s="1816"/>
      <c r="K141" s="1817"/>
      <c r="L141" s="1817"/>
      <c r="M141" s="1817"/>
      <c r="N141" s="181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4" customWidth="1"/>
    <col min="2" max="2" width="15" style="1684" customWidth="1"/>
    <col min="3" max="6" width="10.25" style="1684" customWidth="1"/>
    <col min="7" max="7" width="9" style="1684"/>
    <col min="8" max="8" width="9" style="1683"/>
    <col min="9" max="9" width="9" style="1685"/>
    <col min="10" max="10" width="17.375" style="1686" customWidth="1"/>
    <col min="11" max="21" width="17.375" style="1684" customWidth="1"/>
    <col min="22" max="16384" width="9" style="1685"/>
  </cols>
  <sheetData>
    <row r="1" spans="1:21">
      <c r="A1" s="3925" t="s">
        <v>1506</v>
      </c>
      <c r="B1" s="3925"/>
      <c r="C1" s="3925"/>
      <c r="D1" s="3925"/>
      <c r="E1" s="3925"/>
      <c r="F1" s="3925"/>
      <c r="G1" s="3926"/>
      <c r="I1" s="1682"/>
      <c r="J1" s="1718" t="s">
        <v>238</v>
      </c>
      <c r="K1" s="1719" t="s">
        <v>251</v>
      </c>
      <c r="L1" s="1719" t="s">
        <v>263</v>
      </c>
      <c r="M1" s="1719" t="s">
        <v>273</v>
      </c>
      <c r="N1" s="1719" t="s">
        <v>282</v>
      </c>
      <c r="O1" s="1719" t="s">
        <v>290</v>
      </c>
      <c r="P1" s="1719" t="s">
        <v>295</v>
      </c>
      <c r="Q1" s="1719" t="s">
        <v>301</v>
      </c>
      <c r="R1" s="1719" t="s">
        <v>305</v>
      </c>
      <c r="S1" s="1719" t="s">
        <v>309</v>
      </c>
      <c r="T1" s="1719" t="s">
        <v>313</v>
      </c>
      <c r="U1" s="1730" t="s">
        <v>317</v>
      </c>
    </row>
    <row r="2" spans="1:21">
      <c r="A2" s="1687" t="s">
        <v>1507</v>
      </c>
      <c r="B2" s="1687"/>
      <c r="C2" s="1687"/>
      <c r="D2" s="1687"/>
      <c r="E2" s="1687"/>
      <c r="F2" s="1687"/>
      <c r="G2" s="1688" t="s">
        <v>1508</v>
      </c>
      <c r="J2" s="1720" t="s">
        <v>1509</v>
      </c>
      <c r="K2" s="1698" t="s">
        <v>1510</v>
      </c>
      <c r="L2" s="1698" t="s">
        <v>1511</v>
      </c>
      <c r="M2" s="1698" t="s">
        <v>1512</v>
      </c>
      <c r="N2" s="1698" t="s">
        <v>1513</v>
      </c>
      <c r="O2" s="1698" t="s">
        <v>1514</v>
      </c>
      <c r="P2" s="1698" t="s">
        <v>1515</v>
      </c>
      <c r="Q2" s="1698" t="s">
        <v>1516</v>
      </c>
      <c r="R2" s="1698" t="s">
        <v>1517</v>
      </c>
      <c r="S2" s="1698" t="s">
        <v>1518</v>
      </c>
      <c r="T2" s="1698" t="s">
        <v>1519</v>
      </c>
      <c r="U2" s="1698" t="s">
        <v>1520</v>
      </c>
    </row>
    <row r="3" spans="1:21" s="1682" customFormat="1" ht="19.5" customHeight="1">
      <c r="A3" s="3927" t="s">
        <v>1521</v>
      </c>
      <c r="B3" s="1689"/>
      <c r="C3" s="1690" t="s">
        <v>435</v>
      </c>
      <c r="D3" s="1690" t="s">
        <v>436</v>
      </c>
      <c r="E3" s="1690" t="s">
        <v>402</v>
      </c>
      <c r="F3" s="1690" t="s">
        <v>164</v>
      </c>
      <c r="G3" s="1690" t="s">
        <v>297</v>
      </c>
      <c r="H3" s="1691"/>
      <c r="J3" s="1720" t="s">
        <v>1522</v>
      </c>
      <c r="K3" s="1698" t="s">
        <v>1523</v>
      </c>
      <c r="L3" s="1698" t="s">
        <v>1524</v>
      </c>
      <c r="M3" s="1698" t="s">
        <v>1525</v>
      </c>
      <c r="N3" s="1698" t="s">
        <v>1526</v>
      </c>
      <c r="O3" s="1698" t="s">
        <v>1527</v>
      </c>
      <c r="P3" s="1698" t="s">
        <v>1528</v>
      </c>
      <c r="Q3" s="1698" t="s">
        <v>1529</v>
      </c>
      <c r="R3" s="1698" t="s">
        <v>1530</v>
      </c>
      <c r="S3" s="1698" t="s">
        <v>1531</v>
      </c>
      <c r="T3" s="1698" t="s">
        <v>1532</v>
      </c>
      <c r="U3" s="1698" t="s">
        <v>1533</v>
      </c>
    </row>
    <row r="4" spans="1:21" s="1682" customFormat="1" ht="19.5" customHeight="1">
      <c r="A4" s="3928"/>
      <c r="B4" s="1692" t="s">
        <v>478</v>
      </c>
      <c r="C4" s="1692" t="s">
        <v>1534</v>
      </c>
      <c r="D4" s="1692" t="s">
        <v>1534</v>
      </c>
      <c r="E4" s="1692" t="s">
        <v>1534</v>
      </c>
      <c r="F4" s="1693" t="s">
        <v>1534</v>
      </c>
      <c r="G4" s="1693" t="s">
        <v>1534</v>
      </c>
      <c r="H4" s="1691"/>
      <c r="J4" s="1720" t="s">
        <v>1535</v>
      </c>
      <c r="K4" s="1698" t="s">
        <v>1536</v>
      </c>
      <c r="L4" s="1698" t="s">
        <v>1537</v>
      </c>
      <c r="M4" s="1698" t="s">
        <v>1538</v>
      </c>
      <c r="N4" s="1698" t="s">
        <v>1539</v>
      </c>
      <c r="O4" s="1698" t="s">
        <v>1540</v>
      </c>
      <c r="P4" s="1698" t="s">
        <v>1541</v>
      </c>
      <c r="Q4" s="1698" t="s">
        <v>1542</v>
      </c>
      <c r="R4" s="1698" t="s">
        <v>1543</v>
      </c>
      <c r="S4" s="1698" t="s">
        <v>1544</v>
      </c>
      <c r="T4" s="1698" t="s">
        <v>1545</v>
      </c>
      <c r="U4" s="1698" t="s">
        <v>1546</v>
      </c>
    </row>
    <row r="5" spans="1:21" ht="14.25" customHeight="1">
      <c r="A5" s="1694" t="s">
        <v>238</v>
      </c>
      <c r="B5" s="1695" t="s">
        <v>1509</v>
      </c>
      <c r="C5" s="1695">
        <v>34550</v>
      </c>
      <c r="D5" s="1695">
        <v>34470</v>
      </c>
      <c r="E5" s="1695">
        <v>34330</v>
      </c>
      <c r="F5" s="1696">
        <v>13400</v>
      </c>
      <c r="G5" s="1696">
        <v>25450</v>
      </c>
      <c r="H5" s="1697" t="s">
        <v>238</v>
      </c>
      <c r="I5" s="1721">
        <f>SUMPRODUCT((B5:B9=基准地价!I2)*(C3:G3=基准地价!E2)*(C5:G9))</f>
        <v>0</v>
      </c>
      <c r="J5" s="1720" t="s">
        <v>1547</v>
      </c>
      <c r="K5" s="1698" t="s">
        <v>1548</v>
      </c>
      <c r="L5" s="1698" t="s">
        <v>1549</v>
      </c>
      <c r="M5" s="1698" t="s">
        <v>1550</v>
      </c>
      <c r="N5" s="1698" t="s">
        <v>1551</v>
      </c>
      <c r="O5" s="1698" t="s">
        <v>1552</v>
      </c>
      <c r="P5" s="1698" t="s">
        <v>1553</v>
      </c>
      <c r="Q5" s="1698" t="s">
        <v>1554</v>
      </c>
      <c r="R5" s="1698" t="s">
        <v>1555</v>
      </c>
      <c r="S5" s="1698" t="s">
        <v>1556</v>
      </c>
      <c r="T5" s="1698" t="s">
        <v>1557</v>
      </c>
      <c r="U5" s="1698" t="s">
        <v>1558</v>
      </c>
    </row>
    <row r="6" spans="1:21" ht="14.25" customHeight="1">
      <c r="A6" s="1698" t="s">
        <v>238</v>
      </c>
      <c r="B6" s="1698" t="s">
        <v>1522</v>
      </c>
      <c r="C6" s="1698">
        <v>36990</v>
      </c>
      <c r="D6" s="1698">
        <v>36850</v>
      </c>
      <c r="E6" s="1698">
        <v>36700</v>
      </c>
      <c r="F6" s="1699">
        <v>14590</v>
      </c>
      <c r="G6" s="1699">
        <v>27450</v>
      </c>
      <c r="H6" s="1700" t="s">
        <v>251</v>
      </c>
      <c r="I6" s="1722">
        <f>SUMPRODUCT((B10:B29=基准地价!I2)*(C3:G3=基准地价!E2)*(C10:G29))</f>
        <v>0</v>
      </c>
      <c r="J6" s="1720" t="s">
        <v>1559</v>
      </c>
      <c r="K6" s="1698" t="s">
        <v>1560</v>
      </c>
      <c r="L6" s="1698" t="s">
        <v>1561</v>
      </c>
      <c r="M6" s="1698" t="s">
        <v>1562</v>
      </c>
      <c r="N6" s="1698" t="s">
        <v>1563</v>
      </c>
      <c r="O6" s="1698" t="s">
        <v>1564</v>
      </c>
      <c r="P6" s="1698" t="s">
        <v>1565</v>
      </c>
      <c r="Q6" s="1698" t="s">
        <v>1566</v>
      </c>
      <c r="R6" s="1698" t="s">
        <v>1567</v>
      </c>
      <c r="S6" s="1698" t="s">
        <v>1568</v>
      </c>
      <c r="T6" s="1698" t="s">
        <v>1569</v>
      </c>
      <c r="U6" s="1698" t="s">
        <v>1570</v>
      </c>
    </row>
    <row r="7" spans="1:21" ht="14.25" customHeight="1">
      <c r="A7" s="1698" t="s">
        <v>238</v>
      </c>
      <c r="B7" s="1701" t="s">
        <v>1535</v>
      </c>
      <c r="C7" s="1698">
        <v>34850</v>
      </c>
      <c r="D7" s="1698">
        <v>34690</v>
      </c>
      <c r="E7" s="1698">
        <v>34550</v>
      </c>
      <c r="F7" s="1699">
        <v>14360</v>
      </c>
      <c r="G7" s="1699">
        <v>25620</v>
      </c>
      <c r="H7" s="1700" t="s">
        <v>263</v>
      </c>
      <c r="I7" s="1722">
        <f>SUMPRODUCT((B30:B54=基准地价!I2)*(C3:G3=基准地价!E2)*(C30:G54))</f>
        <v>0</v>
      </c>
      <c r="K7" s="1698" t="s">
        <v>1571</v>
      </c>
      <c r="L7" s="1698" t="s">
        <v>1572</v>
      </c>
      <c r="M7" s="1698" t="s">
        <v>1573</v>
      </c>
      <c r="N7" s="1698" t="s">
        <v>1574</v>
      </c>
      <c r="O7" s="1698" t="s">
        <v>1575</v>
      </c>
      <c r="P7" s="1698" t="s">
        <v>1576</v>
      </c>
      <c r="Q7" s="1698" t="s">
        <v>1577</v>
      </c>
      <c r="R7" s="1698" t="s">
        <v>1578</v>
      </c>
      <c r="S7" s="1698" t="s">
        <v>1579</v>
      </c>
      <c r="T7" s="1698" t="s">
        <v>1580</v>
      </c>
      <c r="U7" s="1701" t="s">
        <v>1581</v>
      </c>
    </row>
    <row r="8" spans="1:21" ht="14.25" customHeight="1">
      <c r="A8" s="1698" t="s">
        <v>238</v>
      </c>
      <c r="B8" s="1698" t="s">
        <v>1547</v>
      </c>
      <c r="C8" s="1698">
        <v>32630</v>
      </c>
      <c r="D8" s="1698">
        <v>32510</v>
      </c>
      <c r="E8" s="1698">
        <v>32420</v>
      </c>
      <c r="F8" s="1699">
        <v>13300</v>
      </c>
      <c r="G8" s="1699">
        <v>24010</v>
      </c>
      <c r="H8" s="1700" t="s">
        <v>273</v>
      </c>
      <c r="I8" s="1722">
        <f>SUMPRODUCT((B55:B86=基准地价!I2)*(C3:G3=基准地价!E2)*(C55:G86))</f>
        <v>0</v>
      </c>
      <c r="K8" s="1698" t="s">
        <v>1582</v>
      </c>
      <c r="L8" s="1698" t="s">
        <v>1583</v>
      </c>
      <c r="M8" s="1698" t="s">
        <v>1584</v>
      </c>
      <c r="N8" s="1698" t="s">
        <v>1585</v>
      </c>
      <c r="O8" s="1698" t="s">
        <v>1586</v>
      </c>
      <c r="P8" s="1698" t="s">
        <v>1587</v>
      </c>
      <c r="Q8" s="1698" t="s">
        <v>1588</v>
      </c>
      <c r="R8" s="1698" t="s">
        <v>1589</v>
      </c>
      <c r="S8" s="1698" t="s">
        <v>1590</v>
      </c>
      <c r="T8" s="1698" t="s">
        <v>1591</v>
      </c>
      <c r="U8" s="1698" t="s">
        <v>1592</v>
      </c>
    </row>
    <row r="9" spans="1:21" ht="14.25" customHeight="1">
      <c r="A9" s="1702" t="s">
        <v>238</v>
      </c>
      <c r="B9" s="1703" t="s">
        <v>1559</v>
      </c>
      <c r="C9" s="1704">
        <v>36370</v>
      </c>
      <c r="D9" s="1704">
        <v>36210</v>
      </c>
      <c r="E9" s="1704">
        <v>36050</v>
      </c>
      <c r="F9" s="1705"/>
      <c r="G9" s="1706">
        <v>26740</v>
      </c>
      <c r="H9" s="1700" t="s">
        <v>282</v>
      </c>
      <c r="I9" s="1722">
        <f>SUMPRODUCT((B87:B126=基准地价!I2)*(C3:G3=基准地价!E2)*(C87:G126))</f>
        <v>0</v>
      </c>
      <c r="K9" s="1698" t="s">
        <v>1593</v>
      </c>
      <c r="L9" s="1698" t="s">
        <v>1594</v>
      </c>
      <c r="M9" s="1698" t="s">
        <v>1595</v>
      </c>
      <c r="N9" s="1698" t="s">
        <v>1596</v>
      </c>
      <c r="O9" s="1698" t="s">
        <v>1597</v>
      </c>
      <c r="P9" s="1698" t="s">
        <v>1598</v>
      </c>
      <c r="Q9" s="1698" t="s">
        <v>1599</v>
      </c>
      <c r="R9" s="1698" t="s">
        <v>1600</v>
      </c>
      <c r="S9" s="1698" t="s">
        <v>1601</v>
      </c>
      <c r="T9" s="1698" t="s">
        <v>1602</v>
      </c>
    </row>
    <row r="10" spans="1:21" ht="14.25" customHeight="1">
      <c r="A10" s="1694" t="s">
        <v>251</v>
      </c>
      <c r="B10" s="1695" t="s">
        <v>1510</v>
      </c>
      <c r="C10" s="1695">
        <v>32350</v>
      </c>
      <c r="D10" s="1695">
        <v>31430</v>
      </c>
      <c r="E10" s="1695">
        <v>31320</v>
      </c>
      <c r="F10" s="1696">
        <v>10850</v>
      </c>
      <c r="G10" s="1696">
        <v>22860</v>
      </c>
      <c r="H10" s="1700" t="s">
        <v>290</v>
      </c>
      <c r="I10" s="1722">
        <f>SUMPRODUCT((B127:B189=基准地价!I2)*(C3:G3=基准地价!E2)*(C127:G189))</f>
        <v>0</v>
      </c>
      <c r="K10" s="1698" t="s">
        <v>1603</v>
      </c>
      <c r="L10" s="1698" t="s">
        <v>1604</v>
      </c>
      <c r="M10" s="1698" t="s">
        <v>1605</v>
      </c>
      <c r="N10" s="1698" t="s">
        <v>1606</v>
      </c>
      <c r="O10" s="1698" t="s">
        <v>1607</v>
      </c>
      <c r="P10" s="1698" t="s">
        <v>1608</v>
      </c>
      <c r="Q10" s="1698" t="s">
        <v>1609</v>
      </c>
      <c r="R10" s="1698" t="s">
        <v>1610</v>
      </c>
      <c r="S10" s="1698" t="s">
        <v>1611</v>
      </c>
      <c r="T10" s="1698" t="s">
        <v>1612</v>
      </c>
    </row>
    <row r="11" spans="1:21" ht="14.25" customHeight="1">
      <c r="A11" s="1698" t="s">
        <v>251</v>
      </c>
      <c r="B11" s="1701" t="s">
        <v>1523</v>
      </c>
      <c r="C11" s="1698">
        <v>31590</v>
      </c>
      <c r="D11" s="1698">
        <v>29490</v>
      </c>
      <c r="E11" s="1698">
        <v>28700</v>
      </c>
      <c r="F11" s="1707">
        <v>10410</v>
      </c>
      <c r="G11" s="1707">
        <v>21460</v>
      </c>
      <c r="H11" s="1700" t="s">
        <v>295</v>
      </c>
      <c r="I11" s="1722">
        <f>SUMPRODUCT((B190:B233=基准地价!I2)*(C3:G3=基准地价!E2)*(C190:G233))</f>
        <v>0</v>
      </c>
      <c r="K11" s="1698" t="s">
        <v>1613</v>
      </c>
      <c r="L11" s="1698" t="s">
        <v>1614</v>
      </c>
      <c r="M11" s="1698" t="s">
        <v>1615</v>
      </c>
      <c r="N11" s="1698" t="s">
        <v>1616</v>
      </c>
      <c r="O11" s="1698" t="s">
        <v>1617</v>
      </c>
      <c r="P11" s="1698" t="s">
        <v>1618</v>
      </c>
      <c r="Q11" s="1698" t="s">
        <v>1619</v>
      </c>
      <c r="R11" s="1698" t="s">
        <v>1620</v>
      </c>
      <c r="S11" s="1698" t="s">
        <v>1621</v>
      </c>
      <c r="T11" s="1698" t="s">
        <v>1622</v>
      </c>
    </row>
    <row r="12" spans="1:21" ht="14.25" customHeight="1">
      <c r="A12" s="1698" t="s">
        <v>251</v>
      </c>
      <c r="B12" s="1701" t="s">
        <v>1536</v>
      </c>
      <c r="C12" s="1698">
        <v>29640</v>
      </c>
      <c r="D12" s="1698">
        <v>27550</v>
      </c>
      <c r="E12" s="1698">
        <v>28010</v>
      </c>
      <c r="F12" s="1707">
        <v>8730</v>
      </c>
      <c r="G12" s="1707">
        <v>20050</v>
      </c>
      <c r="H12" s="1700" t="s">
        <v>301</v>
      </c>
      <c r="I12" s="1722">
        <f>SUMPRODUCT((B234:B276=基准地价!I2)*(C3:G3=基准地价!E2)*(C234:G276))</f>
        <v>0</v>
      </c>
      <c r="K12" s="1698" t="s">
        <v>1623</v>
      </c>
      <c r="L12" s="1698" t="s">
        <v>1624</v>
      </c>
      <c r="M12" s="1698" t="s">
        <v>1625</v>
      </c>
      <c r="N12" s="1698" t="s">
        <v>1626</v>
      </c>
      <c r="O12" s="1698" t="s">
        <v>1627</v>
      </c>
      <c r="P12" s="1698" t="s">
        <v>1628</v>
      </c>
      <c r="Q12" s="1698" t="s">
        <v>1629</v>
      </c>
      <c r="R12" s="1698" t="s">
        <v>1630</v>
      </c>
      <c r="S12" s="1698" t="s">
        <v>1631</v>
      </c>
      <c r="T12" s="1698" t="s">
        <v>1632</v>
      </c>
    </row>
    <row r="13" spans="1:21" ht="14.25" customHeight="1">
      <c r="A13" s="1698" t="s">
        <v>251</v>
      </c>
      <c r="B13" s="1701" t="s">
        <v>1548</v>
      </c>
      <c r="C13" s="1698">
        <v>29680</v>
      </c>
      <c r="D13" s="1698">
        <v>27660</v>
      </c>
      <c r="E13" s="1698">
        <v>28210</v>
      </c>
      <c r="F13" s="1707">
        <v>9590</v>
      </c>
      <c r="G13" s="1707">
        <v>20120</v>
      </c>
      <c r="H13" s="1700" t="s">
        <v>305</v>
      </c>
      <c r="I13" s="1722">
        <f>SUMPRODUCT((B277:B326=基准地价!I2)*(C3:G3=基准地价!E2)*(C277:G326))</f>
        <v>0</v>
      </c>
      <c r="K13" s="1698" t="s">
        <v>1633</v>
      </c>
      <c r="L13" s="1698" t="s">
        <v>1634</v>
      </c>
      <c r="M13" s="1698" t="s">
        <v>1635</v>
      </c>
      <c r="N13" s="1698" t="s">
        <v>1636</v>
      </c>
      <c r="O13" s="1698" t="s">
        <v>1637</v>
      </c>
      <c r="P13" s="1698" t="s">
        <v>1638</v>
      </c>
      <c r="Q13" s="1698" t="s">
        <v>1639</v>
      </c>
      <c r="R13" s="1698" t="s">
        <v>1640</v>
      </c>
      <c r="S13" s="1698" t="s">
        <v>1641</v>
      </c>
      <c r="T13" s="1698" t="s">
        <v>1642</v>
      </c>
    </row>
    <row r="14" spans="1:21" ht="14.25" customHeight="1">
      <c r="A14" s="1698" t="s">
        <v>251</v>
      </c>
      <c r="B14" s="1701" t="s">
        <v>1560</v>
      </c>
      <c r="C14" s="1698">
        <v>30520</v>
      </c>
      <c r="D14" s="1698">
        <v>29510</v>
      </c>
      <c r="E14" s="1698">
        <v>29400</v>
      </c>
      <c r="F14" s="1707">
        <v>9630</v>
      </c>
      <c r="G14" s="1707">
        <v>21480</v>
      </c>
      <c r="H14" s="1700" t="s">
        <v>309</v>
      </c>
      <c r="I14" s="1722">
        <f>SUMPRODUCT((B327:B357=基准地价!I2)*(C3:G3=基准地价!E2)*(C327:G357))</f>
        <v>0</v>
      </c>
      <c r="K14" s="1698" t="s">
        <v>1643</v>
      </c>
      <c r="L14" s="1698" t="s">
        <v>1644</v>
      </c>
      <c r="M14" s="1698" t="s">
        <v>1645</v>
      </c>
      <c r="N14" s="1698" t="s">
        <v>1646</v>
      </c>
      <c r="O14" s="1698" t="s">
        <v>1647</v>
      </c>
      <c r="P14" s="1698" t="s">
        <v>1648</v>
      </c>
      <c r="Q14" s="1698" t="s">
        <v>1649</v>
      </c>
      <c r="R14" s="1698" t="s">
        <v>1650</v>
      </c>
      <c r="S14" s="1698" t="s">
        <v>1651</v>
      </c>
      <c r="T14" s="1698" t="s">
        <v>1652</v>
      </c>
    </row>
    <row r="15" spans="1:21" ht="14.25" customHeight="1">
      <c r="A15" s="1698" t="s">
        <v>251</v>
      </c>
      <c r="B15" s="1701" t="s">
        <v>1571</v>
      </c>
      <c r="C15" s="1698">
        <v>29090</v>
      </c>
      <c r="D15" s="1698">
        <v>27590</v>
      </c>
      <c r="E15" s="1698">
        <v>28120</v>
      </c>
      <c r="F15" s="1707">
        <v>9110</v>
      </c>
      <c r="G15" s="1707">
        <v>20070</v>
      </c>
      <c r="H15" s="1700" t="s">
        <v>313</v>
      </c>
      <c r="I15" s="1722">
        <f>SUMPRODUCT((B358:B377=基准地价!I2)*(C3:G3=基准地价!E2)*(C358:G377))</f>
        <v>0</v>
      </c>
      <c r="K15" s="1698" t="s">
        <v>1653</v>
      </c>
      <c r="L15" s="1698" t="s">
        <v>1654</v>
      </c>
      <c r="M15" s="1698" t="s">
        <v>1655</v>
      </c>
      <c r="N15" s="1698" t="s">
        <v>1656</v>
      </c>
      <c r="O15" s="1698" t="s">
        <v>1657</v>
      </c>
      <c r="P15" s="1698" t="s">
        <v>1658</v>
      </c>
      <c r="Q15" s="1698" t="s">
        <v>1659</v>
      </c>
      <c r="R15" s="1698" t="s">
        <v>1660</v>
      </c>
      <c r="S15" s="1698" t="s">
        <v>1661</v>
      </c>
      <c r="T15" s="1698" t="s">
        <v>1662</v>
      </c>
    </row>
    <row r="16" spans="1:21" ht="14.25" customHeight="1">
      <c r="A16" s="1698" t="s">
        <v>251</v>
      </c>
      <c r="B16" s="1701" t="s">
        <v>1582</v>
      </c>
      <c r="C16" s="1698">
        <v>26790</v>
      </c>
      <c r="D16" s="1698">
        <v>30370</v>
      </c>
      <c r="E16" s="1698">
        <v>30240</v>
      </c>
      <c r="F16" s="1707">
        <v>11590</v>
      </c>
      <c r="G16" s="1707">
        <v>22090</v>
      </c>
      <c r="H16" s="1708" t="s">
        <v>317</v>
      </c>
      <c r="I16" s="1723">
        <f>SUMPRODUCT((B378:B384=基准地价!I2)*(C3:G3=基准地价!E2)*(C378:G384))</f>
        <v>0</v>
      </c>
      <c r="K16" s="1698" t="s">
        <v>1663</v>
      </c>
      <c r="L16" s="1698" t="s">
        <v>1664</v>
      </c>
      <c r="M16" s="1698" t="s">
        <v>1665</v>
      </c>
      <c r="N16" s="1698" t="s">
        <v>1666</v>
      </c>
      <c r="O16" s="1698" t="s">
        <v>1667</v>
      </c>
      <c r="P16" s="1698" t="s">
        <v>1668</v>
      </c>
      <c r="Q16" s="1698" t="s">
        <v>1669</v>
      </c>
      <c r="R16" s="1698" t="s">
        <v>1670</v>
      </c>
      <c r="S16" s="1698" t="s">
        <v>1671</v>
      </c>
      <c r="T16" s="1698" t="s">
        <v>1672</v>
      </c>
    </row>
    <row r="17" spans="1:20" ht="14.25" customHeight="1">
      <c r="A17" s="1698" t="s">
        <v>251</v>
      </c>
      <c r="B17" s="1701" t="s">
        <v>1593</v>
      </c>
      <c r="C17" s="1698">
        <v>29180</v>
      </c>
      <c r="D17" s="1698">
        <v>27620</v>
      </c>
      <c r="E17" s="1698">
        <v>28180</v>
      </c>
      <c r="F17" s="1707">
        <v>10790</v>
      </c>
      <c r="G17" s="1709">
        <v>20090</v>
      </c>
      <c r="I17" s="1724"/>
      <c r="K17" s="1698" t="s">
        <v>1673</v>
      </c>
      <c r="L17" s="1698" t="s">
        <v>1674</v>
      </c>
      <c r="M17" s="1698" t="s">
        <v>1675</v>
      </c>
      <c r="N17" s="1698" t="s">
        <v>1676</v>
      </c>
      <c r="O17" s="1698" t="s">
        <v>1677</v>
      </c>
      <c r="P17" s="1698" t="s">
        <v>1678</v>
      </c>
      <c r="Q17" s="1698" t="s">
        <v>1679</v>
      </c>
      <c r="R17" s="1698" t="s">
        <v>1680</v>
      </c>
      <c r="S17" s="1698" t="s">
        <v>1681</v>
      </c>
      <c r="T17" s="1698" t="s">
        <v>1682</v>
      </c>
    </row>
    <row r="18" spans="1:20" ht="14.25" customHeight="1">
      <c r="A18" s="1698" t="s">
        <v>251</v>
      </c>
      <c r="B18" s="1701" t="s">
        <v>1603</v>
      </c>
      <c r="C18" s="1698">
        <v>26840</v>
      </c>
      <c r="D18" s="1698">
        <v>28930</v>
      </c>
      <c r="E18" s="1698">
        <v>28820</v>
      </c>
      <c r="F18" s="1707"/>
      <c r="G18" s="1709">
        <v>21050</v>
      </c>
      <c r="I18" s="1724"/>
      <c r="K18" s="1698" t="s">
        <v>1683</v>
      </c>
      <c r="L18" s="1698" t="s">
        <v>1684</v>
      </c>
      <c r="M18" s="1698" t="s">
        <v>1685</v>
      </c>
      <c r="N18" s="1698" t="s">
        <v>1686</v>
      </c>
      <c r="O18" s="1698" t="s">
        <v>1687</v>
      </c>
      <c r="P18" s="1698" t="s">
        <v>1688</v>
      </c>
      <c r="Q18" s="1698" t="s">
        <v>1689</v>
      </c>
      <c r="R18" s="1698" t="s">
        <v>1690</v>
      </c>
      <c r="S18" s="1698" t="s">
        <v>1691</v>
      </c>
      <c r="T18" s="1698" t="s">
        <v>1692</v>
      </c>
    </row>
    <row r="19" spans="1:20" ht="14.25" customHeight="1">
      <c r="A19" s="1698" t="s">
        <v>251</v>
      </c>
      <c r="B19" s="1701" t="s">
        <v>1613</v>
      </c>
      <c r="C19" s="1698">
        <v>27750</v>
      </c>
      <c r="D19" s="1698">
        <v>26680</v>
      </c>
      <c r="E19" s="1698">
        <v>26590</v>
      </c>
      <c r="F19" s="1707"/>
      <c r="G19" s="1709">
        <v>19420</v>
      </c>
      <c r="I19" s="1724"/>
      <c r="K19" s="1698" t="s">
        <v>1693</v>
      </c>
      <c r="L19" s="1698" t="s">
        <v>1694</v>
      </c>
      <c r="M19" s="1698" t="s">
        <v>1695</v>
      </c>
      <c r="N19" s="1698" t="s">
        <v>1696</v>
      </c>
      <c r="O19" s="1698" t="s">
        <v>1697</v>
      </c>
      <c r="P19" s="1698" t="s">
        <v>1698</v>
      </c>
      <c r="Q19" s="1698" t="s">
        <v>1699</v>
      </c>
      <c r="R19" s="1698" t="s">
        <v>1700</v>
      </c>
      <c r="S19" s="1698" t="s">
        <v>1701</v>
      </c>
      <c r="T19" s="1698" t="s">
        <v>1702</v>
      </c>
    </row>
    <row r="20" spans="1:20" ht="14.25" customHeight="1">
      <c r="A20" s="1698" t="s">
        <v>251</v>
      </c>
      <c r="B20" s="1701" t="s">
        <v>1623</v>
      </c>
      <c r="C20" s="1698">
        <v>27050</v>
      </c>
      <c r="D20" s="1698">
        <v>29010</v>
      </c>
      <c r="E20" s="1698">
        <v>28910</v>
      </c>
      <c r="F20" s="1707"/>
      <c r="G20" s="1709">
        <v>21110</v>
      </c>
      <c r="K20" s="1698" t="s">
        <v>1703</v>
      </c>
      <c r="L20" s="1698" t="s">
        <v>1704</v>
      </c>
      <c r="M20" s="1698" t="s">
        <v>1705</v>
      </c>
      <c r="N20" s="1698" t="s">
        <v>1706</v>
      </c>
      <c r="O20" s="1698" t="s">
        <v>1707</v>
      </c>
      <c r="P20" s="1698" t="s">
        <v>1708</v>
      </c>
      <c r="Q20" s="1698" t="s">
        <v>1709</v>
      </c>
      <c r="R20" s="1698" t="s">
        <v>1710</v>
      </c>
      <c r="S20" s="1698" t="s">
        <v>1711</v>
      </c>
      <c r="T20" s="1698" t="s">
        <v>1712</v>
      </c>
    </row>
    <row r="21" spans="1:20" ht="14.25" customHeight="1">
      <c r="A21" s="1698" t="s">
        <v>251</v>
      </c>
      <c r="B21" s="1701" t="s">
        <v>1633</v>
      </c>
      <c r="C21" s="1698">
        <v>32370</v>
      </c>
      <c r="D21" s="1698">
        <v>26730</v>
      </c>
      <c r="E21" s="1698">
        <v>26640</v>
      </c>
      <c r="F21" s="1707"/>
      <c r="G21" s="1709">
        <v>19440</v>
      </c>
      <c r="K21" s="1725" t="s">
        <v>1713</v>
      </c>
      <c r="L21" s="1698" t="s">
        <v>1714</v>
      </c>
      <c r="M21" s="1698" t="s">
        <v>1715</v>
      </c>
      <c r="N21" s="1698" t="s">
        <v>1716</v>
      </c>
      <c r="O21" s="1698" t="s">
        <v>1717</v>
      </c>
      <c r="P21" s="1698" t="s">
        <v>1718</v>
      </c>
      <c r="Q21" s="1698" t="s">
        <v>1719</v>
      </c>
      <c r="R21" s="1698" t="s">
        <v>1720</v>
      </c>
      <c r="S21" s="1698" t="s">
        <v>1721</v>
      </c>
      <c r="T21" s="1698" t="s">
        <v>1722</v>
      </c>
    </row>
    <row r="22" spans="1:20" ht="14.25" customHeight="1">
      <c r="A22" s="1698" t="s">
        <v>251</v>
      </c>
      <c r="B22" s="1701" t="s">
        <v>1643</v>
      </c>
      <c r="C22" s="1698">
        <v>29830</v>
      </c>
      <c r="D22" s="1698">
        <v>27600</v>
      </c>
      <c r="E22" s="1698">
        <v>28150</v>
      </c>
      <c r="F22" s="1707"/>
      <c r="G22" s="1709">
        <v>20080</v>
      </c>
      <c r="L22" s="1725" t="s">
        <v>1723</v>
      </c>
      <c r="M22" s="1698" t="s">
        <v>1724</v>
      </c>
      <c r="N22" s="1698" t="s">
        <v>1725</v>
      </c>
      <c r="O22" s="1698" t="s">
        <v>1726</v>
      </c>
      <c r="P22" s="1698" t="s">
        <v>1727</v>
      </c>
      <c r="Q22" s="1698" t="s">
        <v>1728</v>
      </c>
      <c r="R22" s="1698" t="s">
        <v>1729</v>
      </c>
      <c r="S22" s="1698" t="s">
        <v>1730</v>
      </c>
      <c r="T22" s="1701"/>
    </row>
    <row r="23" spans="1:20" ht="14.25" customHeight="1">
      <c r="A23" s="1698" t="s">
        <v>251</v>
      </c>
      <c r="B23" s="1701" t="s">
        <v>1653</v>
      </c>
      <c r="C23" s="1698">
        <v>27800</v>
      </c>
      <c r="D23" s="1698">
        <v>26900</v>
      </c>
      <c r="E23" s="1698">
        <v>27170</v>
      </c>
      <c r="F23" s="1707"/>
      <c r="G23" s="1709">
        <v>19570</v>
      </c>
      <c r="L23" s="1725" t="s">
        <v>1731</v>
      </c>
      <c r="M23" s="1698" t="s">
        <v>1732</v>
      </c>
      <c r="N23" s="1698" t="s">
        <v>1733</v>
      </c>
      <c r="O23" s="1698" t="s">
        <v>1734</v>
      </c>
      <c r="P23" s="1698" t="s">
        <v>1735</v>
      </c>
      <c r="Q23" s="1698" t="s">
        <v>1736</v>
      </c>
      <c r="R23" s="1698" t="s">
        <v>1737</v>
      </c>
      <c r="S23" s="1698" t="s">
        <v>1738</v>
      </c>
    </row>
    <row r="24" spans="1:20" ht="14.25" customHeight="1">
      <c r="A24" s="1698" t="s">
        <v>251</v>
      </c>
      <c r="B24" s="1701" t="s">
        <v>1663</v>
      </c>
      <c r="C24" s="1698">
        <v>27930</v>
      </c>
      <c r="D24" s="1698">
        <v>32260</v>
      </c>
      <c r="E24" s="1698">
        <v>32120</v>
      </c>
      <c r="F24" s="1707"/>
      <c r="G24" s="1709">
        <v>23470</v>
      </c>
      <c r="L24" s="1725" t="s">
        <v>1739</v>
      </c>
      <c r="M24" s="1698" t="s">
        <v>1740</v>
      </c>
      <c r="N24" s="1698" t="s">
        <v>1741</v>
      </c>
      <c r="O24" s="1698" t="s">
        <v>1742</v>
      </c>
      <c r="P24" s="1698" t="s">
        <v>1743</v>
      </c>
      <c r="Q24" s="1698" t="s">
        <v>1744</v>
      </c>
      <c r="R24" s="1698" t="s">
        <v>1745</v>
      </c>
      <c r="S24" s="1698" t="s">
        <v>1746</v>
      </c>
    </row>
    <row r="25" spans="1:20" ht="14.25" customHeight="1">
      <c r="A25" s="1698" t="s">
        <v>251</v>
      </c>
      <c r="B25" s="1701" t="s">
        <v>1673</v>
      </c>
      <c r="C25" s="1698">
        <v>32230</v>
      </c>
      <c r="D25" s="1698">
        <v>29640</v>
      </c>
      <c r="E25" s="1698">
        <v>29510</v>
      </c>
      <c r="F25" s="1707"/>
      <c r="G25" s="1709">
        <v>21560</v>
      </c>
      <c r="L25" s="1725" t="s">
        <v>1747</v>
      </c>
      <c r="M25" s="1698" t="s">
        <v>1748</v>
      </c>
      <c r="N25" s="1698" t="s">
        <v>1749</v>
      </c>
      <c r="O25" s="1698" t="s">
        <v>1750</v>
      </c>
      <c r="P25" s="1698" t="s">
        <v>1751</v>
      </c>
      <c r="Q25" s="1698" t="s">
        <v>1752</v>
      </c>
      <c r="R25" s="1698" t="s">
        <v>1753</v>
      </c>
      <c r="S25" s="1698" t="s">
        <v>1754</v>
      </c>
    </row>
    <row r="26" spans="1:20" ht="14.25" customHeight="1">
      <c r="A26" s="1698" t="s">
        <v>251</v>
      </c>
      <c r="B26" s="1701" t="s">
        <v>1683</v>
      </c>
      <c r="C26" s="1698">
        <v>31690</v>
      </c>
      <c r="D26" s="1698">
        <v>27650</v>
      </c>
      <c r="E26" s="1698">
        <v>28200</v>
      </c>
      <c r="F26" s="1707"/>
      <c r="G26" s="1709">
        <v>20110</v>
      </c>
      <c r="L26" s="1725" t="s">
        <v>1755</v>
      </c>
      <c r="M26" s="1698" t="s">
        <v>1756</v>
      </c>
      <c r="N26" s="1698" t="s">
        <v>1757</v>
      </c>
      <c r="O26" s="1698" t="s">
        <v>1758</v>
      </c>
      <c r="P26" s="1698" t="s">
        <v>1759</v>
      </c>
      <c r="Q26" s="1698" t="s">
        <v>1760</v>
      </c>
      <c r="R26" s="1698" t="s">
        <v>1761</v>
      </c>
      <c r="S26" s="1698" t="s">
        <v>479</v>
      </c>
    </row>
    <row r="27" spans="1:20" ht="14.25" customHeight="1">
      <c r="A27" s="1698" t="s">
        <v>251</v>
      </c>
      <c r="B27" s="1701" t="s">
        <v>1693</v>
      </c>
      <c r="C27" s="1698">
        <v>29610</v>
      </c>
      <c r="D27" s="1698">
        <v>27770</v>
      </c>
      <c r="E27" s="1698">
        <v>28300</v>
      </c>
      <c r="F27" s="1707"/>
      <c r="G27" s="1709">
        <v>20210</v>
      </c>
      <c r="M27" s="1698" t="s">
        <v>1762</v>
      </c>
      <c r="N27" s="1698" t="s">
        <v>1763</v>
      </c>
      <c r="O27" s="1698" t="s">
        <v>1764</v>
      </c>
      <c r="P27" s="1698" t="s">
        <v>1765</v>
      </c>
      <c r="Q27" s="1698" t="s">
        <v>1766</v>
      </c>
      <c r="R27" s="1698" t="s">
        <v>1767</v>
      </c>
      <c r="S27" s="1698" t="s">
        <v>1768</v>
      </c>
    </row>
    <row r="28" spans="1:20" ht="14.25" customHeight="1">
      <c r="A28" s="1702" t="s">
        <v>251</v>
      </c>
      <c r="B28" s="1710" t="s">
        <v>1703</v>
      </c>
      <c r="C28" s="1711"/>
      <c r="D28" s="1711">
        <v>31520</v>
      </c>
      <c r="E28" s="1711">
        <v>31410</v>
      </c>
      <c r="F28" s="1712"/>
      <c r="G28" s="1713">
        <v>22940</v>
      </c>
      <c r="M28" s="1698" t="s">
        <v>1769</v>
      </c>
      <c r="N28" s="1698" t="s">
        <v>1770</v>
      </c>
      <c r="O28" s="1698" t="s">
        <v>1771</v>
      </c>
      <c r="P28" s="1698" t="s">
        <v>1772</v>
      </c>
      <c r="Q28" s="1698" t="s">
        <v>1773</v>
      </c>
      <c r="R28" s="1698" t="s">
        <v>1774</v>
      </c>
      <c r="S28" s="1725" t="s">
        <v>1775</v>
      </c>
    </row>
    <row r="29" spans="1:20" ht="14.25" customHeight="1">
      <c r="A29" s="1714" t="s">
        <v>251</v>
      </c>
      <c r="B29" s="1704" t="s">
        <v>1713</v>
      </c>
      <c r="C29" s="1704"/>
      <c r="D29" s="1704">
        <v>29460</v>
      </c>
      <c r="E29" s="1704">
        <v>28640</v>
      </c>
      <c r="F29" s="1705"/>
      <c r="G29" s="1715">
        <v>21430</v>
      </c>
      <c r="M29" s="1725" t="s">
        <v>1776</v>
      </c>
      <c r="N29" s="1698" t="s">
        <v>1777</v>
      </c>
      <c r="O29" s="1698" t="s">
        <v>1778</v>
      </c>
      <c r="P29" s="1698" t="s">
        <v>1779</v>
      </c>
      <c r="Q29" s="1698" t="s">
        <v>1780</v>
      </c>
      <c r="R29" s="1698" t="s">
        <v>1781</v>
      </c>
      <c r="S29" s="1725" t="s">
        <v>1782</v>
      </c>
    </row>
    <row r="30" spans="1:20" ht="14.25" customHeight="1">
      <c r="A30" s="1702" t="s">
        <v>263</v>
      </c>
      <c r="B30" s="1701" t="s">
        <v>1511</v>
      </c>
      <c r="C30" s="1701">
        <v>26890</v>
      </c>
      <c r="D30" s="1701">
        <v>26770</v>
      </c>
      <c r="E30" s="1701">
        <v>25700</v>
      </c>
      <c r="F30" s="1699">
        <v>8180</v>
      </c>
      <c r="G30" s="1699">
        <v>18740</v>
      </c>
      <c r="I30" s="1724"/>
      <c r="M30" s="1725" t="s">
        <v>1783</v>
      </c>
      <c r="N30" s="1698" t="s">
        <v>1784</v>
      </c>
      <c r="O30" s="1698" t="s">
        <v>1785</v>
      </c>
      <c r="P30" s="1698" t="s">
        <v>1786</v>
      </c>
      <c r="Q30" s="1698" t="s">
        <v>1787</v>
      </c>
      <c r="R30" s="1698" t="s">
        <v>1788</v>
      </c>
      <c r="S30" s="1725" t="s">
        <v>1789</v>
      </c>
    </row>
    <row r="31" spans="1:20" ht="14.25" customHeight="1">
      <c r="A31" s="1698" t="s">
        <v>263</v>
      </c>
      <c r="B31" s="1701" t="s">
        <v>1524</v>
      </c>
      <c r="C31" s="1698">
        <v>24550</v>
      </c>
      <c r="D31" s="1698">
        <v>23990</v>
      </c>
      <c r="E31" s="1698">
        <v>22930</v>
      </c>
      <c r="F31" s="1707">
        <v>7470</v>
      </c>
      <c r="G31" s="1707">
        <v>16790</v>
      </c>
      <c r="I31" s="1724"/>
      <c r="M31" s="1725" t="s">
        <v>1790</v>
      </c>
      <c r="N31" s="1698" t="s">
        <v>1791</v>
      </c>
      <c r="O31" s="1698" t="s">
        <v>1792</v>
      </c>
      <c r="P31" s="1698" t="s">
        <v>1793</v>
      </c>
      <c r="Q31" s="1698" t="s">
        <v>1794</v>
      </c>
      <c r="R31" s="1698" t="s">
        <v>1795</v>
      </c>
      <c r="S31" s="1725" t="s">
        <v>1796</v>
      </c>
    </row>
    <row r="32" spans="1:20" ht="14.25" customHeight="1">
      <c r="A32" s="1698" t="s">
        <v>263</v>
      </c>
      <c r="B32" s="1701" t="s">
        <v>1537</v>
      </c>
      <c r="C32" s="1698">
        <v>27210</v>
      </c>
      <c r="D32" s="1698">
        <v>23240</v>
      </c>
      <c r="E32" s="1698">
        <v>23260</v>
      </c>
      <c r="F32" s="1707">
        <v>7130</v>
      </c>
      <c r="G32" s="1707">
        <v>16270</v>
      </c>
      <c r="I32" s="1724"/>
      <c r="M32" s="1725" t="s">
        <v>1797</v>
      </c>
      <c r="N32" s="1698" t="s">
        <v>1798</v>
      </c>
      <c r="O32" s="1698" t="s">
        <v>1799</v>
      </c>
      <c r="P32" s="1698" t="s">
        <v>1800</v>
      </c>
      <c r="Q32" s="1698" t="s">
        <v>1801</v>
      </c>
      <c r="R32" s="1698" t="s">
        <v>1802</v>
      </c>
      <c r="S32" s="1725" t="s">
        <v>1803</v>
      </c>
    </row>
    <row r="33" spans="1:18" ht="14.25" customHeight="1">
      <c r="A33" s="1698" t="s">
        <v>263</v>
      </c>
      <c r="B33" s="1701" t="s">
        <v>1549</v>
      </c>
      <c r="C33" s="1698">
        <v>27300</v>
      </c>
      <c r="D33" s="1698">
        <v>22980</v>
      </c>
      <c r="E33" s="1698">
        <v>24260</v>
      </c>
      <c r="F33" s="1707">
        <v>5860</v>
      </c>
      <c r="G33" s="1707">
        <v>16090</v>
      </c>
      <c r="I33" s="1724"/>
      <c r="M33" s="1725" t="s">
        <v>1804</v>
      </c>
      <c r="N33" s="1698" t="s">
        <v>1805</v>
      </c>
      <c r="O33" s="1698" t="s">
        <v>1806</v>
      </c>
      <c r="P33" s="1698" t="s">
        <v>1807</v>
      </c>
      <c r="Q33" s="1698" t="s">
        <v>1808</v>
      </c>
      <c r="R33" s="1698" t="s">
        <v>1809</v>
      </c>
    </row>
    <row r="34" spans="1:18" ht="14.25" customHeight="1">
      <c r="A34" s="1698" t="s">
        <v>263</v>
      </c>
      <c r="B34" s="1701" t="s">
        <v>1561</v>
      </c>
      <c r="C34" s="1698">
        <v>23090</v>
      </c>
      <c r="D34" s="1698">
        <v>23390</v>
      </c>
      <c r="E34" s="1698">
        <v>23510</v>
      </c>
      <c r="F34" s="1707">
        <v>6700</v>
      </c>
      <c r="G34" s="1707">
        <v>16370</v>
      </c>
      <c r="I34" s="1724"/>
      <c r="N34" s="1698" t="s">
        <v>1810</v>
      </c>
      <c r="O34" s="1698" t="s">
        <v>1811</v>
      </c>
      <c r="P34" s="1698" t="s">
        <v>1812</v>
      </c>
      <c r="Q34" s="1698" t="s">
        <v>1813</v>
      </c>
      <c r="R34" s="1698" t="s">
        <v>1814</v>
      </c>
    </row>
    <row r="35" spans="1:18" ht="14.25" customHeight="1">
      <c r="A35" s="1698" t="s">
        <v>263</v>
      </c>
      <c r="B35" s="1701" t="s">
        <v>1572</v>
      </c>
      <c r="C35" s="1698">
        <v>27270</v>
      </c>
      <c r="D35" s="1698">
        <v>24270</v>
      </c>
      <c r="E35" s="1698">
        <v>24950</v>
      </c>
      <c r="F35" s="1707">
        <v>6600</v>
      </c>
      <c r="G35" s="1707">
        <v>16990</v>
      </c>
      <c r="I35" s="1724"/>
      <c r="N35" s="1698" t="s">
        <v>1815</v>
      </c>
      <c r="O35" s="1698" t="s">
        <v>1816</v>
      </c>
      <c r="P35" s="1698" t="s">
        <v>1817</v>
      </c>
      <c r="Q35" s="1698" t="s">
        <v>1818</v>
      </c>
      <c r="R35" s="1698" t="s">
        <v>1819</v>
      </c>
    </row>
    <row r="36" spans="1:18" ht="14.25" customHeight="1">
      <c r="A36" s="1698" t="s">
        <v>263</v>
      </c>
      <c r="B36" s="1701" t="s">
        <v>1583</v>
      </c>
      <c r="C36" s="1698">
        <v>23490</v>
      </c>
      <c r="D36" s="1698">
        <v>23020</v>
      </c>
      <c r="E36" s="1698">
        <v>25230</v>
      </c>
      <c r="F36" s="1707">
        <v>6780</v>
      </c>
      <c r="G36" s="1707">
        <v>16120</v>
      </c>
      <c r="I36" s="1724"/>
      <c r="N36" s="1725" t="s">
        <v>1820</v>
      </c>
      <c r="O36" s="1726" t="s">
        <v>1821</v>
      </c>
      <c r="P36" s="1698" t="s">
        <v>1822</v>
      </c>
      <c r="Q36" s="1698" t="s">
        <v>1823</v>
      </c>
      <c r="R36" s="1698" t="s">
        <v>1824</v>
      </c>
    </row>
    <row r="37" spans="1:18" ht="14.25" customHeight="1">
      <c r="A37" s="1698" t="s">
        <v>263</v>
      </c>
      <c r="B37" s="1701" t="s">
        <v>1594</v>
      </c>
      <c r="C37" s="1698">
        <v>24380</v>
      </c>
      <c r="D37" s="1698">
        <v>22240</v>
      </c>
      <c r="E37" s="1698">
        <v>25980</v>
      </c>
      <c r="F37" s="1707">
        <v>8160</v>
      </c>
      <c r="G37" s="1707">
        <v>15570</v>
      </c>
      <c r="I37" s="1727"/>
      <c r="N37" s="1725" t="s">
        <v>1825</v>
      </c>
      <c r="O37" s="1726" t="s">
        <v>1826</v>
      </c>
      <c r="P37" s="1698" t="s">
        <v>1827</v>
      </c>
      <c r="Q37" s="1698" t="s">
        <v>1828</v>
      </c>
      <c r="R37" s="1698" t="s">
        <v>1829</v>
      </c>
    </row>
    <row r="38" spans="1:18" ht="14.25" customHeight="1">
      <c r="A38" s="1698" t="s">
        <v>263</v>
      </c>
      <c r="B38" s="1701" t="s">
        <v>1604</v>
      </c>
      <c r="C38" s="1698">
        <v>23120</v>
      </c>
      <c r="D38" s="1698">
        <v>24630</v>
      </c>
      <c r="E38" s="1698">
        <v>25030</v>
      </c>
      <c r="F38" s="1707">
        <v>7710</v>
      </c>
      <c r="G38" s="1707">
        <v>17240</v>
      </c>
      <c r="I38" s="1728"/>
      <c r="N38" s="1725" t="s">
        <v>1830</v>
      </c>
      <c r="O38" s="1726" t="s">
        <v>1831</v>
      </c>
      <c r="P38" s="1698" t="s">
        <v>1832</v>
      </c>
      <c r="Q38" s="1698" t="s">
        <v>1833</v>
      </c>
      <c r="R38" s="1698" t="s">
        <v>1834</v>
      </c>
    </row>
    <row r="39" spans="1:18" ht="14.25" customHeight="1">
      <c r="A39" s="1698" t="s">
        <v>263</v>
      </c>
      <c r="B39" s="1701" t="s">
        <v>1614</v>
      </c>
      <c r="C39" s="1698">
        <v>22330</v>
      </c>
      <c r="D39" s="1698">
        <v>21140</v>
      </c>
      <c r="E39" s="1698">
        <v>23970</v>
      </c>
      <c r="F39" s="1707">
        <v>7940</v>
      </c>
      <c r="G39" s="1707">
        <v>14790</v>
      </c>
      <c r="I39" s="1728"/>
      <c r="N39" s="1725" t="s">
        <v>1835</v>
      </c>
      <c r="O39" s="1726" t="s">
        <v>1836</v>
      </c>
      <c r="P39" s="1698" t="s">
        <v>1837</v>
      </c>
      <c r="Q39" s="1698" t="s">
        <v>1838</v>
      </c>
      <c r="R39" s="1698" t="s">
        <v>1839</v>
      </c>
    </row>
    <row r="40" spans="1:18" ht="14.25" customHeight="1">
      <c r="A40" s="1698" t="s">
        <v>263</v>
      </c>
      <c r="B40" s="1701" t="s">
        <v>1624</v>
      </c>
      <c r="C40" s="1698">
        <v>24740</v>
      </c>
      <c r="D40" s="1698">
        <v>24690</v>
      </c>
      <c r="E40" s="1698">
        <v>22610</v>
      </c>
      <c r="F40" s="1707"/>
      <c r="G40" s="1707">
        <v>17280</v>
      </c>
      <c r="I40" s="1728"/>
      <c r="N40" s="1725" t="s">
        <v>1840</v>
      </c>
      <c r="O40" s="1726" t="s">
        <v>1841</v>
      </c>
      <c r="P40" s="1698" t="s">
        <v>1842</v>
      </c>
      <c r="Q40" s="1698" t="s">
        <v>1843</v>
      </c>
      <c r="R40" s="1698" t="s">
        <v>1844</v>
      </c>
    </row>
    <row r="41" spans="1:18" ht="14.25" customHeight="1">
      <c r="A41" s="1698" t="s">
        <v>263</v>
      </c>
      <c r="B41" s="1701" t="s">
        <v>1634</v>
      </c>
      <c r="C41" s="1698">
        <v>21220</v>
      </c>
      <c r="D41" s="1698">
        <v>21120</v>
      </c>
      <c r="E41" s="1698">
        <v>22590</v>
      </c>
      <c r="F41" s="1707"/>
      <c r="G41" s="1707">
        <v>14780</v>
      </c>
      <c r="I41" s="1728"/>
      <c r="N41" s="1725" t="s">
        <v>1845</v>
      </c>
      <c r="O41" s="1729" t="s">
        <v>1846</v>
      </c>
      <c r="P41" s="1701" t="s">
        <v>1847</v>
      </c>
      <c r="Q41" s="1725" t="s">
        <v>1848</v>
      </c>
      <c r="R41" s="1701" t="s">
        <v>1849</v>
      </c>
    </row>
    <row r="42" spans="1:18" ht="14.25" customHeight="1">
      <c r="A42" s="1698" t="s">
        <v>263</v>
      </c>
      <c r="B42" s="1701" t="s">
        <v>1644</v>
      </c>
      <c r="C42" s="1698">
        <v>24800</v>
      </c>
      <c r="D42" s="1698">
        <v>22280</v>
      </c>
      <c r="E42" s="1698">
        <v>24350</v>
      </c>
      <c r="F42" s="1707"/>
      <c r="G42" s="1707">
        <v>15590</v>
      </c>
      <c r="I42" s="1728"/>
      <c r="O42" s="1698" t="s">
        <v>1850</v>
      </c>
      <c r="P42" s="1698" t="s">
        <v>1851</v>
      </c>
      <c r="Q42" s="1725" t="s">
        <v>1852</v>
      </c>
      <c r="R42" s="1698" t="s">
        <v>1853</v>
      </c>
    </row>
    <row r="43" spans="1:18" ht="14.25" customHeight="1">
      <c r="A43" s="1698" t="s">
        <v>263</v>
      </c>
      <c r="B43" s="1701" t="s">
        <v>1654</v>
      </c>
      <c r="C43" s="1698">
        <v>21210</v>
      </c>
      <c r="D43" s="1698">
        <v>21160</v>
      </c>
      <c r="E43" s="1698">
        <v>22650</v>
      </c>
      <c r="F43" s="1707"/>
      <c r="G43" s="1707">
        <v>14800</v>
      </c>
      <c r="I43" s="1728"/>
      <c r="O43" s="1698" t="s">
        <v>1854</v>
      </c>
      <c r="P43" s="1698" t="s">
        <v>1855</v>
      </c>
      <c r="Q43" s="1725" t="s">
        <v>1856</v>
      </c>
      <c r="R43" s="1698" t="s">
        <v>1857</v>
      </c>
    </row>
    <row r="44" spans="1:18" ht="14.25" customHeight="1">
      <c r="A44" s="1698" t="s">
        <v>263</v>
      </c>
      <c r="B44" s="1701" t="s">
        <v>1664</v>
      </c>
      <c r="C44" s="1698">
        <v>22370</v>
      </c>
      <c r="D44" s="1698">
        <v>23140</v>
      </c>
      <c r="E44" s="1698">
        <v>25090</v>
      </c>
      <c r="F44" s="1707"/>
      <c r="G44" s="1707">
        <v>16190</v>
      </c>
      <c r="I44" s="1728"/>
      <c r="O44" s="1698" t="s">
        <v>1858</v>
      </c>
      <c r="P44" s="1698" t="s">
        <v>1859</v>
      </c>
      <c r="Q44" s="1725" t="s">
        <v>1860</v>
      </c>
      <c r="R44" s="1698" t="s">
        <v>1861</v>
      </c>
    </row>
    <row r="45" spans="1:18" ht="14.25" customHeight="1">
      <c r="A45" s="1698" t="s">
        <v>263</v>
      </c>
      <c r="B45" s="1701" t="s">
        <v>1674</v>
      </c>
      <c r="C45" s="1698">
        <v>21240</v>
      </c>
      <c r="D45" s="1698">
        <v>27050</v>
      </c>
      <c r="E45" s="1698">
        <v>28000</v>
      </c>
      <c r="F45" s="1707"/>
      <c r="G45" s="1707">
        <v>18940</v>
      </c>
      <c r="I45" s="1724"/>
      <c r="O45" s="1698" t="s">
        <v>1862</v>
      </c>
      <c r="P45" s="1698" t="s">
        <v>1863</v>
      </c>
      <c r="R45" s="1698" t="s">
        <v>1864</v>
      </c>
    </row>
    <row r="46" spans="1:18" ht="14.25" customHeight="1">
      <c r="A46" s="1698" t="s">
        <v>263</v>
      </c>
      <c r="B46" s="1701" t="s">
        <v>1684</v>
      </c>
      <c r="C46" s="1698">
        <v>23240</v>
      </c>
      <c r="D46" s="1698">
        <v>23000</v>
      </c>
      <c r="E46" s="1698">
        <v>24980</v>
      </c>
      <c r="F46" s="1707"/>
      <c r="G46" s="1707">
        <v>16100</v>
      </c>
      <c r="I46" s="1728"/>
      <c r="O46" s="1698" t="s">
        <v>1865</v>
      </c>
      <c r="P46" s="1698"/>
      <c r="R46" s="1698" t="s">
        <v>1866</v>
      </c>
    </row>
    <row r="47" spans="1:18" ht="14.25" customHeight="1">
      <c r="A47" s="1698" t="s">
        <v>263</v>
      </c>
      <c r="B47" s="1710" t="s">
        <v>1694</v>
      </c>
      <c r="C47" s="1711">
        <v>27150</v>
      </c>
      <c r="D47" s="1711">
        <v>23310</v>
      </c>
      <c r="E47" s="1711">
        <v>25150</v>
      </c>
      <c r="F47" s="1712"/>
      <c r="G47" s="1712">
        <v>16310</v>
      </c>
      <c r="I47" s="1728"/>
      <c r="O47" s="1698" t="s">
        <v>1867</v>
      </c>
      <c r="P47" s="1698"/>
      <c r="R47" s="1725" t="s">
        <v>1868</v>
      </c>
    </row>
    <row r="48" spans="1:18" ht="14.25" customHeight="1">
      <c r="A48" s="1698" t="s">
        <v>263</v>
      </c>
      <c r="B48" s="1698" t="s">
        <v>1704</v>
      </c>
      <c r="C48" s="1698">
        <v>23100</v>
      </c>
      <c r="D48" s="1698">
        <v>21110</v>
      </c>
      <c r="E48" s="1698">
        <v>23080</v>
      </c>
      <c r="F48" s="1707"/>
      <c r="G48" s="1716">
        <v>14780</v>
      </c>
      <c r="I48" s="1724"/>
      <c r="O48" s="1698" t="s">
        <v>1869</v>
      </c>
      <c r="P48" s="1698"/>
      <c r="R48" s="1725" t="s">
        <v>1870</v>
      </c>
    </row>
    <row r="49" spans="1:18" ht="14.25" customHeight="1">
      <c r="A49" s="1698" t="s">
        <v>263</v>
      </c>
      <c r="B49" s="1701" t="s">
        <v>1714</v>
      </c>
      <c r="C49" s="1701">
        <v>23400</v>
      </c>
      <c r="D49" s="1701">
        <v>22920</v>
      </c>
      <c r="E49" s="1701">
        <v>24900</v>
      </c>
      <c r="F49" s="1699"/>
      <c r="G49" s="1699">
        <v>16040</v>
      </c>
      <c r="I49" s="1728"/>
      <c r="O49" s="1698" t="s">
        <v>1871</v>
      </c>
      <c r="P49" s="1698"/>
      <c r="R49" s="1725" t="s">
        <v>1872</v>
      </c>
    </row>
    <row r="50" spans="1:18" ht="14.25" customHeight="1">
      <c r="A50" s="1698" t="s">
        <v>263</v>
      </c>
      <c r="B50" s="1698" t="s">
        <v>1723</v>
      </c>
      <c r="C50" s="1698">
        <v>21200</v>
      </c>
      <c r="D50" s="1698">
        <v>26540</v>
      </c>
      <c r="E50" s="1698">
        <v>23200</v>
      </c>
      <c r="F50" s="1707"/>
      <c r="G50" s="1707">
        <v>18580</v>
      </c>
      <c r="I50" s="1728"/>
      <c r="O50" s="1725" t="s">
        <v>1873</v>
      </c>
      <c r="R50" s="1725" t="s">
        <v>1874</v>
      </c>
    </row>
    <row r="51" spans="1:18" ht="14.25" customHeight="1">
      <c r="A51" s="1698" t="s">
        <v>263</v>
      </c>
      <c r="B51" s="1698" t="s">
        <v>1731</v>
      </c>
      <c r="C51" s="1698">
        <v>23000</v>
      </c>
      <c r="D51" s="1698">
        <v>23460</v>
      </c>
      <c r="E51" s="1698">
        <v>25290</v>
      </c>
      <c r="F51" s="1707"/>
      <c r="G51" s="1707">
        <v>16420</v>
      </c>
      <c r="I51" s="1728"/>
      <c r="O51" s="1725" t="s">
        <v>1875</v>
      </c>
      <c r="R51" s="1725" t="s">
        <v>1876</v>
      </c>
    </row>
    <row r="52" spans="1:18" ht="14.25" customHeight="1">
      <c r="A52" s="1698" t="s">
        <v>263</v>
      </c>
      <c r="B52" s="1698" t="s">
        <v>1739</v>
      </c>
      <c r="C52" s="1698">
        <v>26660</v>
      </c>
      <c r="D52" s="1698">
        <v>22350</v>
      </c>
      <c r="E52" s="1698">
        <v>22920</v>
      </c>
      <c r="F52" s="1707"/>
      <c r="G52" s="1707">
        <v>15640</v>
      </c>
      <c r="I52" s="1728"/>
      <c r="O52" s="1725" t="s">
        <v>1877</v>
      </c>
    </row>
    <row r="53" spans="1:18" ht="14.25" customHeight="1">
      <c r="A53" s="1698" t="s">
        <v>263</v>
      </c>
      <c r="B53" s="1698" t="s">
        <v>1747</v>
      </c>
      <c r="C53" s="1698">
        <v>23580</v>
      </c>
      <c r="D53" s="1698"/>
      <c r="E53" s="1698">
        <v>24280</v>
      </c>
      <c r="F53" s="1707"/>
      <c r="G53" s="1707"/>
      <c r="I53" s="1728"/>
      <c r="O53" s="1725" t="s">
        <v>1878</v>
      </c>
    </row>
    <row r="54" spans="1:18" ht="14.25" customHeight="1">
      <c r="A54" s="1714" t="s">
        <v>263</v>
      </c>
      <c r="B54" s="1704" t="s">
        <v>1755</v>
      </c>
      <c r="C54" s="1704">
        <v>22460</v>
      </c>
      <c r="D54" s="1704"/>
      <c r="E54" s="1704"/>
      <c r="F54" s="1705"/>
      <c r="G54" s="1715"/>
      <c r="I54" s="1728"/>
      <c r="O54" s="1725" t="s">
        <v>1879</v>
      </c>
    </row>
    <row r="55" spans="1:18" ht="14.25" customHeight="1">
      <c r="A55" s="1702" t="s">
        <v>273</v>
      </c>
      <c r="B55" s="1701" t="s">
        <v>1512</v>
      </c>
      <c r="C55" s="1701">
        <v>21970</v>
      </c>
      <c r="D55" s="1701">
        <v>20370</v>
      </c>
      <c r="E55" s="1701">
        <v>20180</v>
      </c>
      <c r="F55" s="1699">
        <v>5730</v>
      </c>
      <c r="G55" s="1699">
        <v>13820</v>
      </c>
      <c r="I55" s="1728"/>
      <c r="O55" s="1725" t="s">
        <v>1880</v>
      </c>
    </row>
    <row r="56" spans="1:18" ht="14.25" customHeight="1">
      <c r="A56" s="1698" t="s">
        <v>273</v>
      </c>
      <c r="B56" s="1698" t="s">
        <v>1525</v>
      </c>
      <c r="C56" s="1698">
        <v>20470</v>
      </c>
      <c r="D56" s="1698">
        <v>20700</v>
      </c>
      <c r="E56" s="1698">
        <v>20380</v>
      </c>
      <c r="F56" s="1707">
        <v>4760</v>
      </c>
      <c r="G56" s="1707">
        <v>14050</v>
      </c>
      <c r="I56" s="1728"/>
      <c r="O56" s="1725" t="s">
        <v>1881</v>
      </c>
    </row>
    <row r="57" spans="1:18" ht="14.25" customHeight="1">
      <c r="A57" s="1698" t="s">
        <v>273</v>
      </c>
      <c r="B57" s="1698" t="s">
        <v>1538</v>
      </c>
      <c r="C57" s="1698">
        <v>20790</v>
      </c>
      <c r="D57" s="1698">
        <v>21370</v>
      </c>
      <c r="E57" s="1698">
        <v>20890</v>
      </c>
      <c r="F57" s="1707">
        <v>4910</v>
      </c>
      <c r="G57" s="1707">
        <v>14510</v>
      </c>
      <c r="I57" s="1728"/>
      <c r="O57" s="1725" t="s">
        <v>1882</v>
      </c>
    </row>
    <row r="58" spans="1:18" ht="14.25" customHeight="1">
      <c r="A58" s="1698" t="s">
        <v>273</v>
      </c>
      <c r="B58" s="1698" t="s">
        <v>1550</v>
      </c>
      <c r="C58" s="1698">
        <v>21460</v>
      </c>
      <c r="D58" s="1698">
        <v>20920</v>
      </c>
      <c r="E58" s="1698">
        <v>23410</v>
      </c>
      <c r="F58" s="1707">
        <v>5100</v>
      </c>
      <c r="G58" s="1707">
        <v>14200</v>
      </c>
      <c r="I58" s="1728"/>
      <c r="O58" s="1725" t="s">
        <v>1883</v>
      </c>
    </row>
    <row r="59" spans="1:18" ht="14.25" customHeight="1">
      <c r="A59" s="1698" t="s">
        <v>273</v>
      </c>
      <c r="B59" s="1698" t="s">
        <v>1562</v>
      </c>
      <c r="C59" s="1698">
        <v>21000</v>
      </c>
      <c r="D59" s="1698">
        <v>21550</v>
      </c>
      <c r="E59" s="1698">
        <v>21150</v>
      </c>
      <c r="F59" s="1707">
        <v>5250</v>
      </c>
      <c r="G59" s="1707">
        <v>14630</v>
      </c>
      <c r="I59" s="1728"/>
      <c r="O59" s="1725" t="s">
        <v>1884</v>
      </c>
    </row>
    <row r="60" spans="1:18" ht="14.25" customHeight="1">
      <c r="A60" s="1698" t="s">
        <v>273</v>
      </c>
      <c r="B60" s="1698" t="s">
        <v>1573</v>
      </c>
      <c r="C60" s="1698">
        <v>21640</v>
      </c>
      <c r="D60" s="1698">
        <v>21260</v>
      </c>
      <c r="E60" s="1698">
        <v>24040</v>
      </c>
      <c r="F60" s="1707">
        <v>4470</v>
      </c>
      <c r="G60" s="1707">
        <v>14430</v>
      </c>
      <c r="I60" s="1728"/>
      <c r="O60" s="1725" t="s">
        <v>1885</v>
      </c>
    </row>
    <row r="61" spans="1:18" ht="14.25" customHeight="1">
      <c r="A61" s="1698" t="s">
        <v>273</v>
      </c>
      <c r="B61" s="1698" t="s">
        <v>1584</v>
      </c>
      <c r="C61" s="1698">
        <v>21330</v>
      </c>
      <c r="D61" s="1698">
        <v>18640</v>
      </c>
      <c r="E61" s="1698">
        <v>21190</v>
      </c>
      <c r="F61" s="1707">
        <v>4180</v>
      </c>
      <c r="G61" s="1717">
        <v>12650</v>
      </c>
      <c r="I61" s="1728"/>
      <c r="O61" s="1725" t="s">
        <v>1886</v>
      </c>
    </row>
    <row r="62" spans="1:18" ht="14.25" customHeight="1">
      <c r="A62" s="1698" t="s">
        <v>273</v>
      </c>
      <c r="B62" s="1698" t="s">
        <v>1595</v>
      </c>
      <c r="C62" s="1698">
        <v>18710</v>
      </c>
      <c r="D62" s="1698">
        <v>19400</v>
      </c>
      <c r="E62" s="1698">
        <v>23750</v>
      </c>
      <c r="F62" s="1707">
        <v>4860</v>
      </c>
      <c r="G62" s="1717">
        <v>13170</v>
      </c>
      <c r="I62" s="1728"/>
      <c r="O62" s="1725" t="s">
        <v>1887</v>
      </c>
    </row>
    <row r="63" spans="1:18" ht="14.25" customHeight="1">
      <c r="A63" s="1698" t="s">
        <v>273</v>
      </c>
      <c r="B63" s="1698" t="s">
        <v>1605</v>
      </c>
      <c r="C63" s="1698">
        <v>19480</v>
      </c>
      <c r="D63" s="1698">
        <v>16830</v>
      </c>
      <c r="E63" s="1698">
        <v>21590</v>
      </c>
      <c r="F63" s="1707">
        <v>4560</v>
      </c>
      <c r="G63" s="1717">
        <v>11420</v>
      </c>
      <c r="I63" s="1728"/>
      <c r="O63" s="1725" t="s">
        <v>1888</v>
      </c>
    </row>
    <row r="64" spans="1:18" ht="14.25" customHeight="1">
      <c r="A64" s="1698" t="s">
        <v>273</v>
      </c>
      <c r="B64" s="1698" t="s">
        <v>1615</v>
      </c>
      <c r="C64" s="1698">
        <v>16920</v>
      </c>
      <c r="D64" s="1698">
        <v>19190</v>
      </c>
      <c r="E64" s="1698">
        <v>22200</v>
      </c>
      <c r="F64" s="1707">
        <v>4390</v>
      </c>
      <c r="G64" s="1717">
        <v>13030</v>
      </c>
      <c r="I64" s="1728"/>
      <c r="O64" s="1725" t="s">
        <v>1889</v>
      </c>
    </row>
    <row r="65" spans="1:21" s="1683" customFormat="1" ht="14.25" customHeight="1">
      <c r="A65" s="1698" t="s">
        <v>273</v>
      </c>
      <c r="B65" s="1698" t="s">
        <v>1625</v>
      </c>
      <c r="C65" s="1698">
        <v>19290</v>
      </c>
      <c r="D65" s="1698">
        <v>17020</v>
      </c>
      <c r="E65" s="1698">
        <v>19880</v>
      </c>
      <c r="F65" s="1707">
        <v>4070</v>
      </c>
      <c r="G65" s="1707">
        <v>11550</v>
      </c>
      <c r="I65" s="1728"/>
      <c r="J65" s="1686"/>
      <c r="K65" s="1686"/>
      <c r="L65" s="1686"/>
      <c r="M65" s="1686"/>
      <c r="N65" s="1686"/>
      <c r="O65" s="1686"/>
      <c r="P65" s="1686"/>
      <c r="Q65" s="1686"/>
      <c r="R65" s="1686"/>
      <c r="S65" s="1686"/>
      <c r="T65" s="1686"/>
      <c r="U65" s="1686"/>
    </row>
    <row r="66" spans="1:21" s="1683" customFormat="1" ht="14.25" customHeight="1">
      <c r="A66" s="1698" t="s">
        <v>273</v>
      </c>
      <c r="B66" s="1698" t="s">
        <v>1635</v>
      </c>
      <c r="C66" s="1698">
        <v>17090</v>
      </c>
      <c r="D66" s="1698">
        <v>18340</v>
      </c>
      <c r="E66" s="1698">
        <v>21830</v>
      </c>
      <c r="F66" s="1707">
        <v>4690</v>
      </c>
      <c r="G66" s="1707">
        <v>12450</v>
      </c>
      <c r="I66" s="1728"/>
      <c r="J66" s="1686"/>
      <c r="K66" s="1686"/>
      <c r="L66" s="1686"/>
      <c r="M66" s="1686"/>
      <c r="N66" s="1686"/>
      <c r="O66" s="1686"/>
      <c r="P66" s="1686"/>
      <c r="Q66" s="1686"/>
      <c r="R66" s="1686"/>
      <c r="S66" s="1686"/>
      <c r="T66" s="1686"/>
      <c r="U66" s="1686"/>
    </row>
    <row r="67" spans="1:21" s="1683" customFormat="1" ht="14.25" customHeight="1">
      <c r="A67" s="1698" t="s">
        <v>273</v>
      </c>
      <c r="B67" s="1698" t="s">
        <v>1645</v>
      </c>
      <c r="C67" s="1698">
        <v>18420</v>
      </c>
      <c r="D67" s="1698">
        <v>16360</v>
      </c>
      <c r="E67" s="1698">
        <v>20020</v>
      </c>
      <c r="F67" s="1707">
        <v>5150</v>
      </c>
      <c r="G67" s="1707">
        <v>11110</v>
      </c>
      <c r="I67" s="1728"/>
      <c r="J67" s="1686"/>
      <c r="K67" s="1686"/>
      <c r="L67" s="1686"/>
      <c r="M67" s="1686"/>
      <c r="N67" s="1686"/>
      <c r="O67" s="1686"/>
      <c r="P67" s="1686"/>
      <c r="Q67" s="1686"/>
      <c r="R67" s="1686"/>
      <c r="S67" s="1686"/>
      <c r="T67" s="1686"/>
      <c r="U67" s="1686"/>
    </row>
    <row r="68" spans="1:21" s="1683" customFormat="1" ht="14.25" customHeight="1">
      <c r="A68" s="1698" t="s">
        <v>273</v>
      </c>
      <c r="B68" s="1698" t="s">
        <v>1655</v>
      </c>
      <c r="C68" s="1698">
        <v>16450</v>
      </c>
      <c r="D68" s="1698">
        <v>18430</v>
      </c>
      <c r="E68" s="1698">
        <v>21010</v>
      </c>
      <c r="F68" s="1707">
        <v>4720</v>
      </c>
      <c r="G68" s="1707">
        <v>12510</v>
      </c>
      <c r="I68" s="1728"/>
      <c r="J68" s="1686"/>
      <c r="K68" s="1686"/>
      <c r="L68" s="1686"/>
      <c r="M68" s="1686"/>
      <c r="N68" s="1686"/>
      <c r="O68" s="1686"/>
      <c r="P68" s="1686"/>
      <c r="Q68" s="1686"/>
      <c r="R68" s="1686"/>
      <c r="S68" s="1686"/>
      <c r="T68" s="1686"/>
      <c r="U68" s="1686"/>
    </row>
    <row r="69" spans="1:21" s="1683" customFormat="1" ht="14.25" customHeight="1">
      <c r="A69" s="1698" t="s">
        <v>273</v>
      </c>
      <c r="B69" s="1698" t="s">
        <v>1665</v>
      </c>
      <c r="C69" s="1698">
        <v>18510</v>
      </c>
      <c r="D69" s="1698">
        <v>16300</v>
      </c>
      <c r="E69" s="1698">
        <v>18830</v>
      </c>
      <c r="F69" s="1707">
        <v>5400</v>
      </c>
      <c r="G69" s="1707">
        <v>11070</v>
      </c>
      <c r="I69" s="1728"/>
      <c r="J69" s="1686"/>
      <c r="K69" s="1686"/>
      <c r="L69" s="1686"/>
      <c r="M69" s="1686"/>
      <c r="N69" s="1686"/>
      <c r="O69" s="1686"/>
      <c r="P69" s="1686"/>
      <c r="Q69" s="1686"/>
      <c r="R69" s="1686"/>
      <c r="S69" s="1686"/>
      <c r="T69" s="1686"/>
      <c r="U69" s="1686"/>
    </row>
    <row r="70" spans="1:21" s="1683" customFormat="1" ht="14.25" customHeight="1">
      <c r="A70" s="1698" t="s">
        <v>273</v>
      </c>
      <c r="B70" s="1698" t="s">
        <v>1675</v>
      </c>
      <c r="C70" s="1698">
        <v>16370</v>
      </c>
      <c r="D70" s="1698">
        <v>18620</v>
      </c>
      <c r="E70" s="1698">
        <v>21100</v>
      </c>
      <c r="F70" s="1707">
        <v>5700</v>
      </c>
      <c r="G70" s="1707">
        <v>12640</v>
      </c>
      <c r="I70" s="1728"/>
      <c r="J70" s="1686"/>
      <c r="K70" s="1686"/>
      <c r="L70" s="1686"/>
      <c r="M70" s="1686"/>
      <c r="N70" s="1686"/>
      <c r="O70" s="1686"/>
      <c r="P70" s="1686"/>
      <c r="Q70" s="1686"/>
      <c r="R70" s="1686"/>
      <c r="S70" s="1686"/>
      <c r="T70" s="1686"/>
      <c r="U70" s="1686"/>
    </row>
    <row r="71" spans="1:21" s="1683" customFormat="1" ht="14.25" customHeight="1">
      <c r="A71" s="1698" t="s">
        <v>273</v>
      </c>
      <c r="B71" s="1698" t="s">
        <v>1685</v>
      </c>
      <c r="C71" s="1698">
        <v>18700</v>
      </c>
      <c r="D71" s="1698">
        <v>16290</v>
      </c>
      <c r="E71" s="1698">
        <v>18760</v>
      </c>
      <c r="F71" s="1707">
        <v>4780</v>
      </c>
      <c r="G71" s="1707">
        <v>11050</v>
      </c>
      <c r="I71" s="1728"/>
      <c r="J71" s="1686"/>
      <c r="K71" s="1686"/>
      <c r="L71" s="1686"/>
      <c r="M71" s="1686"/>
      <c r="N71" s="1686"/>
      <c r="O71" s="1686"/>
      <c r="P71" s="1686"/>
      <c r="Q71" s="1686"/>
      <c r="R71" s="1686"/>
      <c r="S71" s="1686"/>
      <c r="T71" s="1686"/>
      <c r="U71" s="1686"/>
    </row>
    <row r="72" spans="1:21" s="1683" customFormat="1" ht="14.25" customHeight="1">
      <c r="A72" s="1698" t="s">
        <v>273</v>
      </c>
      <c r="B72" s="1698" t="s">
        <v>1695</v>
      </c>
      <c r="C72" s="1698">
        <v>16340</v>
      </c>
      <c r="D72" s="1698">
        <v>17520</v>
      </c>
      <c r="E72" s="1698">
        <v>21170</v>
      </c>
      <c r="F72" s="1707"/>
      <c r="G72" s="1707">
        <v>11900</v>
      </c>
      <c r="I72" s="1728"/>
      <c r="J72" s="1686"/>
      <c r="K72" s="1686"/>
      <c r="L72" s="1686"/>
      <c r="M72" s="1686"/>
      <c r="N72" s="1686"/>
      <c r="O72" s="1686"/>
      <c r="P72" s="1686"/>
      <c r="Q72" s="1686"/>
      <c r="R72" s="1686"/>
      <c r="S72" s="1686"/>
      <c r="T72" s="1686"/>
      <c r="U72" s="1686"/>
    </row>
    <row r="73" spans="1:21" s="1683" customFormat="1" ht="14.25" customHeight="1">
      <c r="A73" s="1698" t="s">
        <v>273</v>
      </c>
      <c r="B73" s="1698" t="s">
        <v>1705</v>
      </c>
      <c r="C73" s="1698">
        <v>17610</v>
      </c>
      <c r="D73" s="1698">
        <v>18520</v>
      </c>
      <c r="E73" s="1698">
        <v>18720</v>
      </c>
      <c r="F73" s="1707"/>
      <c r="G73" s="1707">
        <v>12570</v>
      </c>
      <c r="I73" s="1728"/>
      <c r="J73" s="1686"/>
      <c r="K73" s="1686"/>
      <c r="L73" s="1686"/>
      <c r="M73" s="1686"/>
      <c r="N73" s="1686"/>
      <c r="O73" s="1686"/>
      <c r="P73" s="1686"/>
      <c r="Q73" s="1686"/>
      <c r="R73" s="1686"/>
      <c r="S73" s="1686"/>
      <c r="T73" s="1686"/>
      <c r="U73" s="1686"/>
    </row>
    <row r="74" spans="1:21" s="1683" customFormat="1" ht="14.25" customHeight="1">
      <c r="A74" s="1698" t="s">
        <v>273</v>
      </c>
      <c r="B74" s="1698" t="s">
        <v>1715</v>
      </c>
      <c r="C74" s="1698">
        <v>18600</v>
      </c>
      <c r="D74" s="1698">
        <v>16480</v>
      </c>
      <c r="E74" s="1698">
        <v>20100</v>
      </c>
      <c r="F74" s="1707"/>
      <c r="G74" s="1707">
        <v>11190</v>
      </c>
      <c r="I74" s="1728"/>
      <c r="J74" s="1686"/>
      <c r="K74" s="1686"/>
      <c r="L74" s="1686"/>
      <c r="M74" s="1686"/>
      <c r="N74" s="1686"/>
      <c r="O74" s="1686"/>
      <c r="P74" s="1686"/>
      <c r="Q74" s="1686"/>
      <c r="R74" s="1686"/>
      <c r="S74" s="1686"/>
      <c r="T74" s="1686"/>
      <c r="U74" s="1686"/>
    </row>
    <row r="75" spans="1:21" s="1683" customFormat="1" ht="14.25" customHeight="1">
      <c r="A75" s="1698" t="s">
        <v>273</v>
      </c>
      <c r="B75" s="1698" t="s">
        <v>1724</v>
      </c>
      <c r="C75" s="1698">
        <v>16570</v>
      </c>
      <c r="D75" s="1698">
        <v>17530</v>
      </c>
      <c r="E75" s="1698">
        <v>21030</v>
      </c>
      <c r="F75" s="1707"/>
      <c r="G75" s="1716">
        <v>11900</v>
      </c>
      <c r="I75" s="1728"/>
      <c r="J75" s="1686"/>
      <c r="K75" s="1686"/>
      <c r="L75" s="1686"/>
      <c r="M75" s="1686"/>
      <c r="N75" s="1686"/>
      <c r="O75" s="1686"/>
      <c r="P75" s="1686"/>
      <c r="Q75" s="1686"/>
      <c r="R75" s="1686"/>
      <c r="S75" s="1686"/>
      <c r="T75" s="1686"/>
      <c r="U75" s="1686"/>
    </row>
    <row r="76" spans="1:21" s="1683" customFormat="1" ht="14.25" customHeight="1">
      <c r="A76" s="1698" t="s">
        <v>273</v>
      </c>
      <c r="B76" s="1701" t="s">
        <v>1732</v>
      </c>
      <c r="C76" s="1701">
        <v>17610</v>
      </c>
      <c r="D76" s="1701">
        <v>20800</v>
      </c>
      <c r="E76" s="1701">
        <v>18920</v>
      </c>
      <c r="F76" s="1699"/>
      <c r="G76" s="1699">
        <v>14120</v>
      </c>
      <c r="I76" s="1728"/>
      <c r="J76" s="1686"/>
      <c r="K76" s="1686"/>
      <c r="L76" s="1686"/>
      <c r="M76" s="1686"/>
      <c r="N76" s="1686"/>
      <c r="O76" s="1686"/>
      <c r="P76" s="1686"/>
      <c r="Q76" s="1686"/>
      <c r="R76" s="1686"/>
      <c r="S76" s="1686"/>
      <c r="T76" s="1686"/>
      <c r="U76" s="1686"/>
    </row>
    <row r="77" spans="1:21" s="1683" customFormat="1" ht="14.25" customHeight="1">
      <c r="A77" s="1698" t="s">
        <v>273</v>
      </c>
      <c r="B77" s="1698" t="s">
        <v>1740</v>
      </c>
      <c r="C77" s="1698">
        <v>20890</v>
      </c>
      <c r="D77" s="1698">
        <v>19740</v>
      </c>
      <c r="E77" s="1698">
        <v>20110</v>
      </c>
      <c r="F77" s="1707"/>
      <c r="G77" s="1707">
        <v>13400</v>
      </c>
      <c r="I77" s="1728"/>
      <c r="J77" s="1686"/>
      <c r="K77" s="1686"/>
      <c r="L77" s="1686"/>
      <c r="M77" s="1686"/>
      <c r="N77" s="1686"/>
      <c r="O77" s="1686"/>
      <c r="P77" s="1686"/>
      <c r="Q77" s="1686"/>
      <c r="R77" s="1686"/>
      <c r="S77" s="1686"/>
      <c r="T77" s="1686"/>
      <c r="U77" s="1686"/>
    </row>
    <row r="78" spans="1:21" s="1683" customFormat="1" ht="14.25" customHeight="1">
      <c r="A78" s="1698" t="s">
        <v>273</v>
      </c>
      <c r="B78" s="1698" t="s">
        <v>1748</v>
      </c>
      <c r="C78" s="1698">
        <v>19820</v>
      </c>
      <c r="D78" s="1698">
        <v>19780</v>
      </c>
      <c r="E78" s="1698">
        <v>18560</v>
      </c>
      <c r="F78" s="1707"/>
      <c r="G78" s="1707">
        <v>13430</v>
      </c>
      <c r="I78" s="1728"/>
      <c r="J78" s="1686"/>
      <c r="K78" s="1686"/>
      <c r="L78" s="1686"/>
      <c r="M78" s="1686"/>
      <c r="N78" s="1686"/>
      <c r="O78" s="1686"/>
      <c r="P78" s="1686"/>
      <c r="Q78" s="1686"/>
      <c r="R78" s="1686"/>
      <c r="S78" s="1686"/>
      <c r="T78" s="1686"/>
      <c r="U78" s="1686"/>
    </row>
    <row r="79" spans="1:21" s="1683" customFormat="1" ht="14.25" customHeight="1">
      <c r="A79" s="1698" t="s">
        <v>273</v>
      </c>
      <c r="B79" s="1698" t="s">
        <v>1756</v>
      </c>
      <c r="C79" s="1698">
        <v>21660</v>
      </c>
      <c r="D79" s="1698">
        <v>18000</v>
      </c>
      <c r="E79" s="1698">
        <v>22570</v>
      </c>
      <c r="F79" s="1707"/>
      <c r="G79" s="1707">
        <v>12220</v>
      </c>
      <c r="I79" s="1728"/>
      <c r="J79" s="1686"/>
      <c r="K79" s="1686"/>
      <c r="L79" s="1686"/>
      <c r="M79" s="1686"/>
      <c r="N79" s="1686"/>
      <c r="O79" s="1686"/>
      <c r="P79" s="1686"/>
      <c r="Q79" s="1686"/>
      <c r="R79" s="1686"/>
      <c r="S79" s="1686"/>
      <c r="T79" s="1686"/>
      <c r="U79" s="1686"/>
    </row>
    <row r="80" spans="1:21" s="1683" customFormat="1" ht="14.25" customHeight="1">
      <c r="A80" s="1698" t="s">
        <v>273</v>
      </c>
      <c r="B80" s="1698" t="s">
        <v>1762</v>
      </c>
      <c r="C80" s="1698">
        <v>19850</v>
      </c>
      <c r="D80" s="1698"/>
      <c r="E80" s="1698">
        <v>21700</v>
      </c>
      <c r="F80" s="1707"/>
      <c r="G80" s="1707"/>
      <c r="I80" s="1728"/>
      <c r="J80" s="1686"/>
      <c r="K80" s="1686"/>
      <c r="L80" s="1686"/>
      <c r="M80" s="1686"/>
      <c r="N80" s="1686"/>
      <c r="O80" s="1686"/>
      <c r="P80" s="1686"/>
      <c r="Q80" s="1686"/>
      <c r="R80" s="1686"/>
      <c r="S80" s="1686"/>
      <c r="T80" s="1686"/>
      <c r="U80" s="1686"/>
    </row>
    <row r="81" spans="1:21" s="1683" customFormat="1" ht="14.25" customHeight="1">
      <c r="A81" s="1698" t="s">
        <v>273</v>
      </c>
      <c r="B81" s="1698" t="s">
        <v>1769</v>
      </c>
      <c r="C81" s="1698">
        <v>18080</v>
      </c>
      <c r="D81" s="1698"/>
      <c r="E81" s="1698">
        <v>20900</v>
      </c>
      <c r="F81" s="1707"/>
      <c r="G81" s="1707"/>
      <c r="I81" s="1728"/>
      <c r="J81" s="1686"/>
      <c r="K81" s="1686"/>
      <c r="L81" s="1686"/>
      <c r="M81" s="1686"/>
      <c r="N81" s="1686"/>
      <c r="O81" s="1686"/>
      <c r="P81" s="1686"/>
      <c r="Q81" s="1686"/>
      <c r="R81" s="1686"/>
      <c r="S81" s="1686"/>
      <c r="T81" s="1686"/>
      <c r="U81" s="1686"/>
    </row>
    <row r="82" spans="1:21" s="1683" customFormat="1" ht="14.25" customHeight="1">
      <c r="A82" s="1698" t="s">
        <v>273</v>
      </c>
      <c r="B82" s="1698" t="s">
        <v>1776</v>
      </c>
      <c r="C82" s="1698"/>
      <c r="D82" s="1698"/>
      <c r="E82" s="1698">
        <v>20840</v>
      </c>
      <c r="F82" s="1707"/>
      <c r="G82" s="1707"/>
      <c r="I82" s="1728"/>
      <c r="J82" s="1686"/>
      <c r="K82" s="1686"/>
      <c r="L82" s="1686"/>
      <c r="M82" s="1686"/>
      <c r="N82" s="1686"/>
      <c r="O82" s="1686"/>
      <c r="P82" s="1686"/>
      <c r="Q82" s="1686"/>
      <c r="R82" s="1686"/>
      <c r="S82" s="1686"/>
      <c r="T82" s="1686"/>
      <c r="U82" s="1686"/>
    </row>
    <row r="83" spans="1:21" s="1683" customFormat="1" ht="14.25" customHeight="1">
      <c r="A83" s="1698" t="s">
        <v>273</v>
      </c>
      <c r="B83" s="1698" t="s">
        <v>1783</v>
      </c>
      <c r="C83" s="1698"/>
      <c r="D83" s="1698"/>
      <c r="E83" s="1698"/>
      <c r="F83" s="1707">
        <v>4770</v>
      </c>
      <c r="G83" s="1707"/>
      <c r="I83" s="1728"/>
      <c r="J83" s="1686"/>
      <c r="K83" s="1686"/>
      <c r="L83" s="1686"/>
      <c r="M83" s="1686"/>
      <c r="N83" s="1686"/>
      <c r="O83" s="1686"/>
      <c r="P83" s="1686"/>
      <c r="Q83" s="1686"/>
      <c r="R83" s="1686"/>
      <c r="S83" s="1686"/>
      <c r="T83" s="1686"/>
      <c r="U83" s="1686"/>
    </row>
    <row r="84" spans="1:21" s="1683" customFormat="1" ht="14.25" customHeight="1">
      <c r="A84" s="1698" t="s">
        <v>273</v>
      </c>
      <c r="B84" s="1698" t="s">
        <v>1790</v>
      </c>
      <c r="C84" s="1698"/>
      <c r="D84" s="1698"/>
      <c r="E84" s="1698"/>
      <c r="F84" s="1707">
        <v>4600</v>
      </c>
      <c r="G84" s="1707"/>
      <c r="I84" s="1728"/>
      <c r="J84" s="1686"/>
      <c r="K84" s="1686"/>
      <c r="L84" s="1686"/>
      <c r="M84" s="1686"/>
      <c r="N84" s="1686"/>
      <c r="O84" s="1686"/>
      <c r="P84" s="1686"/>
      <c r="Q84" s="1686"/>
      <c r="R84" s="1686"/>
      <c r="S84" s="1686"/>
      <c r="T84" s="1686"/>
      <c r="U84" s="1686"/>
    </row>
    <row r="85" spans="1:21" s="1683" customFormat="1" ht="14.25" customHeight="1">
      <c r="A85" s="1698" t="s">
        <v>273</v>
      </c>
      <c r="B85" s="1711" t="s">
        <v>1797</v>
      </c>
      <c r="C85" s="1711"/>
      <c r="D85" s="1711"/>
      <c r="E85" s="1711"/>
      <c r="F85" s="1712">
        <v>4680</v>
      </c>
      <c r="G85" s="1712"/>
      <c r="I85" s="1728"/>
      <c r="J85" s="1686"/>
      <c r="K85" s="1686"/>
      <c r="L85" s="1686"/>
      <c r="M85" s="1686"/>
      <c r="N85" s="1686"/>
      <c r="O85" s="1686"/>
      <c r="P85" s="1686"/>
      <c r="Q85" s="1686"/>
      <c r="R85" s="1686"/>
      <c r="S85" s="1686"/>
      <c r="T85" s="1686"/>
      <c r="U85" s="1686"/>
    </row>
    <row r="86" spans="1:21" s="1683" customFormat="1" ht="14.25" customHeight="1">
      <c r="A86" s="1714" t="s">
        <v>273</v>
      </c>
      <c r="B86" s="1704" t="s">
        <v>1804</v>
      </c>
      <c r="C86" s="1704">
        <v>16610</v>
      </c>
      <c r="D86" s="1704">
        <v>16540</v>
      </c>
      <c r="E86" s="1704">
        <v>18850</v>
      </c>
      <c r="F86" s="1705"/>
      <c r="G86" s="1715">
        <v>11220</v>
      </c>
      <c r="I86" s="1728"/>
      <c r="J86" s="1686"/>
      <c r="K86" s="1686"/>
      <c r="L86" s="1686"/>
      <c r="M86" s="1686"/>
      <c r="N86" s="1686"/>
      <c r="O86" s="1686"/>
      <c r="P86" s="1686"/>
      <c r="Q86" s="1686"/>
      <c r="R86" s="1686"/>
      <c r="S86" s="1686"/>
      <c r="T86" s="1686"/>
      <c r="U86" s="1686"/>
    </row>
    <row r="87" spans="1:21" s="1683" customFormat="1" ht="14.25" customHeight="1">
      <c r="A87" s="1702" t="s">
        <v>282</v>
      </c>
      <c r="B87" s="1701" t="s">
        <v>1513</v>
      </c>
      <c r="C87" s="1701">
        <v>15240</v>
      </c>
      <c r="D87" s="1701">
        <v>15170</v>
      </c>
      <c r="E87" s="1701">
        <v>18260</v>
      </c>
      <c r="F87" s="1699">
        <v>3830</v>
      </c>
      <c r="G87" s="1731">
        <v>10020</v>
      </c>
      <c r="I87" s="1728"/>
      <c r="J87" s="1686"/>
      <c r="K87" s="1686"/>
      <c r="L87" s="1686"/>
      <c r="M87" s="1686"/>
      <c r="N87" s="1686"/>
      <c r="O87" s="1686"/>
      <c r="P87" s="1686"/>
      <c r="Q87" s="1686"/>
      <c r="R87" s="1686"/>
      <c r="S87" s="1686"/>
      <c r="T87" s="1686"/>
      <c r="U87" s="1686"/>
    </row>
    <row r="88" spans="1:21" s="1683" customFormat="1" ht="14.25" customHeight="1">
      <c r="A88" s="1698" t="s">
        <v>282</v>
      </c>
      <c r="B88" s="1698" t="s">
        <v>1526</v>
      </c>
      <c r="C88" s="1698">
        <v>17310</v>
      </c>
      <c r="D88" s="1698">
        <v>17220</v>
      </c>
      <c r="E88" s="1698">
        <v>18610</v>
      </c>
      <c r="F88" s="1707">
        <v>3990</v>
      </c>
      <c r="G88" s="1717">
        <v>11380</v>
      </c>
      <c r="I88" s="1728"/>
      <c r="J88" s="1686"/>
      <c r="K88" s="1686"/>
      <c r="L88" s="1686"/>
      <c r="M88" s="1686"/>
      <c r="N88" s="1686"/>
      <c r="O88" s="1686"/>
      <c r="P88" s="1686"/>
      <c r="Q88" s="1686"/>
      <c r="R88" s="1686"/>
      <c r="S88" s="1686"/>
      <c r="T88" s="1686"/>
      <c r="U88" s="1686"/>
    </row>
    <row r="89" spans="1:21" s="1683" customFormat="1" ht="14.25" customHeight="1">
      <c r="A89" s="1698" t="s">
        <v>282</v>
      </c>
      <c r="B89" s="1698" t="s">
        <v>1539</v>
      </c>
      <c r="C89" s="1698">
        <v>15600</v>
      </c>
      <c r="D89" s="1698">
        <v>15550</v>
      </c>
      <c r="E89" s="1698">
        <v>19200</v>
      </c>
      <c r="F89" s="1707">
        <v>4110</v>
      </c>
      <c r="G89" s="1717">
        <v>10270</v>
      </c>
      <c r="I89" s="1728"/>
      <c r="J89" s="1686"/>
      <c r="K89" s="1686"/>
      <c r="L89" s="1686"/>
      <c r="M89" s="1686"/>
      <c r="N89" s="1686"/>
      <c r="O89" s="1686"/>
      <c r="P89" s="1686"/>
      <c r="Q89" s="1686"/>
      <c r="R89" s="1686"/>
      <c r="S89" s="1686"/>
      <c r="T89" s="1686"/>
      <c r="U89" s="1686"/>
    </row>
    <row r="90" spans="1:21" s="1683" customFormat="1" ht="14.25" customHeight="1">
      <c r="A90" s="1698" t="s">
        <v>282</v>
      </c>
      <c r="B90" s="1698" t="s">
        <v>1551</v>
      </c>
      <c r="C90" s="1698">
        <v>17330</v>
      </c>
      <c r="D90" s="1698">
        <v>17240</v>
      </c>
      <c r="E90" s="1698">
        <v>18570</v>
      </c>
      <c r="F90" s="1707">
        <v>4070</v>
      </c>
      <c r="G90" s="1717">
        <v>11390</v>
      </c>
      <c r="I90" s="1728"/>
      <c r="J90" s="1686"/>
      <c r="K90" s="1686"/>
      <c r="L90" s="1686"/>
      <c r="M90" s="1686"/>
      <c r="N90" s="1686"/>
      <c r="O90" s="1686"/>
      <c r="P90" s="1686"/>
      <c r="Q90" s="1686"/>
      <c r="R90" s="1686"/>
      <c r="S90" s="1686"/>
      <c r="T90" s="1686"/>
      <c r="U90" s="1686"/>
    </row>
    <row r="91" spans="1:21" s="1683" customFormat="1" ht="14.25" customHeight="1">
      <c r="A91" s="1698" t="s">
        <v>282</v>
      </c>
      <c r="B91" s="1698" t="s">
        <v>1563</v>
      </c>
      <c r="C91" s="1698">
        <v>16330</v>
      </c>
      <c r="D91" s="1698">
        <v>16260</v>
      </c>
      <c r="E91" s="1698">
        <v>16800</v>
      </c>
      <c r="F91" s="1707">
        <v>3410</v>
      </c>
      <c r="G91" s="1717">
        <v>10740</v>
      </c>
      <c r="I91" s="1728"/>
      <c r="J91" s="1686"/>
      <c r="K91" s="1686"/>
      <c r="L91" s="1686"/>
      <c r="M91" s="1686"/>
      <c r="N91" s="1686"/>
      <c r="O91" s="1686"/>
      <c r="P91" s="1686"/>
      <c r="Q91" s="1686"/>
      <c r="R91" s="1686"/>
      <c r="S91" s="1686"/>
      <c r="T91" s="1686"/>
      <c r="U91" s="1686"/>
    </row>
    <row r="92" spans="1:21" s="1683" customFormat="1" ht="14.25" customHeight="1">
      <c r="A92" s="1698" t="s">
        <v>282</v>
      </c>
      <c r="B92" s="1698" t="s">
        <v>1574</v>
      </c>
      <c r="C92" s="1698">
        <v>15570</v>
      </c>
      <c r="D92" s="1698">
        <v>15500</v>
      </c>
      <c r="E92" s="1698">
        <v>17360</v>
      </c>
      <c r="F92" s="1707">
        <v>3510</v>
      </c>
      <c r="G92" s="1717">
        <v>10240</v>
      </c>
      <c r="I92" s="1728"/>
      <c r="J92" s="1686"/>
      <c r="K92" s="1686"/>
      <c r="L92" s="1686"/>
      <c r="M92" s="1686"/>
      <c r="N92" s="1686"/>
      <c r="O92" s="1686"/>
      <c r="P92" s="1686"/>
      <c r="Q92" s="1686"/>
      <c r="R92" s="1686"/>
      <c r="S92" s="1686"/>
      <c r="T92" s="1686"/>
      <c r="U92" s="1686"/>
    </row>
    <row r="93" spans="1:21" s="1683" customFormat="1" ht="14.25" customHeight="1">
      <c r="A93" s="1698" t="s">
        <v>282</v>
      </c>
      <c r="B93" s="1698" t="s">
        <v>1585</v>
      </c>
      <c r="C93" s="1698">
        <v>14000</v>
      </c>
      <c r="D93" s="1698">
        <v>13930</v>
      </c>
      <c r="E93" s="1698">
        <v>18200</v>
      </c>
      <c r="F93" s="1707">
        <v>3640</v>
      </c>
      <c r="G93" s="1717">
        <v>9210</v>
      </c>
      <c r="I93" s="1728"/>
      <c r="J93" s="1686"/>
      <c r="K93" s="1686"/>
      <c r="L93" s="1686"/>
      <c r="M93" s="1686"/>
      <c r="N93" s="1686"/>
      <c r="O93" s="1686"/>
      <c r="P93" s="1686"/>
      <c r="Q93" s="1686"/>
      <c r="R93" s="1686"/>
      <c r="S93" s="1686"/>
      <c r="T93" s="1686"/>
      <c r="U93" s="1686"/>
    </row>
    <row r="94" spans="1:21" s="1683" customFormat="1" ht="14.25" customHeight="1">
      <c r="A94" s="1698" t="s">
        <v>282</v>
      </c>
      <c r="B94" s="1698" t="s">
        <v>1596</v>
      </c>
      <c r="C94" s="1698">
        <v>14530</v>
      </c>
      <c r="D94" s="1698">
        <v>14470</v>
      </c>
      <c r="E94" s="1698">
        <v>18240</v>
      </c>
      <c r="F94" s="1707">
        <v>3180</v>
      </c>
      <c r="G94" s="1717">
        <v>9560</v>
      </c>
      <c r="I94" s="1728"/>
      <c r="J94" s="1686"/>
      <c r="K94" s="1686"/>
      <c r="L94" s="1686"/>
      <c r="M94" s="1686"/>
      <c r="N94" s="1686"/>
      <c r="O94" s="1686"/>
      <c r="P94" s="1686"/>
      <c r="Q94" s="1686"/>
      <c r="R94" s="1686"/>
      <c r="S94" s="1686"/>
      <c r="T94" s="1686"/>
      <c r="U94" s="1686"/>
    </row>
    <row r="95" spans="1:21" s="1683" customFormat="1" ht="14.25" customHeight="1">
      <c r="A95" s="1698" t="s">
        <v>282</v>
      </c>
      <c r="B95" s="1698" t="s">
        <v>1606</v>
      </c>
      <c r="C95" s="1698">
        <v>17330</v>
      </c>
      <c r="D95" s="1698">
        <v>17260</v>
      </c>
      <c r="E95" s="1698">
        <v>18420</v>
      </c>
      <c r="F95" s="1707">
        <v>3060</v>
      </c>
      <c r="G95" s="1707">
        <v>11410</v>
      </c>
      <c r="I95" s="1728"/>
      <c r="J95" s="1686"/>
      <c r="K95" s="1686"/>
      <c r="L95" s="1686"/>
      <c r="M95" s="1686"/>
      <c r="N95" s="1686"/>
      <c r="O95" s="1686"/>
      <c r="P95" s="1686"/>
      <c r="Q95" s="1686"/>
      <c r="R95" s="1686"/>
      <c r="S95" s="1686"/>
      <c r="T95" s="1686"/>
      <c r="U95" s="1686"/>
    </row>
    <row r="96" spans="1:21" s="1683" customFormat="1" ht="14.25" customHeight="1">
      <c r="A96" s="1698" t="s">
        <v>282</v>
      </c>
      <c r="B96" s="1698" t="s">
        <v>1616</v>
      </c>
      <c r="C96" s="1698">
        <v>15030</v>
      </c>
      <c r="D96" s="1698">
        <v>14970</v>
      </c>
      <c r="E96" s="1698">
        <v>17580</v>
      </c>
      <c r="F96" s="1707">
        <v>2970</v>
      </c>
      <c r="G96" s="1707">
        <v>9890</v>
      </c>
      <c r="I96" s="1728"/>
      <c r="J96" s="1686"/>
      <c r="K96" s="1686"/>
      <c r="L96" s="1686"/>
      <c r="M96" s="1686"/>
      <c r="N96" s="1686"/>
      <c r="O96" s="1686"/>
      <c r="P96" s="1686"/>
      <c r="Q96" s="1686"/>
      <c r="R96" s="1686"/>
      <c r="S96" s="1686"/>
      <c r="T96" s="1686"/>
      <c r="U96" s="1686"/>
    </row>
    <row r="97" spans="1:21" s="1683" customFormat="1" ht="14.25" customHeight="1">
      <c r="A97" s="1698" t="s">
        <v>282</v>
      </c>
      <c r="B97" s="1698" t="s">
        <v>1626</v>
      </c>
      <c r="C97" s="1698">
        <v>17400</v>
      </c>
      <c r="D97" s="1698">
        <v>17330</v>
      </c>
      <c r="E97" s="1698">
        <v>16430</v>
      </c>
      <c r="F97" s="1707">
        <v>2950</v>
      </c>
      <c r="G97" s="1707">
        <v>11450</v>
      </c>
      <c r="I97" s="1728"/>
      <c r="J97" s="1686"/>
      <c r="K97" s="1686"/>
      <c r="L97" s="1686"/>
      <c r="M97" s="1686"/>
      <c r="N97" s="1686"/>
      <c r="O97" s="1686"/>
      <c r="P97" s="1686"/>
      <c r="Q97" s="1686"/>
      <c r="R97" s="1686"/>
      <c r="S97" s="1686"/>
      <c r="T97" s="1686"/>
      <c r="U97" s="1686"/>
    </row>
    <row r="98" spans="1:21" s="1683" customFormat="1" ht="14.25" customHeight="1">
      <c r="A98" s="1698" t="s">
        <v>282</v>
      </c>
      <c r="B98" s="1698" t="s">
        <v>1636</v>
      </c>
      <c r="C98" s="1698">
        <v>15200</v>
      </c>
      <c r="D98" s="1698">
        <v>15120</v>
      </c>
      <c r="E98" s="1698">
        <v>17550</v>
      </c>
      <c r="F98" s="1707">
        <v>3080</v>
      </c>
      <c r="G98" s="1707">
        <v>9990</v>
      </c>
      <c r="I98" s="1728"/>
      <c r="J98" s="1686"/>
      <c r="K98" s="1686"/>
      <c r="L98" s="1686"/>
      <c r="M98" s="1686"/>
      <c r="N98" s="1686"/>
      <c r="O98" s="1686"/>
      <c r="P98" s="1686"/>
      <c r="Q98" s="1686"/>
      <c r="R98" s="1686"/>
      <c r="S98" s="1686"/>
      <c r="T98" s="1686"/>
      <c r="U98" s="1686"/>
    </row>
    <row r="99" spans="1:21" s="1683" customFormat="1" ht="14.25" customHeight="1">
      <c r="A99" s="1698" t="s">
        <v>282</v>
      </c>
      <c r="B99" s="1698" t="s">
        <v>1646</v>
      </c>
      <c r="C99" s="1698">
        <v>17520</v>
      </c>
      <c r="D99" s="1698">
        <v>17430</v>
      </c>
      <c r="E99" s="1698">
        <v>16350</v>
      </c>
      <c r="F99" s="1707">
        <v>3260</v>
      </c>
      <c r="G99" s="1707">
        <v>11510</v>
      </c>
      <c r="I99" s="1728"/>
      <c r="J99" s="1686"/>
      <c r="K99" s="1686"/>
      <c r="L99" s="1686"/>
      <c r="M99" s="1686"/>
      <c r="N99" s="1686"/>
      <c r="O99" s="1686"/>
      <c r="P99" s="1686"/>
      <c r="Q99" s="1686"/>
      <c r="R99" s="1686"/>
      <c r="S99" s="1686"/>
      <c r="T99" s="1686"/>
      <c r="U99" s="1686"/>
    </row>
    <row r="100" spans="1:21" s="1683" customFormat="1" ht="14.25" customHeight="1">
      <c r="A100" s="1698" t="s">
        <v>282</v>
      </c>
      <c r="B100" s="1698" t="s">
        <v>1656</v>
      </c>
      <c r="C100" s="1698">
        <v>15340</v>
      </c>
      <c r="D100" s="1698">
        <v>15260</v>
      </c>
      <c r="E100" s="1698">
        <v>15930</v>
      </c>
      <c r="F100" s="1707">
        <v>2740</v>
      </c>
      <c r="G100" s="1707">
        <v>10080</v>
      </c>
      <c r="I100" s="1728"/>
      <c r="J100" s="1686"/>
      <c r="K100" s="1686"/>
      <c r="L100" s="1686"/>
      <c r="M100" s="1686"/>
      <c r="N100" s="1686"/>
      <c r="O100" s="1686"/>
      <c r="P100" s="1686"/>
      <c r="Q100" s="1686"/>
      <c r="R100" s="1686"/>
      <c r="S100" s="1686"/>
      <c r="T100" s="1686"/>
      <c r="U100" s="1686"/>
    </row>
    <row r="101" spans="1:21" s="1683" customFormat="1" ht="14.25" customHeight="1">
      <c r="A101" s="1698" t="s">
        <v>282</v>
      </c>
      <c r="B101" s="1698" t="s">
        <v>1666</v>
      </c>
      <c r="C101" s="1698">
        <v>14620</v>
      </c>
      <c r="D101" s="1698">
        <v>14560</v>
      </c>
      <c r="E101" s="1698">
        <v>15570</v>
      </c>
      <c r="F101" s="1707">
        <v>3500</v>
      </c>
      <c r="G101" s="1707">
        <v>9630</v>
      </c>
      <c r="I101" s="1728"/>
      <c r="J101" s="1686"/>
      <c r="K101" s="1686"/>
      <c r="L101" s="1686"/>
      <c r="M101" s="1686"/>
      <c r="N101" s="1686"/>
      <c r="O101" s="1686"/>
      <c r="P101" s="1686"/>
      <c r="Q101" s="1686"/>
      <c r="R101" s="1686"/>
      <c r="S101" s="1686"/>
      <c r="T101" s="1686"/>
      <c r="U101" s="1686"/>
    </row>
    <row r="102" spans="1:21" s="1683" customFormat="1" ht="14.25" customHeight="1">
      <c r="A102" s="1698" t="s">
        <v>282</v>
      </c>
      <c r="B102" s="1698" t="s">
        <v>1676</v>
      </c>
      <c r="C102" s="1698">
        <v>13680</v>
      </c>
      <c r="D102" s="1698">
        <v>13610</v>
      </c>
      <c r="E102" s="1698">
        <v>15690</v>
      </c>
      <c r="F102" s="1707">
        <v>2870</v>
      </c>
      <c r="G102" s="1707">
        <v>8990</v>
      </c>
      <c r="I102" s="1728"/>
      <c r="J102" s="1686"/>
      <c r="K102" s="1686"/>
      <c r="L102" s="1686"/>
      <c r="M102" s="1686"/>
      <c r="N102" s="1686"/>
      <c r="O102" s="1686"/>
      <c r="P102" s="1686"/>
      <c r="Q102" s="1686"/>
      <c r="R102" s="1686"/>
      <c r="S102" s="1686"/>
      <c r="T102" s="1686"/>
      <c r="U102" s="1686"/>
    </row>
    <row r="103" spans="1:21" s="1683" customFormat="1" ht="14.25" customHeight="1">
      <c r="A103" s="1698" t="s">
        <v>282</v>
      </c>
      <c r="B103" s="1698" t="s">
        <v>1686</v>
      </c>
      <c r="C103" s="1698">
        <v>14620</v>
      </c>
      <c r="D103" s="1698">
        <v>14540</v>
      </c>
      <c r="E103" s="1698">
        <v>15240</v>
      </c>
      <c r="F103" s="1707">
        <v>2840</v>
      </c>
      <c r="G103" s="1707">
        <v>9610</v>
      </c>
      <c r="I103" s="1728"/>
      <c r="J103" s="1686"/>
      <c r="K103" s="1686"/>
      <c r="L103" s="1686"/>
      <c r="M103" s="1686"/>
      <c r="N103" s="1686"/>
      <c r="O103" s="1686"/>
      <c r="P103" s="1686"/>
      <c r="Q103" s="1686"/>
      <c r="R103" s="1686"/>
      <c r="S103" s="1686"/>
      <c r="T103" s="1686"/>
      <c r="U103" s="1686"/>
    </row>
    <row r="104" spans="1:21" s="1683" customFormat="1" ht="14.25" customHeight="1">
      <c r="A104" s="1698" t="s">
        <v>282</v>
      </c>
      <c r="B104" s="1698" t="s">
        <v>1696</v>
      </c>
      <c r="C104" s="1698">
        <v>13610</v>
      </c>
      <c r="D104" s="1698">
        <v>13540</v>
      </c>
      <c r="E104" s="1698">
        <v>15750</v>
      </c>
      <c r="F104" s="1707">
        <v>2770</v>
      </c>
      <c r="G104" s="1707">
        <v>8940</v>
      </c>
      <c r="I104" s="1728"/>
      <c r="J104" s="1686"/>
      <c r="K104" s="1686"/>
      <c r="L104" s="1686"/>
      <c r="M104" s="1686"/>
      <c r="N104" s="1686"/>
      <c r="O104" s="1686"/>
      <c r="P104" s="1686"/>
      <c r="Q104" s="1686"/>
      <c r="R104" s="1686"/>
      <c r="S104" s="1686"/>
      <c r="T104" s="1686"/>
      <c r="U104" s="1686"/>
    </row>
    <row r="105" spans="1:21" s="1683" customFormat="1" ht="14.25" customHeight="1">
      <c r="A105" s="1698" t="s">
        <v>282</v>
      </c>
      <c r="B105" s="1698" t="s">
        <v>1706</v>
      </c>
      <c r="C105" s="1698">
        <v>13310</v>
      </c>
      <c r="D105" s="1698">
        <v>13240</v>
      </c>
      <c r="E105" s="1698">
        <v>16280</v>
      </c>
      <c r="F105" s="1707">
        <v>3210</v>
      </c>
      <c r="G105" s="1707">
        <v>8750</v>
      </c>
      <c r="I105" s="1728"/>
      <c r="J105" s="1686"/>
      <c r="K105" s="1686"/>
      <c r="L105" s="1686"/>
      <c r="M105" s="1686"/>
      <c r="N105" s="1686"/>
      <c r="O105" s="1686"/>
      <c r="P105" s="1686"/>
      <c r="Q105" s="1686"/>
      <c r="R105" s="1686"/>
      <c r="S105" s="1686"/>
      <c r="T105" s="1686"/>
      <c r="U105" s="1686"/>
    </row>
    <row r="106" spans="1:21" s="1683" customFormat="1" ht="14.25" customHeight="1">
      <c r="A106" s="1698" t="s">
        <v>282</v>
      </c>
      <c r="B106" s="1698" t="s">
        <v>1716</v>
      </c>
      <c r="C106" s="1698">
        <v>13010</v>
      </c>
      <c r="D106" s="1698">
        <v>12930</v>
      </c>
      <c r="E106" s="1698">
        <v>14960</v>
      </c>
      <c r="F106" s="1707">
        <v>3530</v>
      </c>
      <c r="G106" s="1707">
        <v>8550</v>
      </c>
      <c r="I106" s="1728"/>
      <c r="J106" s="1686"/>
      <c r="K106" s="1686"/>
      <c r="L106" s="1686"/>
      <c r="M106" s="1686"/>
      <c r="N106" s="1686"/>
      <c r="O106" s="1686"/>
      <c r="P106" s="1686"/>
      <c r="Q106" s="1686"/>
      <c r="R106" s="1686"/>
      <c r="S106" s="1686"/>
      <c r="T106" s="1686"/>
      <c r="U106" s="1686"/>
    </row>
    <row r="107" spans="1:21" s="1683" customFormat="1" ht="14.25" customHeight="1">
      <c r="A107" s="1698" t="s">
        <v>282</v>
      </c>
      <c r="B107" s="1698" t="s">
        <v>1725</v>
      </c>
      <c r="C107" s="1698">
        <v>13070</v>
      </c>
      <c r="D107" s="1698">
        <v>13000</v>
      </c>
      <c r="E107" s="1698">
        <v>15910</v>
      </c>
      <c r="F107" s="1707">
        <v>3990</v>
      </c>
      <c r="G107" s="1707">
        <v>8580</v>
      </c>
      <c r="I107" s="1728"/>
      <c r="J107" s="1686"/>
      <c r="K107" s="1686"/>
      <c r="L107" s="1686"/>
      <c r="M107" s="1686"/>
      <c r="N107" s="1686"/>
      <c r="O107" s="1686"/>
      <c r="P107" s="1686"/>
      <c r="Q107" s="1686"/>
      <c r="R107" s="1686"/>
      <c r="S107" s="1686"/>
      <c r="T107" s="1686"/>
      <c r="U107" s="1686"/>
    </row>
    <row r="108" spans="1:21" s="1683" customFormat="1" ht="14.25" customHeight="1">
      <c r="A108" s="1698" t="s">
        <v>282</v>
      </c>
      <c r="B108" s="1698" t="s">
        <v>1733</v>
      </c>
      <c r="C108" s="1698">
        <v>12640</v>
      </c>
      <c r="D108" s="1698">
        <v>12580</v>
      </c>
      <c r="E108" s="1698">
        <v>15730</v>
      </c>
      <c r="F108" s="1707"/>
      <c r="G108" s="1707">
        <v>8310</v>
      </c>
      <c r="I108" s="1728"/>
      <c r="J108" s="1686"/>
      <c r="K108" s="1686"/>
      <c r="L108" s="1686"/>
      <c r="M108" s="1686"/>
      <c r="N108" s="1686"/>
      <c r="O108" s="1686"/>
      <c r="P108" s="1686"/>
      <c r="Q108" s="1686"/>
      <c r="R108" s="1686"/>
      <c r="S108" s="1686"/>
      <c r="T108" s="1686"/>
      <c r="U108" s="1686"/>
    </row>
    <row r="109" spans="1:21" s="1683" customFormat="1" ht="14.25" customHeight="1">
      <c r="A109" s="1698" t="s">
        <v>282</v>
      </c>
      <c r="B109" s="1698" t="s">
        <v>1741</v>
      </c>
      <c r="C109" s="1698">
        <v>13130</v>
      </c>
      <c r="D109" s="1698">
        <v>13070</v>
      </c>
      <c r="E109" s="1698">
        <v>15000</v>
      </c>
      <c r="F109" s="1707"/>
      <c r="G109" s="1716">
        <v>8630</v>
      </c>
      <c r="I109" s="1728"/>
      <c r="J109" s="1686"/>
      <c r="K109" s="1686"/>
      <c r="L109" s="1686"/>
      <c r="M109" s="1686"/>
      <c r="N109" s="1686"/>
      <c r="O109" s="1686"/>
      <c r="P109" s="1686"/>
      <c r="Q109" s="1686"/>
      <c r="R109" s="1686"/>
      <c r="S109" s="1686"/>
      <c r="T109" s="1686"/>
      <c r="U109" s="1686"/>
    </row>
    <row r="110" spans="1:21" s="1683" customFormat="1" ht="14.25" customHeight="1">
      <c r="A110" s="1698" t="s">
        <v>282</v>
      </c>
      <c r="B110" s="1701" t="s">
        <v>1749</v>
      </c>
      <c r="C110" s="1701">
        <v>13560</v>
      </c>
      <c r="D110" s="1701">
        <v>13490</v>
      </c>
      <c r="E110" s="1701">
        <v>16300</v>
      </c>
      <c r="F110" s="1699"/>
      <c r="G110" s="1699">
        <v>8920</v>
      </c>
      <c r="I110" s="1728"/>
      <c r="J110" s="1686"/>
      <c r="K110" s="1686"/>
      <c r="L110" s="1686"/>
      <c r="M110" s="1686"/>
      <c r="N110" s="1686"/>
      <c r="O110" s="1686"/>
      <c r="P110" s="1686"/>
      <c r="Q110" s="1686"/>
      <c r="R110" s="1686"/>
      <c r="S110" s="1686"/>
      <c r="T110" s="1686"/>
      <c r="U110" s="1686"/>
    </row>
    <row r="111" spans="1:21" s="1683" customFormat="1" ht="14.25" customHeight="1">
      <c r="A111" s="1698" t="s">
        <v>282</v>
      </c>
      <c r="B111" s="1698" t="s">
        <v>1757</v>
      </c>
      <c r="C111" s="1698">
        <v>12440</v>
      </c>
      <c r="D111" s="1698">
        <v>12380</v>
      </c>
      <c r="E111" s="1698">
        <v>17850</v>
      </c>
      <c r="F111" s="1707"/>
      <c r="G111" s="1707">
        <v>8180</v>
      </c>
      <c r="I111" s="1728"/>
      <c r="J111" s="1686"/>
      <c r="K111" s="1686"/>
      <c r="L111" s="1686"/>
      <c r="M111" s="1686"/>
      <c r="N111" s="1686"/>
      <c r="O111" s="1686"/>
      <c r="P111" s="1686"/>
      <c r="Q111" s="1686"/>
      <c r="R111" s="1686"/>
      <c r="S111" s="1686"/>
      <c r="T111" s="1686"/>
      <c r="U111" s="1686"/>
    </row>
    <row r="112" spans="1:21" s="1683" customFormat="1" ht="14.25" customHeight="1">
      <c r="A112" s="1698" t="s">
        <v>282</v>
      </c>
      <c r="B112" s="1698" t="s">
        <v>1763</v>
      </c>
      <c r="C112" s="1698">
        <v>13260</v>
      </c>
      <c r="D112" s="1698">
        <v>13180</v>
      </c>
      <c r="E112" s="1698">
        <v>19740</v>
      </c>
      <c r="F112" s="1707"/>
      <c r="G112" s="1707">
        <v>8710</v>
      </c>
      <c r="I112" s="1728"/>
      <c r="J112" s="1686"/>
      <c r="K112" s="1686"/>
      <c r="L112" s="1686"/>
      <c r="M112" s="1686"/>
      <c r="N112" s="1686"/>
      <c r="O112" s="1686"/>
      <c r="P112" s="1686"/>
      <c r="Q112" s="1686"/>
      <c r="R112" s="1686"/>
      <c r="S112" s="1686"/>
      <c r="T112" s="1686"/>
      <c r="U112" s="1686"/>
    </row>
    <row r="113" spans="1:21" s="1683" customFormat="1" ht="14.25" customHeight="1">
      <c r="A113" s="1698" t="s">
        <v>282</v>
      </c>
      <c r="B113" s="1698" t="s">
        <v>1770</v>
      </c>
      <c r="C113" s="1698">
        <v>15520</v>
      </c>
      <c r="D113" s="1698">
        <v>15450</v>
      </c>
      <c r="E113" s="1698"/>
      <c r="F113" s="1707"/>
      <c r="G113" s="1707">
        <v>10210</v>
      </c>
      <c r="I113" s="1728"/>
      <c r="J113" s="1686"/>
      <c r="K113" s="1686"/>
      <c r="L113" s="1686"/>
      <c r="M113" s="1686"/>
      <c r="N113" s="1686"/>
      <c r="O113" s="1686"/>
      <c r="P113" s="1686"/>
      <c r="Q113" s="1686"/>
      <c r="R113" s="1686"/>
      <c r="S113" s="1686"/>
      <c r="T113" s="1686"/>
      <c r="U113" s="1686"/>
    </row>
    <row r="114" spans="1:21" s="1683" customFormat="1" ht="14.25" customHeight="1">
      <c r="A114" s="1698" t="s">
        <v>282</v>
      </c>
      <c r="B114" s="1698" t="s">
        <v>1777</v>
      </c>
      <c r="C114" s="1698">
        <v>13110</v>
      </c>
      <c r="D114" s="1698">
        <v>13050</v>
      </c>
      <c r="E114" s="1698"/>
      <c r="F114" s="1707"/>
      <c r="G114" s="1707">
        <v>8620</v>
      </c>
      <c r="I114" s="1728"/>
      <c r="J114" s="1686"/>
      <c r="K114" s="1686"/>
      <c r="L114" s="1686"/>
      <c r="M114" s="1686"/>
      <c r="N114" s="1686"/>
      <c r="O114" s="1686"/>
      <c r="P114" s="1686"/>
      <c r="Q114" s="1686"/>
      <c r="R114" s="1686"/>
      <c r="S114" s="1686"/>
      <c r="T114" s="1686"/>
      <c r="U114" s="1686"/>
    </row>
    <row r="115" spans="1:21" s="1683" customFormat="1" ht="14.25" customHeight="1">
      <c r="A115" s="1698" t="s">
        <v>282</v>
      </c>
      <c r="B115" s="1698" t="s">
        <v>1784</v>
      </c>
      <c r="C115" s="1698">
        <v>12460</v>
      </c>
      <c r="D115" s="1698">
        <v>12390</v>
      </c>
      <c r="E115" s="1698"/>
      <c r="F115" s="1707"/>
      <c r="G115" s="1707">
        <v>8190</v>
      </c>
      <c r="I115" s="1728"/>
      <c r="J115" s="1686"/>
      <c r="K115" s="1686"/>
      <c r="L115" s="1686"/>
      <c r="M115" s="1686"/>
      <c r="N115" s="1686"/>
      <c r="O115" s="1686"/>
      <c r="P115" s="1686"/>
      <c r="Q115" s="1686"/>
      <c r="R115" s="1686"/>
      <c r="S115" s="1686"/>
      <c r="T115" s="1686"/>
      <c r="U115" s="1686"/>
    </row>
    <row r="116" spans="1:21" s="1683" customFormat="1" ht="14.25" customHeight="1">
      <c r="A116" s="1698" t="s">
        <v>282</v>
      </c>
      <c r="B116" s="1698" t="s">
        <v>1791</v>
      </c>
      <c r="C116" s="1698">
        <v>13580</v>
      </c>
      <c r="D116" s="1698">
        <v>13520</v>
      </c>
      <c r="E116" s="1698"/>
      <c r="F116" s="1707"/>
      <c r="G116" s="1707">
        <v>8930</v>
      </c>
      <c r="I116" s="1728"/>
      <c r="J116" s="1686"/>
      <c r="K116" s="1686"/>
      <c r="L116" s="1686"/>
      <c r="M116" s="1686"/>
      <c r="N116" s="1686"/>
      <c r="O116" s="1686"/>
      <c r="P116" s="1686"/>
      <c r="Q116" s="1686"/>
      <c r="R116" s="1686"/>
      <c r="S116" s="1686"/>
      <c r="T116" s="1686"/>
      <c r="U116" s="1686"/>
    </row>
    <row r="117" spans="1:21" s="1683" customFormat="1" ht="14.25" customHeight="1">
      <c r="A117" s="1698" t="s">
        <v>282</v>
      </c>
      <c r="B117" s="1698" t="s">
        <v>1798</v>
      </c>
      <c r="C117" s="1698">
        <v>17120</v>
      </c>
      <c r="D117" s="1698">
        <v>17040</v>
      </c>
      <c r="E117" s="1698"/>
      <c r="F117" s="1707"/>
      <c r="G117" s="1707">
        <v>11260</v>
      </c>
      <c r="I117" s="1728"/>
      <c r="J117" s="1686"/>
      <c r="K117" s="1686"/>
      <c r="L117" s="1686"/>
      <c r="M117" s="1686"/>
      <c r="N117" s="1686"/>
      <c r="O117" s="1686"/>
      <c r="P117" s="1686"/>
      <c r="Q117" s="1686"/>
      <c r="R117" s="1686"/>
      <c r="S117" s="1686"/>
      <c r="T117" s="1686"/>
      <c r="U117" s="1686"/>
    </row>
    <row r="118" spans="1:21" s="1683" customFormat="1" ht="14.25" customHeight="1">
      <c r="A118" s="1698" t="s">
        <v>282</v>
      </c>
      <c r="B118" s="1698" t="s">
        <v>1805</v>
      </c>
      <c r="C118" s="1698">
        <v>14860</v>
      </c>
      <c r="D118" s="1698">
        <v>14790</v>
      </c>
      <c r="E118" s="1698"/>
      <c r="F118" s="1707"/>
      <c r="G118" s="1707">
        <v>9780</v>
      </c>
      <c r="I118" s="1728"/>
      <c r="J118" s="1686"/>
      <c r="K118" s="1686"/>
      <c r="L118" s="1686"/>
      <c r="M118" s="1686"/>
      <c r="N118" s="1686"/>
      <c r="O118" s="1686"/>
      <c r="P118" s="1686"/>
      <c r="Q118" s="1686"/>
      <c r="R118" s="1686"/>
      <c r="S118" s="1686"/>
      <c r="T118" s="1686"/>
      <c r="U118" s="1686"/>
    </row>
    <row r="119" spans="1:21" s="1683" customFormat="1" ht="14.25" customHeight="1">
      <c r="A119" s="1698" t="s">
        <v>282</v>
      </c>
      <c r="B119" s="1698" t="s">
        <v>1810</v>
      </c>
      <c r="C119" s="1698">
        <v>16470</v>
      </c>
      <c r="D119" s="1698">
        <v>16400</v>
      </c>
      <c r="E119" s="1698"/>
      <c r="F119" s="1707"/>
      <c r="G119" s="1707">
        <v>10840</v>
      </c>
      <c r="I119" s="1728"/>
      <c r="J119" s="1686"/>
      <c r="K119" s="1686"/>
      <c r="L119" s="1686"/>
      <c r="M119" s="1686"/>
      <c r="N119" s="1686"/>
      <c r="O119" s="1686"/>
      <c r="P119" s="1686"/>
      <c r="Q119" s="1686"/>
      <c r="R119" s="1686"/>
      <c r="S119" s="1686"/>
      <c r="T119" s="1686"/>
      <c r="U119" s="1686"/>
    </row>
    <row r="120" spans="1:21" s="1683" customFormat="1" ht="14.25" customHeight="1">
      <c r="A120" s="1698" t="s">
        <v>282</v>
      </c>
      <c r="B120" s="1698" t="s">
        <v>1815</v>
      </c>
      <c r="C120" s="1698"/>
      <c r="D120" s="1698"/>
      <c r="E120" s="1698"/>
      <c r="F120" s="1707">
        <v>4160</v>
      </c>
      <c r="G120" s="1707"/>
      <c r="I120" s="1728"/>
      <c r="J120" s="1686"/>
      <c r="K120" s="1686"/>
      <c r="L120" s="1686"/>
      <c r="M120" s="1686"/>
      <c r="N120" s="1686"/>
      <c r="O120" s="1686"/>
      <c r="P120" s="1686"/>
      <c r="Q120" s="1686"/>
      <c r="R120" s="1686"/>
      <c r="S120" s="1686"/>
      <c r="T120" s="1686"/>
      <c r="U120" s="1686"/>
    </row>
    <row r="121" spans="1:21" s="1683" customFormat="1" ht="14.25" customHeight="1">
      <c r="A121" s="1698" t="s">
        <v>282</v>
      </c>
      <c r="B121" s="1698" t="s">
        <v>1820</v>
      </c>
      <c r="C121" s="1698"/>
      <c r="D121" s="1698"/>
      <c r="E121" s="1698"/>
      <c r="F121" s="1707">
        <v>3880</v>
      </c>
      <c r="G121" s="1707"/>
      <c r="I121" s="1728"/>
      <c r="J121" s="1686"/>
      <c r="K121" s="1686"/>
      <c r="L121" s="1686"/>
      <c r="M121" s="1686"/>
      <c r="N121" s="1686"/>
      <c r="O121" s="1686"/>
      <c r="P121" s="1686"/>
      <c r="Q121" s="1686"/>
      <c r="R121" s="1686"/>
      <c r="S121" s="1686"/>
      <c r="T121" s="1686"/>
      <c r="U121" s="1686"/>
    </row>
    <row r="122" spans="1:21" s="1683" customFormat="1" ht="14.25" customHeight="1">
      <c r="A122" s="1698" t="s">
        <v>282</v>
      </c>
      <c r="B122" s="1698" t="s">
        <v>1825</v>
      </c>
      <c r="C122" s="1698">
        <v>13750</v>
      </c>
      <c r="D122" s="1698">
        <v>13680</v>
      </c>
      <c r="E122" s="1698">
        <v>16460</v>
      </c>
      <c r="F122" s="1707">
        <v>2880</v>
      </c>
      <c r="G122" s="1707">
        <v>9040</v>
      </c>
      <c r="I122" s="1728"/>
      <c r="J122" s="1686"/>
      <c r="K122" s="1686"/>
      <c r="L122" s="1686"/>
      <c r="M122" s="1686"/>
      <c r="N122" s="1686"/>
      <c r="O122" s="1686"/>
      <c r="P122" s="1686"/>
      <c r="Q122" s="1686"/>
      <c r="R122" s="1686"/>
      <c r="S122" s="1686"/>
      <c r="T122" s="1686"/>
      <c r="U122" s="1686"/>
    </row>
    <row r="123" spans="1:21" s="1683" customFormat="1" ht="14.25" customHeight="1">
      <c r="A123" s="1698" t="s">
        <v>282</v>
      </c>
      <c r="B123" s="1698" t="s">
        <v>1830</v>
      </c>
      <c r="C123" s="1698">
        <v>13590</v>
      </c>
      <c r="D123" s="1698">
        <v>13520</v>
      </c>
      <c r="E123" s="1698">
        <v>16290</v>
      </c>
      <c r="F123" s="1707">
        <v>2790</v>
      </c>
      <c r="G123" s="1707">
        <v>8930</v>
      </c>
      <c r="I123" s="1728"/>
      <c r="J123" s="1686"/>
      <c r="K123" s="1686"/>
      <c r="L123" s="1686"/>
      <c r="M123" s="1686"/>
      <c r="N123" s="1686"/>
      <c r="O123" s="1686"/>
      <c r="P123" s="1686"/>
      <c r="Q123" s="1686"/>
      <c r="R123" s="1686"/>
      <c r="S123" s="1686"/>
      <c r="T123" s="1686"/>
      <c r="U123" s="1686"/>
    </row>
    <row r="124" spans="1:21" s="1683" customFormat="1" ht="14.25" customHeight="1">
      <c r="A124" s="1698" t="s">
        <v>282</v>
      </c>
      <c r="B124" s="1698" t="s">
        <v>1835</v>
      </c>
      <c r="C124" s="1698">
        <v>13400</v>
      </c>
      <c r="D124" s="1698">
        <v>13320</v>
      </c>
      <c r="E124" s="1698">
        <v>16100</v>
      </c>
      <c r="F124" s="1707">
        <v>2320</v>
      </c>
      <c r="G124" s="1717">
        <v>8800</v>
      </c>
      <c r="I124" s="1728"/>
      <c r="J124" s="1686"/>
      <c r="K124" s="1686"/>
      <c r="L124" s="1686"/>
      <c r="M124" s="1686"/>
      <c r="N124" s="1686"/>
      <c r="O124" s="1686"/>
      <c r="P124" s="1686"/>
      <c r="Q124" s="1686"/>
      <c r="R124" s="1686"/>
      <c r="S124" s="1686"/>
      <c r="T124" s="1686"/>
      <c r="U124" s="1686"/>
    </row>
    <row r="125" spans="1:21" s="1683" customFormat="1" ht="14.25" customHeight="1">
      <c r="A125" s="1698" t="s">
        <v>282</v>
      </c>
      <c r="B125" s="1711" t="s">
        <v>1840</v>
      </c>
      <c r="C125" s="1711">
        <v>12860</v>
      </c>
      <c r="D125" s="1711">
        <v>12790</v>
      </c>
      <c r="E125" s="1711">
        <v>15370</v>
      </c>
      <c r="F125" s="1712">
        <v>2280</v>
      </c>
      <c r="G125" s="1732">
        <v>8450</v>
      </c>
      <c r="I125" s="1728"/>
      <c r="J125" s="1686"/>
      <c r="K125" s="1686"/>
      <c r="L125" s="1686"/>
      <c r="M125" s="1686"/>
      <c r="N125" s="1686"/>
      <c r="O125" s="1686"/>
      <c r="P125" s="1686"/>
      <c r="Q125" s="1686"/>
      <c r="R125" s="1686"/>
      <c r="S125" s="1686"/>
      <c r="T125" s="1686"/>
      <c r="U125" s="1686"/>
    </row>
    <row r="126" spans="1:21" s="1683" customFormat="1" ht="14.25" customHeight="1">
      <c r="A126" s="1714" t="s">
        <v>282</v>
      </c>
      <c r="B126" s="1704" t="s">
        <v>1845</v>
      </c>
      <c r="C126" s="1704">
        <v>12960</v>
      </c>
      <c r="D126" s="1704">
        <v>12890</v>
      </c>
      <c r="E126" s="1704">
        <v>15530</v>
      </c>
      <c r="F126" s="1705">
        <v>2910</v>
      </c>
      <c r="G126" s="1733">
        <v>8520</v>
      </c>
      <c r="I126" s="1728"/>
      <c r="J126" s="1686"/>
      <c r="K126" s="1686"/>
      <c r="L126" s="1686"/>
      <c r="M126" s="1686"/>
      <c r="N126" s="1686"/>
      <c r="O126" s="1686"/>
      <c r="P126" s="1686"/>
      <c r="Q126" s="1686"/>
      <c r="R126" s="1686"/>
      <c r="S126" s="1686"/>
      <c r="T126" s="1686"/>
      <c r="U126" s="1686"/>
    </row>
    <row r="127" spans="1:21" s="1683" customFormat="1" ht="14.25" customHeight="1">
      <c r="A127" s="1702" t="s">
        <v>290</v>
      </c>
      <c r="B127" s="1701" t="s">
        <v>1514</v>
      </c>
      <c r="C127" s="1701">
        <v>12280</v>
      </c>
      <c r="D127" s="1701">
        <v>12250</v>
      </c>
      <c r="E127" s="1701">
        <v>15130</v>
      </c>
      <c r="F127" s="1699">
        <v>2710</v>
      </c>
      <c r="G127" s="1731">
        <v>7870</v>
      </c>
      <c r="I127" s="1728"/>
      <c r="J127" s="1686"/>
      <c r="K127" s="1686"/>
      <c r="L127" s="1686"/>
      <c r="M127" s="1686"/>
      <c r="N127" s="1686"/>
      <c r="O127" s="1686"/>
      <c r="P127" s="1686"/>
      <c r="Q127" s="1686"/>
      <c r="R127" s="1686"/>
      <c r="S127" s="1686"/>
      <c r="T127" s="1686"/>
      <c r="U127" s="1686"/>
    </row>
    <row r="128" spans="1:21" s="1683" customFormat="1" ht="14.25" customHeight="1">
      <c r="A128" s="1698" t="s">
        <v>290</v>
      </c>
      <c r="B128" s="1698" t="s">
        <v>1527</v>
      </c>
      <c r="C128" s="1698">
        <v>13180</v>
      </c>
      <c r="D128" s="1698">
        <v>13150</v>
      </c>
      <c r="E128" s="1698">
        <v>16190</v>
      </c>
      <c r="F128" s="1707">
        <v>2820</v>
      </c>
      <c r="G128" s="1717">
        <v>8460</v>
      </c>
      <c r="I128" s="1728"/>
      <c r="J128" s="1686"/>
      <c r="K128" s="1686"/>
      <c r="L128" s="1686"/>
      <c r="M128" s="1686"/>
      <c r="N128" s="1686"/>
      <c r="O128" s="1686"/>
      <c r="P128" s="1686"/>
      <c r="Q128" s="1686"/>
      <c r="R128" s="1686"/>
      <c r="S128" s="1686"/>
      <c r="T128" s="1686"/>
      <c r="U128" s="1686"/>
    </row>
    <row r="129" spans="1:21" s="1683" customFormat="1" ht="14.25" customHeight="1">
      <c r="A129" s="1698" t="s">
        <v>290</v>
      </c>
      <c r="B129" s="1698" t="s">
        <v>1540</v>
      </c>
      <c r="C129" s="1698">
        <v>10950</v>
      </c>
      <c r="D129" s="1698">
        <v>10920</v>
      </c>
      <c r="E129" s="1698">
        <v>13820</v>
      </c>
      <c r="F129" s="1707">
        <v>2500</v>
      </c>
      <c r="G129" s="1717">
        <v>7020</v>
      </c>
      <c r="I129" s="1728"/>
      <c r="J129" s="1686"/>
      <c r="K129" s="1686"/>
      <c r="L129" s="1686"/>
      <c r="M129" s="1686"/>
      <c r="N129" s="1686"/>
      <c r="O129" s="1686"/>
      <c r="P129" s="1686"/>
      <c r="Q129" s="1686"/>
      <c r="R129" s="1686"/>
      <c r="S129" s="1686"/>
      <c r="T129" s="1686"/>
      <c r="U129" s="1686"/>
    </row>
    <row r="130" spans="1:21" s="1683" customFormat="1" ht="14.25" customHeight="1">
      <c r="A130" s="1698" t="s">
        <v>290</v>
      </c>
      <c r="B130" s="1698" t="s">
        <v>1552</v>
      </c>
      <c r="C130" s="1698">
        <v>10910</v>
      </c>
      <c r="D130" s="1698">
        <v>10860</v>
      </c>
      <c r="E130" s="1698">
        <v>13730</v>
      </c>
      <c r="F130" s="1707">
        <v>2760</v>
      </c>
      <c r="G130" s="1717">
        <v>6990</v>
      </c>
      <c r="I130" s="1728"/>
      <c r="J130" s="1686"/>
      <c r="K130" s="1686"/>
      <c r="L130" s="1686"/>
      <c r="M130" s="1686"/>
      <c r="N130" s="1686"/>
      <c r="O130" s="1686"/>
      <c r="P130" s="1686"/>
      <c r="Q130" s="1686"/>
      <c r="R130" s="1686"/>
      <c r="S130" s="1686"/>
      <c r="T130" s="1686"/>
      <c r="U130" s="1686"/>
    </row>
    <row r="131" spans="1:21" s="1683" customFormat="1" ht="14.25" customHeight="1">
      <c r="A131" s="1698" t="s">
        <v>290</v>
      </c>
      <c r="B131" s="1698" t="s">
        <v>1564</v>
      </c>
      <c r="C131" s="1698">
        <v>12910</v>
      </c>
      <c r="D131" s="1698">
        <v>12870</v>
      </c>
      <c r="E131" s="1698">
        <v>15720</v>
      </c>
      <c r="F131" s="1707">
        <v>2750</v>
      </c>
      <c r="G131" s="1717">
        <v>8280</v>
      </c>
      <c r="I131" s="1728"/>
      <c r="J131" s="1686"/>
      <c r="K131" s="1686"/>
      <c r="L131" s="1686"/>
      <c r="M131" s="1686"/>
      <c r="N131" s="1686"/>
      <c r="O131" s="1686"/>
      <c r="P131" s="1686"/>
      <c r="Q131" s="1686"/>
      <c r="R131" s="1686"/>
      <c r="S131" s="1686"/>
      <c r="T131" s="1686"/>
      <c r="U131" s="1686"/>
    </row>
    <row r="132" spans="1:21" s="1683" customFormat="1" ht="14.25" customHeight="1">
      <c r="A132" s="1698" t="s">
        <v>290</v>
      </c>
      <c r="B132" s="1698" t="s">
        <v>1575</v>
      </c>
      <c r="C132" s="1698">
        <v>11910</v>
      </c>
      <c r="D132" s="1698">
        <v>11860</v>
      </c>
      <c r="E132" s="1698">
        <v>14730</v>
      </c>
      <c r="F132" s="1707">
        <v>2360</v>
      </c>
      <c r="G132" s="1717">
        <v>7630</v>
      </c>
      <c r="I132" s="1728"/>
      <c r="J132" s="1686"/>
      <c r="K132" s="1686"/>
      <c r="L132" s="1686"/>
      <c r="M132" s="1686"/>
      <c r="N132" s="1686"/>
      <c r="O132" s="1686"/>
      <c r="P132" s="1686"/>
      <c r="Q132" s="1686"/>
      <c r="R132" s="1686"/>
      <c r="S132" s="1686"/>
      <c r="T132" s="1686"/>
      <c r="U132" s="1686"/>
    </row>
    <row r="133" spans="1:21" s="1683" customFormat="1" ht="14.25" customHeight="1">
      <c r="A133" s="1698" t="s">
        <v>290</v>
      </c>
      <c r="B133" s="1698" t="s">
        <v>1586</v>
      </c>
      <c r="C133" s="1698">
        <v>12270</v>
      </c>
      <c r="D133" s="1698">
        <v>12210</v>
      </c>
      <c r="E133" s="1698">
        <v>15010</v>
      </c>
      <c r="F133" s="1707">
        <v>2580</v>
      </c>
      <c r="G133" s="1717">
        <v>7860</v>
      </c>
      <c r="I133" s="1728"/>
      <c r="J133" s="1686"/>
      <c r="K133" s="1686"/>
      <c r="L133" s="1686"/>
      <c r="M133" s="1686"/>
      <c r="N133" s="1686"/>
      <c r="O133" s="1686"/>
      <c r="P133" s="1686"/>
      <c r="Q133" s="1686"/>
      <c r="R133" s="1686"/>
      <c r="S133" s="1686"/>
      <c r="T133" s="1686"/>
      <c r="U133" s="1686"/>
    </row>
    <row r="134" spans="1:21" s="1683" customFormat="1" ht="14.25" customHeight="1">
      <c r="A134" s="1698" t="s">
        <v>290</v>
      </c>
      <c r="B134" s="1698" t="s">
        <v>1597</v>
      </c>
      <c r="C134" s="1698">
        <v>10800</v>
      </c>
      <c r="D134" s="1698">
        <v>10780</v>
      </c>
      <c r="E134" s="1698">
        <v>13640</v>
      </c>
      <c r="F134" s="1707">
        <v>2110</v>
      </c>
      <c r="G134" s="1707">
        <v>6930</v>
      </c>
      <c r="I134" s="1728"/>
      <c r="J134" s="1686"/>
      <c r="K134" s="1686"/>
      <c r="L134" s="1686"/>
      <c r="M134" s="1686"/>
      <c r="N134" s="1686"/>
      <c r="O134" s="1686"/>
      <c r="P134" s="1686"/>
      <c r="Q134" s="1686"/>
      <c r="R134" s="1686"/>
      <c r="S134" s="1686"/>
      <c r="T134" s="1686"/>
      <c r="U134" s="1686"/>
    </row>
    <row r="135" spans="1:21" s="1683" customFormat="1" ht="14.25" customHeight="1">
      <c r="A135" s="1698" t="s">
        <v>290</v>
      </c>
      <c r="B135" s="1698" t="s">
        <v>1607</v>
      </c>
      <c r="C135" s="1698">
        <v>10430</v>
      </c>
      <c r="D135" s="1698">
        <v>10390</v>
      </c>
      <c r="E135" s="1698">
        <v>13140</v>
      </c>
      <c r="F135" s="1707">
        <v>2240</v>
      </c>
      <c r="G135" s="1717">
        <v>6680</v>
      </c>
      <c r="I135" s="1728"/>
      <c r="J135" s="1686"/>
      <c r="K135" s="1686"/>
      <c r="L135" s="1686"/>
      <c r="M135" s="1686"/>
      <c r="N135" s="1686"/>
      <c r="O135" s="1686"/>
      <c r="P135" s="1686"/>
      <c r="Q135" s="1686"/>
      <c r="R135" s="1686"/>
      <c r="S135" s="1686"/>
      <c r="T135" s="1686"/>
      <c r="U135" s="1686"/>
    </row>
    <row r="136" spans="1:21" s="1683" customFormat="1" ht="14.25" customHeight="1">
      <c r="A136" s="1698" t="s">
        <v>290</v>
      </c>
      <c r="B136" s="1698" t="s">
        <v>1617</v>
      </c>
      <c r="C136" s="1698">
        <v>11930</v>
      </c>
      <c r="D136" s="1698">
        <v>11880</v>
      </c>
      <c r="E136" s="1698">
        <v>14770</v>
      </c>
      <c r="F136" s="1707">
        <v>1970</v>
      </c>
      <c r="G136" s="1717">
        <v>7640</v>
      </c>
      <c r="I136" s="1728"/>
      <c r="J136" s="1686"/>
      <c r="K136" s="1686"/>
      <c r="L136" s="1686"/>
      <c r="M136" s="1686"/>
      <c r="N136" s="1686"/>
      <c r="O136" s="1686"/>
      <c r="P136" s="1686"/>
      <c r="Q136" s="1686"/>
      <c r="R136" s="1686"/>
      <c r="S136" s="1686"/>
      <c r="T136" s="1686"/>
      <c r="U136" s="1686"/>
    </row>
    <row r="137" spans="1:21" s="1683" customFormat="1" ht="14.25" customHeight="1">
      <c r="A137" s="1698" t="s">
        <v>290</v>
      </c>
      <c r="B137" s="1698" t="s">
        <v>1627</v>
      </c>
      <c r="C137" s="1698">
        <v>10470</v>
      </c>
      <c r="D137" s="1698">
        <v>10430</v>
      </c>
      <c r="E137" s="1698">
        <v>13190</v>
      </c>
      <c r="F137" s="1707">
        <v>1990</v>
      </c>
      <c r="G137" s="1717">
        <v>6710</v>
      </c>
      <c r="I137" s="1728"/>
      <c r="J137" s="1686"/>
      <c r="K137" s="1686"/>
      <c r="L137" s="1686"/>
      <c r="M137" s="1686"/>
      <c r="N137" s="1686"/>
      <c r="O137" s="1686"/>
      <c r="P137" s="1686"/>
      <c r="Q137" s="1686"/>
      <c r="R137" s="1686"/>
      <c r="S137" s="1686"/>
      <c r="T137" s="1686"/>
      <c r="U137" s="1686"/>
    </row>
    <row r="138" spans="1:21" s="1683" customFormat="1" ht="14.25" customHeight="1">
      <c r="A138" s="1698" t="s">
        <v>290</v>
      </c>
      <c r="B138" s="1698" t="s">
        <v>1637</v>
      </c>
      <c r="C138" s="1698">
        <v>10410</v>
      </c>
      <c r="D138" s="1698">
        <v>10380</v>
      </c>
      <c r="E138" s="1698">
        <v>13130</v>
      </c>
      <c r="F138" s="1707">
        <v>2030</v>
      </c>
      <c r="G138" s="1717">
        <v>6680</v>
      </c>
      <c r="I138" s="1728"/>
      <c r="J138" s="1686"/>
      <c r="K138" s="1686"/>
      <c r="L138" s="1686"/>
      <c r="M138" s="1686"/>
      <c r="N138" s="1686"/>
      <c r="O138" s="1686"/>
      <c r="P138" s="1686"/>
      <c r="Q138" s="1686"/>
      <c r="R138" s="1686"/>
      <c r="S138" s="1686"/>
      <c r="T138" s="1686"/>
      <c r="U138" s="1686"/>
    </row>
    <row r="139" spans="1:21" s="1683" customFormat="1" ht="14.25" customHeight="1">
      <c r="A139" s="1698" t="s">
        <v>290</v>
      </c>
      <c r="B139" s="1698" t="s">
        <v>1647</v>
      </c>
      <c r="C139" s="1698">
        <v>9460</v>
      </c>
      <c r="D139" s="1698">
        <v>9410</v>
      </c>
      <c r="E139" s="1698">
        <v>12050</v>
      </c>
      <c r="F139" s="1707">
        <v>2140</v>
      </c>
      <c r="G139" s="1707">
        <v>6050</v>
      </c>
      <c r="I139" s="1728"/>
      <c r="J139" s="1686"/>
      <c r="K139" s="1686"/>
      <c r="L139" s="1686"/>
      <c r="M139" s="1686"/>
      <c r="N139" s="1686"/>
      <c r="O139" s="1686"/>
      <c r="P139" s="1686"/>
      <c r="Q139" s="1686"/>
      <c r="R139" s="1686"/>
      <c r="S139" s="1686"/>
      <c r="T139" s="1686"/>
      <c r="U139" s="1686"/>
    </row>
    <row r="140" spans="1:21" s="1683" customFormat="1" ht="14.25" customHeight="1">
      <c r="A140" s="1698" t="s">
        <v>290</v>
      </c>
      <c r="B140" s="1698" t="s">
        <v>1657</v>
      </c>
      <c r="C140" s="1698">
        <v>11030</v>
      </c>
      <c r="D140" s="1698">
        <v>10980</v>
      </c>
      <c r="E140" s="1698">
        <v>13880</v>
      </c>
      <c r="F140" s="1707">
        <v>2210</v>
      </c>
      <c r="G140" s="1707">
        <v>7060</v>
      </c>
      <c r="I140" s="1728"/>
      <c r="J140" s="1686"/>
      <c r="K140" s="1686"/>
      <c r="L140" s="1686"/>
      <c r="M140" s="1686"/>
      <c r="N140" s="1686"/>
      <c r="O140" s="1686"/>
      <c r="P140" s="1686"/>
      <c r="Q140" s="1686"/>
      <c r="R140" s="1686"/>
      <c r="S140" s="1686"/>
      <c r="T140" s="1686"/>
      <c r="U140" s="1686"/>
    </row>
    <row r="141" spans="1:21" s="1683" customFormat="1" ht="14.25" customHeight="1">
      <c r="A141" s="1698" t="s">
        <v>290</v>
      </c>
      <c r="B141" s="1698" t="s">
        <v>1667</v>
      </c>
      <c r="C141" s="1698">
        <v>11200</v>
      </c>
      <c r="D141" s="1698">
        <v>11150</v>
      </c>
      <c r="E141" s="1698">
        <v>14100</v>
      </c>
      <c r="F141" s="1707">
        <v>2470</v>
      </c>
      <c r="G141" s="1717">
        <v>7170</v>
      </c>
      <c r="I141" s="1728"/>
      <c r="J141" s="1686"/>
      <c r="K141" s="1686"/>
      <c r="L141" s="1686"/>
      <c r="M141" s="1686"/>
      <c r="N141" s="1686"/>
      <c r="O141" s="1686"/>
      <c r="P141" s="1686"/>
      <c r="Q141" s="1686"/>
      <c r="R141" s="1686"/>
      <c r="S141" s="1686"/>
      <c r="T141" s="1686"/>
      <c r="U141" s="1686"/>
    </row>
    <row r="142" spans="1:21" s="1683" customFormat="1" ht="14.25" customHeight="1">
      <c r="A142" s="1698" t="s">
        <v>290</v>
      </c>
      <c r="B142" s="1698" t="s">
        <v>1677</v>
      </c>
      <c r="C142" s="1698">
        <v>10780</v>
      </c>
      <c r="D142" s="1698">
        <v>10730</v>
      </c>
      <c r="E142" s="1698">
        <v>13540</v>
      </c>
      <c r="F142" s="1707">
        <v>2280</v>
      </c>
      <c r="G142" s="1717">
        <v>6900</v>
      </c>
      <c r="I142" s="1728"/>
      <c r="J142" s="1686"/>
      <c r="K142" s="1686"/>
      <c r="L142" s="1686"/>
      <c r="M142" s="1686"/>
      <c r="N142" s="1686"/>
      <c r="O142" s="1686"/>
      <c r="P142" s="1686"/>
      <c r="Q142" s="1686"/>
      <c r="R142" s="1686"/>
      <c r="S142" s="1686"/>
      <c r="T142" s="1686"/>
      <c r="U142" s="1686"/>
    </row>
    <row r="143" spans="1:21" s="1683" customFormat="1" ht="14.25" customHeight="1">
      <c r="A143" s="1698" t="s">
        <v>290</v>
      </c>
      <c r="B143" s="1698" t="s">
        <v>1687</v>
      </c>
      <c r="C143" s="1698">
        <v>11550</v>
      </c>
      <c r="D143" s="1698">
        <v>11490</v>
      </c>
      <c r="E143" s="1698">
        <v>14480</v>
      </c>
      <c r="F143" s="1707">
        <v>2070</v>
      </c>
      <c r="G143" s="1717">
        <v>7390</v>
      </c>
      <c r="I143" s="1728"/>
      <c r="J143" s="1686"/>
      <c r="K143" s="1686"/>
      <c r="L143" s="1686"/>
      <c r="M143" s="1686"/>
      <c r="N143" s="1686"/>
      <c r="O143" s="1686"/>
      <c r="P143" s="1686"/>
      <c r="Q143" s="1686"/>
      <c r="R143" s="1686"/>
      <c r="S143" s="1686"/>
      <c r="T143" s="1686"/>
      <c r="U143" s="1686"/>
    </row>
    <row r="144" spans="1:21" s="1683" customFormat="1" ht="14.25" customHeight="1">
      <c r="A144" s="1698" t="s">
        <v>290</v>
      </c>
      <c r="B144" s="1698" t="s">
        <v>1697</v>
      </c>
      <c r="C144" s="1698">
        <v>10720</v>
      </c>
      <c r="D144" s="1698">
        <v>10680</v>
      </c>
      <c r="E144" s="1698">
        <v>13480</v>
      </c>
      <c r="F144" s="1707">
        <v>2440</v>
      </c>
      <c r="G144" s="1717">
        <v>6870</v>
      </c>
      <c r="I144" s="1728"/>
      <c r="J144" s="1686"/>
      <c r="K144" s="1686"/>
      <c r="L144" s="1686"/>
      <c r="M144" s="1686"/>
      <c r="N144" s="1686"/>
      <c r="O144" s="1686"/>
      <c r="P144" s="1686"/>
      <c r="Q144" s="1686"/>
      <c r="R144" s="1686"/>
      <c r="S144" s="1686"/>
      <c r="T144" s="1686"/>
      <c r="U144" s="1686"/>
    </row>
    <row r="145" spans="1:21" s="1683" customFormat="1" ht="14.25" customHeight="1">
      <c r="A145" s="1698" t="s">
        <v>290</v>
      </c>
      <c r="B145" s="1698" t="s">
        <v>1707</v>
      </c>
      <c r="C145" s="1698">
        <v>10340</v>
      </c>
      <c r="D145" s="1698">
        <v>10290</v>
      </c>
      <c r="E145" s="1698">
        <v>12880</v>
      </c>
      <c r="F145" s="1707">
        <v>2650</v>
      </c>
      <c r="G145" s="1707">
        <v>6620</v>
      </c>
      <c r="I145" s="1728"/>
      <c r="J145" s="1686"/>
      <c r="K145" s="1686"/>
      <c r="L145" s="1686"/>
      <c r="M145" s="1686"/>
      <c r="N145" s="1686"/>
      <c r="O145" s="1686"/>
      <c r="P145" s="1686"/>
      <c r="Q145" s="1686"/>
      <c r="R145" s="1686"/>
      <c r="S145" s="1686"/>
      <c r="T145" s="1686"/>
      <c r="U145" s="1686"/>
    </row>
    <row r="146" spans="1:21" s="1683" customFormat="1" ht="14.25" customHeight="1">
      <c r="A146" s="1698" t="s">
        <v>290</v>
      </c>
      <c r="B146" s="1698" t="s">
        <v>1717</v>
      </c>
      <c r="C146" s="1698">
        <v>11890</v>
      </c>
      <c r="D146" s="1698">
        <v>11830</v>
      </c>
      <c r="E146" s="1698">
        <v>14670</v>
      </c>
      <c r="F146" s="1707"/>
      <c r="G146" s="1707">
        <v>7610</v>
      </c>
      <c r="I146" s="1728"/>
      <c r="J146" s="1686"/>
      <c r="K146" s="1686"/>
      <c r="L146" s="1686"/>
      <c r="M146" s="1686"/>
      <c r="N146" s="1686"/>
      <c r="O146" s="1686"/>
      <c r="P146" s="1686"/>
      <c r="Q146" s="1686"/>
      <c r="R146" s="1686"/>
      <c r="S146" s="1686"/>
      <c r="T146" s="1686"/>
      <c r="U146" s="1686"/>
    </row>
    <row r="147" spans="1:21" s="1683" customFormat="1" ht="14.25" customHeight="1">
      <c r="A147" s="1698" t="s">
        <v>290</v>
      </c>
      <c r="B147" s="1698" t="s">
        <v>1726</v>
      </c>
      <c r="C147" s="1698">
        <v>12650</v>
      </c>
      <c r="D147" s="1698">
        <v>12600</v>
      </c>
      <c r="E147" s="1698">
        <v>15440</v>
      </c>
      <c r="F147" s="1707"/>
      <c r="G147" s="1707">
        <v>8110</v>
      </c>
      <c r="I147" s="1728"/>
      <c r="J147" s="1686"/>
      <c r="K147" s="1686"/>
      <c r="L147" s="1686"/>
      <c r="M147" s="1686"/>
      <c r="N147" s="1686"/>
      <c r="O147" s="1686"/>
      <c r="P147" s="1686"/>
      <c r="Q147" s="1686"/>
      <c r="R147" s="1686"/>
      <c r="S147" s="1686"/>
      <c r="T147" s="1686"/>
      <c r="U147" s="1686"/>
    </row>
    <row r="148" spans="1:21" s="1683" customFormat="1" ht="14.25" customHeight="1">
      <c r="A148" s="1698" t="s">
        <v>290</v>
      </c>
      <c r="B148" s="1698" t="s">
        <v>1734</v>
      </c>
      <c r="C148" s="1698">
        <v>10370</v>
      </c>
      <c r="D148" s="1698">
        <v>10310</v>
      </c>
      <c r="E148" s="1698">
        <v>12970</v>
      </c>
      <c r="F148" s="1707"/>
      <c r="G148" s="1707">
        <v>6630</v>
      </c>
      <c r="I148" s="1728"/>
      <c r="J148" s="1686"/>
      <c r="K148" s="1686"/>
      <c r="L148" s="1686"/>
      <c r="M148" s="1686"/>
      <c r="N148" s="1686"/>
      <c r="O148" s="1686"/>
      <c r="P148" s="1686"/>
      <c r="Q148" s="1686"/>
      <c r="R148" s="1686"/>
      <c r="S148" s="1686"/>
      <c r="T148" s="1686"/>
      <c r="U148" s="1686"/>
    </row>
    <row r="149" spans="1:21" s="1683" customFormat="1" ht="14.25" customHeight="1">
      <c r="A149" s="1698" t="s">
        <v>290</v>
      </c>
      <c r="B149" s="1698" t="s">
        <v>1742</v>
      </c>
      <c r="C149" s="1698">
        <v>11600</v>
      </c>
      <c r="D149" s="1698">
        <v>11560</v>
      </c>
      <c r="E149" s="1698">
        <v>14540</v>
      </c>
      <c r="F149" s="1707">
        <v>2390</v>
      </c>
      <c r="G149" s="1707">
        <v>7430</v>
      </c>
      <c r="I149" s="1728"/>
      <c r="J149" s="1686"/>
      <c r="K149" s="1686"/>
      <c r="L149" s="1686"/>
      <c r="M149" s="1686"/>
      <c r="N149" s="1686"/>
      <c r="O149" s="1686"/>
      <c r="P149" s="1686"/>
      <c r="Q149" s="1686"/>
      <c r="R149" s="1686"/>
      <c r="S149" s="1686"/>
      <c r="T149" s="1686"/>
      <c r="U149" s="1686"/>
    </row>
    <row r="150" spans="1:21" s="1683" customFormat="1" ht="14.25" customHeight="1">
      <c r="A150" s="1698" t="s">
        <v>290</v>
      </c>
      <c r="B150" s="1698" t="s">
        <v>1750</v>
      </c>
      <c r="C150" s="1698">
        <v>9950</v>
      </c>
      <c r="D150" s="1698">
        <v>9890</v>
      </c>
      <c r="E150" s="1698">
        <v>12590</v>
      </c>
      <c r="F150" s="1707">
        <v>1970</v>
      </c>
      <c r="G150" s="1707">
        <v>6360</v>
      </c>
      <c r="I150" s="1728"/>
      <c r="J150" s="1686"/>
      <c r="K150" s="1686"/>
      <c r="L150" s="1686"/>
      <c r="M150" s="1686"/>
      <c r="N150" s="1686"/>
      <c r="O150" s="1686"/>
      <c r="P150" s="1686"/>
      <c r="Q150" s="1686"/>
      <c r="R150" s="1686"/>
      <c r="S150" s="1686"/>
      <c r="T150" s="1686"/>
      <c r="U150" s="1686"/>
    </row>
    <row r="151" spans="1:21" s="1683" customFormat="1" ht="14.25" customHeight="1">
      <c r="A151" s="1698" t="s">
        <v>290</v>
      </c>
      <c r="B151" s="1698" t="s">
        <v>1758</v>
      </c>
      <c r="C151" s="1698">
        <v>10700</v>
      </c>
      <c r="D151" s="1698">
        <v>10650</v>
      </c>
      <c r="E151" s="1698">
        <v>13420</v>
      </c>
      <c r="F151" s="1707">
        <v>2020</v>
      </c>
      <c r="G151" s="1707">
        <v>6850</v>
      </c>
      <c r="I151" s="1728"/>
      <c r="J151" s="1686"/>
      <c r="K151" s="1686"/>
      <c r="L151" s="1686"/>
      <c r="M151" s="1686"/>
      <c r="N151" s="1686"/>
      <c r="O151" s="1686"/>
      <c r="P151" s="1686"/>
      <c r="Q151" s="1686"/>
      <c r="R151" s="1686"/>
      <c r="S151" s="1686"/>
      <c r="T151" s="1686"/>
      <c r="U151" s="1686"/>
    </row>
    <row r="152" spans="1:21" s="1683" customFormat="1" ht="14.25" customHeight="1">
      <c r="A152" s="1698" t="s">
        <v>290</v>
      </c>
      <c r="B152" s="1698" t="s">
        <v>1764</v>
      </c>
      <c r="C152" s="1698">
        <v>10310</v>
      </c>
      <c r="D152" s="1698">
        <v>10260</v>
      </c>
      <c r="E152" s="1698">
        <v>12820</v>
      </c>
      <c r="F152" s="1707">
        <v>1980</v>
      </c>
      <c r="G152" s="1707">
        <v>6600</v>
      </c>
      <c r="I152" s="1728"/>
      <c r="J152" s="1686"/>
      <c r="K152" s="1686"/>
      <c r="L152" s="1686"/>
      <c r="M152" s="1686"/>
      <c r="N152" s="1686"/>
      <c r="O152" s="1686"/>
      <c r="P152" s="1686"/>
      <c r="Q152" s="1686"/>
      <c r="R152" s="1686"/>
      <c r="S152" s="1686"/>
      <c r="T152" s="1686"/>
      <c r="U152" s="1686"/>
    </row>
    <row r="153" spans="1:21" s="1683" customFormat="1" ht="14.25" customHeight="1">
      <c r="A153" s="1698" t="s">
        <v>290</v>
      </c>
      <c r="B153" s="1698" t="s">
        <v>1771</v>
      </c>
      <c r="C153" s="1698">
        <v>10880</v>
      </c>
      <c r="D153" s="1698">
        <v>10820</v>
      </c>
      <c r="E153" s="1698">
        <v>13660</v>
      </c>
      <c r="F153" s="1707">
        <v>2260</v>
      </c>
      <c r="G153" s="1707">
        <v>6970</v>
      </c>
      <c r="I153" s="1728"/>
      <c r="J153" s="1686"/>
      <c r="K153" s="1686"/>
      <c r="L153" s="1686"/>
      <c r="M153" s="1686"/>
      <c r="N153" s="1686"/>
      <c r="O153" s="1686"/>
      <c r="P153" s="1686"/>
      <c r="Q153" s="1686"/>
      <c r="R153" s="1686"/>
      <c r="S153" s="1686"/>
      <c r="T153" s="1686"/>
      <c r="U153" s="1686"/>
    </row>
    <row r="154" spans="1:21" s="1683" customFormat="1" ht="14.25" customHeight="1">
      <c r="A154" s="1698" t="s">
        <v>290</v>
      </c>
      <c r="B154" s="1698" t="s">
        <v>1778</v>
      </c>
      <c r="C154" s="1698">
        <v>11220</v>
      </c>
      <c r="D154" s="1698">
        <v>11160</v>
      </c>
      <c r="E154" s="1698">
        <v>14130</v>
      </c>
      <c r="F154" s="1707">
        <v>2230</v>
      </c>
      <c r="G154" s="1707">
        <v>7180</v>
      </c>
      <c r="I154" s="1728"/>
      <c r="J154" s="1686"/>
      <c r="K154" s="1686"/>
      <c r="L154" s="1686"/>
      <c r="M154" s="1686"/>
      <c r="N154" s="1686"/>
      <c r="O154" s="1686"/>
      <c r="P154" s="1686"/>
      <c r="Q154" s="1686"/>
      <c r="R154" s="1686"/>
      <c r="S154" s="1686"/>
      <c r="T154" s="1686"/>
      <c r="U154" s="1686"/>
    </row>
    <row r="155" spans="1:21" s="1683" customFormat="1" ht="14.25" customHeight="1">
      <c r="A155" s="1698" t="s">
        <v>290</v>
      </c>
      <c r="B155" s="1698" t="s">
        <v>1785</v>
      </c>
      <c r="C155" s="1698">
        <v>10430</v>
      </c>
      <c r="D155" s="1698">
        <v>10380</v>
      </c>
      <c r="E155" s="1698">
        <v>13140</v>
      </c>
      <c r="F155" s="1707">
        <v>2080</v>
      </c>
      <c r="G155" s="1707">
        <v>6650</v>
      </c>
      <c r="I155" s="1728"/>
      <c r="J155" s="1686"/>
      <c r="K155" s="1686"/>
      <c r="L155" s="1686"/>
      <c r="M155" s="1686"/>
      <c r="N155" s="1686"/>
      <c r="O155" s="1686"/>
      <c r="P155" s="1686"/>
      <c r="Q155" s="1686"/>
      <c r="R155" s="1686"/>
      <c r="S155" s="1686"/>
      <c r="T155" s="1686"/>
      <c r="U155" s="1686"/>
    </row>
    <row r="156" spans="1:21" s="1683" customFormat="1" ht="14.25" customHeight="1">
      <c r="A156" s="1698" t="s">
        <v>290</v>
      </c>
      <c r="B156" s="1698" t="s">
        <v>1792</v>
      </c>
      <c r="C156" s="1698">
        <v>10440</v>
      </c>
      <c r="D156" s="1698">
        <v>10400</v>
      </c>
      <c r="E156" s="1698">
        <v>13150</v>
      </c>
      <c r="F156" s="1707">
        <v>2490</v>
      </c>
      <c r="G156" s="1707">
        <v>6690</v>
      </c>
      <c r="I156" s="1728"/>
      <c r="J156" s="1686"/>
      <c r="K156" s="1686"/>
      <c r="L156" s="1686"/>
      <c r="M156" s="1686"/>
      <c r="N156" s="1686"/>
      <c r="O156" s="1686"/>
      <c r="P156" s="1686"/>
      <c r="Q156" s="1686"/>
      <c r="R156" s="1686"/>
      <c r="S156" s="1686"/>
      <c r="T156" s="1686"/>
      <c r="U156" s="1686"/>
    </row>
    <row r="157" spans="1:21" s="1683" customFormat="1" ht="14.25" customHeight="1">
      <c r="A157" s="1698" t="s">
        <v>290</v>
      </c>
      <c r="B157" s="1698" t="s">
        <v>1799</v>
      </c>
      <c r="C157" s="1698">
        <v>10970</v>
      </c>
      <c r="D157" s="1698">
        <v>10920</v>
      </c>
      <c r="E157" s="1698">
        <v>13840</v>
      </c>
      <c r="F157" s="1707">
        <v>2420</v>
      </c>
      <c r="G157" s="1716">
        <v>7020</v>
      </c>
      <c r="I157" s="1728"/>
      <c r="J157" s="1686"/>
      <c r="K157" s="1686"/>
      <c r="L157" s="1686"/>
      <c r="M157" s="1686"/>
      <c r="N157" s="1686"/>
      <c r="O157" s="1686"/>
      <c r="P157" s="1686"/>
      <c r="Q157" s="1686"/>
      <c r="R157" s="1686"/>
      <c r="S157" s="1686"/>
      <c r="T157" s="1686"/>
      <c r="U157" s="1686"/>
    </row>
    <row r="158" spans="1:21" s="1683" customFormat="1" ht="14.25" customHeight="1">
      <c r="A158" s="1701" t="s">
        <v>290</v>
      </c>
      <c r="B158" s="1701" t="s">
        <v>1806</v>
      </c>
      <c r="C158" s="1701">
        <v>9590</v>
      </c>
      <c r="D158" s="1701">
        <v>9540</v>
      </c>
      <c r="E158" s="1701">
        <v>12210</v>
      </c>
      <c r="F158" s="1699">
        <v>2100</v>
      </c>
      <c r="G158" s="1699">
        <v>6130</v>
      </c>
      <c r="I158" s="1728"/>
      <c r="J158" s="1686"/>
      <c r="K158" s="1686"/>
      <c r="L158" s="1686"/>
      <c r="M158" s="1686"/>
      <c r="N158" s="1686"/>
      <c r="O158" s="1686"/>
      <c r="P158" s="1686"/>
      <c r="Q158" s="1686"/>
      <c r="R158" s="1686"/>
      <c r="S158" s="1686"/>
      <c r="T158" s="1686"/>
      <c r="U158" s="1686"/>
    </row>
    <row r="159" spans="1:21" s="1683" customFormat="1" ht="14.25" customHeight="1">
      <c r="A159" s="1698" t="s">
        <v>290</v>
      </c>
      <c r="B159" s="1698" t="s">
        <v>1811</v>
      </c>
      <c r="C159" s="1698">
        <v>11190</v>
      </c>
      <c r="D159" s="1698">
        <v>11140</v>
      </c>
      <c r="E159" s="1698">
        <v>14090</v>
      </c>
      <c r="F159" s="1707">
        <v>2470</v>
      </c>
      <c r="G159" s="1707">
        <v>7170</v>
      </c>
      <c r="I159" s="1728"/>
      <c r="J159" s="1686"/>
      <c r="K159" s="1686"/>
      <c r="L159" s="1686"/>
      <c r="M159" s="1686"/>
      <c r="N159" s="1686"/>
      <c r="O159" s="1686"/>
      <c r="P159" s="1686"/>
      <c r="Q159" s="1686"/>
      <c r="R159" s="1686"/>
      <c r="S159" s="1686"/>
      <c r="T159" s="1686"/>
      <c r="U159" s="1686"/>
    </row>
    <row r="160" spans="1:21" s="1683" customFormat="1" ht="14.25" customHeight="1">
      <c r="A160" s="1698" t="s">
        <v>290</v>
      </c>
      <c r="B160" s="1698" t="s">
        <v>1816</v>
      </c>
      <c r="C160" s="1698">
        <v>11180</v>
      </c>
      <c r="D160" s="1698">
        <v>11140</v>
      </c>
      <c r="E160" s="1698">
        <v>14050</v>
      </c>
      <c r="F160" s="1707">
        <v>2270</v>
      </c>
      <c r="G160" s="1707">
        <v>7170</v>
      </c>
      <c r="I160" s="1728"/>
      <c r="J160" s="1686"/>
      <c r="K160" s="1686"/>
      <c r="L160" s="1686"/>
      <c r="M160" s="1686"/>
      <c r="N160" s="1686"/>
      <c r="O160" s="1686"/>
      <c r="P160" s="1686"/>
      <c r="Q160" s="1686"/>
      <c r="R160" s="1686"/>
      <c r="S160" s="1686"/>
      <c r="T160" s="1686"/>
      <c r="U160" s="1686"/>
    </row>
    <row r="161" spans="1:21" s="1683" customFormat="1" ht="14.25" customHeight="1">
      <c r="A161" s="1698" t="s">
        <v>290</v>
      </c>
      <c r="B161" s="1698" t="s">
        <v>1821</v>
      </c>
      <c r="C161" s="1698">
        <v>11160</v>
      </c>
      <c r="D161" s="1698">
        <v>11120</v>
      </c>
      <c r="E161" s="1698">
        <v>14020</v>
      </c>
      <c r="F161" s="1707">
        <v>2150</v>
      </c>
      <c r="G161" s="1707">
        <v>7160</v>
      </c>
      <c r="I161" s="1728"/>
      <c r="J161" s="1686"/>
      <c r="K161" s="1686"/>
      <c r="L161" s="1686"/>
      <c r="M161" s="1686"/>
      <c r="N161" s="1686"/>
      <c r="O161" s="1686"/>
      <c r="P161" s="1686"/>
      <c r="Q161" s="1686"/>
      <c r="R161" s="1686"/>
      <c r="S161" s="1686"/>
      <c r="T161" s="1686"/>
      <c r="U161" s="1686"/>
    </row>
    <row r="162" spans="1:21" s="1683" customFormat="1" ht="14.25" customHeight="1">
      <c r="A162" s="1698" t="s">
        <v>290</v>
      </c>
      <c r="B162" s="1698" t="s">
        <v>1826</v>
      </c>
      <c r="C162" s="1698">
        <v>9620</v>
      </c>
      <c r="D162" s="1698">
        <v>9570</v>
      </c>
      <c r="E162" s="1698">
        <v>12320</v>
      </c>
      <c r="F162" s="1707">
        <v>2010</v>
      </c>
      <c r="G162" s="1707">
        <v>6160</v>
      </c>
      <c r="I162" s="1728"/>
      <c r="J162" s="1686"/>
      <c r="K162" s="1686"/>
      <c r="L162" s="1686"/>
      <c r="M162" s="1686"/>
      <c r="N162" s="1686"/>
      <c r="O162" s="1686"/>
      <c r="P162" s="1686"/>
      <c r="Q162" s="1686"/>
      <c r="R162" s="1686"/>
      <c r="S162" s="1686"/>
      <c r="T162" s="1686"/>
      <c r="U162" s="1686"/>
    </row>
    <row r="163" spans="1:21" s="1683" customFormat="1" ht="14.25" customHeight="1">
      <c r="A163" s="1698" t="s">
        <v>290</v>
      </c>
      <c r="B163" s="1698" t="s">
        <v>1831</v>
      </c>
      <c r="C163" s="1698">
        <v>9320</v>
      </c>
      <c r="D163" s="1698">
        <v>9270</v>
      </c>
      <c r="E163" s="1698">
        <v>11790</v>
      </c>
      <c r="F163" s="1707">
        <v>1920</v>
      </c>
      <c r="G163" s="1707">
        <v>5960</v>
      </c>
      <c r="I163" s="1728"/>
      <c r="J163" s="1686"/>
      <c r="K163" s="1686"/>
      <c r="L163" s="1686"/>
      <c r="M163" s="1686"/>
      <c r="N163" s="1686"/>
      <c r="O163" s="1686"/>
      <c r="P163" s="1686"/>
      <c r="Q163" s="1686"/>
      <c r="R163" s="1686"/>
      <c r="S163" s="1686"/>
      <c r="T163" s="1686"/>
      <c r="U163" s="1686"/>
    </row>
    <row r="164" spans="1:21" s="1683" customFormat="1" ht="14.25" customHeight="1">
      <c r="A164" s="1698" t="s">
        <v>290</v>
      </c>
      <c r="B164" s="1698" t="s">
        <v>1836</v>
      </c>
      <c r="C164" s="1698"/>
      <c r="D164" s="1698"/>
      <c r="E164" s="1698"/>
      <c r="F164" s="1707">
        <v>1980</v>
      </c>
      <c r="G164" s="1707"/>
      <c r="I164" s="1728"/>
      <c r="J164" s="1686"/>
      <c r="K164" s="1686"/>
      <c r="L164" s="1686"/>
      <c r="M164" s="1686"/>
      <c r="N164" s="1686"/>
      <c r="O164" s="1686"/>
      <c r="P164" s="1686"/>
      <c r="Q164" s="1686"/>
      <c r="R164" s="1686"/>
      <c r="S164" s="1686"/>
      <c r="T164" s="1686"/>
      <c r="U164" s="1686"/>
    </row>
    <row r="165" spans="1:21" s="1683" customFormat="1" ht="14.25" customHeight="1">
      <c r="A165" s="1698" t="s">
        <v>290</v>
      </c>
      <c r="B165" s="1698" t="s">
        <v>1841</v>
      </c>
      <c r="C165" s="1698">
        <v>11060</v>
      </c>
      <c r="D165" s="1698">
        <v>11030</v>
      </c>
      <c r="E165" s="1698">
        <v>13850</v>
      </c>
      <c r="F165" s="1707">
        <v>2170</v>
      </c>
      <c r="G165" s="1707">
        <v>7090</v>
      </c>
      <c r="I165" s="1728"/>
      <c r="J165" s="1686"/>
      <c r="K165" s="1686"/>
      <c r="L165" s="1686"/>
      <c r="M165" s="1686"/>
      <c r="N165" s="1686"/>
      <c r="O165" s="1686"/>
      <c r="P165" s="1686"/>
      <c r="Q165" s="1686"/>
      <c r="R165" s="1686"/>
      <c r="S165" s="1686"/>
      <c r="T165" s="1686"/>
      <c r="U165" s="1686"/>
    </row>
    <row r="166" spans="1:21" s="1683" customFormat="1" ht="14.25" customHeight="1">
      <c r="A166" s="1698" t="s">
        <v>290</v>
      </c>
      <c r="B166" s="1698" t="s">
        <v>1846</v>
      </c>
      <c r="C166" s="1698">
        <v>11050</v>
      </c>
      <c r="D166" s="1698">
        <v>11010</v>
      </c>
      <c r="E166" s="1698">
        <v>13920</v>
      </c>
      <c r="F166" s="1707">
        <v>2140</v>
      </c>
      <c r="G166" s="1707">
        <v>7080</v>
      </c>
      <c r="I166" s="1728"/>
      <c r="J166" s="1686"/>
      <c r="K166" s="1686"/>
      <c r="L166" s="1686"/>
      <c r="M166" s="1686"/>
      <c r="N166" s="1686"/>
      <c r="O166" s="1686"/>
      <c r="P166" s="1686"/>
      <c r="Q166" s="1686"/>
      <c r="R166" s="1686"/>
      <c r="S166" s="1686"/>
      <c r="T166" s="1686"/>
      <c r="U166" s="1686"/>
    </row>
    <row r="167" spans="1:21" s="1683" customFormat="1" ht="14.25" customHeight="1">
      <c r="A167" s="1698" t="s">
        <v>290</v>
      </c>
      <c r="B167" s="1698" t="s">
        <v>1850</v>
      </c>
      <c r="C167" s="1698">
        <v>10930</v>
      </c>
      <c r="D167" s="1698">
        <v>10890</v>
      </c>
      <c r="E167" s="1698">
        <v>13790</v>
      </c>
      <c r="F167" s="1707">
        <v>2010</v>
      </c>
      <c r="G167" s="1717">
        <v>7000</v>
      </c>
      <c r="I167" s="1728"/>
      <c r="J167" s="1686"/>
      <c r="K167" s="1686"/>
      <c r="L167" s="1686"/>
      <c r="M167" s="1686"/>
      <c r="N167" s="1686"/>
      <c r="O167" s="1686"/>
      <c r="P167" s="1686"/>
      <c r="Q167" s="1686"/>
      <c r="R167" s="1686"/>
      <c r="S167" s="1686"/>
      <c r="T167" s="1686"/>
      <c r="U167" s="1686"/>
    </row>
    <row r="168" spans="1:21" s="1683" customFormat="1" ht="14.25" customHeight="1">
      <c r="A168" s="1698" t="s">
        <v>290</v>
      </c>
      <c r="B168" s="1698" t="s">
        <v>1854</v>
      </c>
      <c r="C168" s="1698">
        <v>9420</v>
      </c>
      <c r="D168" s="1698">
        <v>9380</v>
      </c>
      <c r="E168" s="1698">
        <v>11970</v>
      </c>
      <c r="F168" s="1707"/>
      <c r="G168" s="1717">
        <v>6040</v>
      </c>
      <c r="I168" s="1728"/>
      <c r="J168" s="1686"/>
      <c r="K168" s="1686"/>
      <c r="L168" s="1686"/>
      <c r="M168" s="1686"/>
      <c r="N168" s="1686"/>
      <c r="O168" s="1686"/>
      <c r="P168" s="1686"/>
      <c r="Q168" s="1686"/>
      <c r="R168" s="1686"/>
      <c r="S168" s="1686"/>
      <c r="T168" s="1686"/>
      <c r="U168" s="1686"/>
    </row>
    <row r="169" spans="1:21" s="1683" customFormat="1" ht="14.25" customHeight="1">
      <c r="A169" s="1698" t="s">
        <v>290</v>
      </c>
      <c r="B169" s="1698" t="s">
        <v>1858</v>
      </c>
      <c r="C169" s="1698"/>
      <c r="D169" s="1698"/>
      <c r="E169" s="1698"/>
      <c r="F169" s="1707">
        <v>2880</v>
      </c>
      <c r="G169" s="1717"/>
      <c r="I169" s="1728"/>
      <c r="J169" s="1686"/>
      <c r="K169" s="1686"/>
      <c r="L169" s="1686"/>
      <c r="M169" s="1686"/>
      <c r="N169" s="1686"/>
      <c r="O169" s="1686"/>
      <c r="P169" s="1686"/>
      <c r="Q169" s="1686"/>
      <c r="R169" s="1686"/>
      <c r="S169" s="1686"/>
      <c r="T169" s="1686"/>
      <c r="U169" s="1686"/>
    </row>
    <row r="170" spans="1:21" s="1683" customFormat="1" ht="14.25" customHeight="1">
      <c r="A170" s="1698" t="s">
        <v>290</v>
      </c>
      <c r="B170" s="1698" t="s">
        <v>1862</v>
      </c>
      <c r="C170" s="1698"/>
      <c r="D170" s="1698"/>
      <c r="E170" s="1698"/>
      <c r="F170" s="1707">
        <v>2880</v>
      </c>
      <c r="G170" s="1717"/>
      <c r="I170" s="1728"/>
      <c r="J170" s="1686"/>
      <c r="K170" s="1686"/>
      <c r="L170" s="1686"/>
      <c r="M170" s="1686"/>
      <c r="N170" s="1686"/>
      <c r="O170" s="1686"/>
      <c r="P170" s="1686"/>
      <c r="Q170" s="1686"/>
      <c r="R170" s="1686"/>
      <c r="S170" s="1686"/>
      <c r="T170" s="1686"/>
      <c r="U170" s="1686"/>
    </row>
    <row r="171" spans="1:21" s="1683" customFormat="1" ht="14.25" customHeight="1">
      <c r="A171" s="1698" t="s">
        <v>290</v>
      </c>
      <c r="B171" s="1698" t="s">
        <v>1865</v>
      </c>
      <c r="C171" s="1698"/>
      <c r="D171" s="1698"/>
      <c r="E171" s="1698"/>
      <c r="F171" s="1707">
        <v>2880</v>
      </c>
      <c r="G171" s="1707"/>
      <c r="I171" s="1728"/>
      <c r="J171" s="1686"/>
      <c r="K171" s="1686"/>
      <c r="L171" s="1686"/>
      <c r="M171" s="1686"/>
      <c r="N171" s="1686"/>
      <c r="O171" s="1686"/>
      <c r="P171" s="1686"/>
      <c r="Q171" s="1686"/>
      <c r="R171" s="1686"/>
      <c r="S171" s="1686"/>
      <c r="T171" s="1686"/>
      <c r="U171" s="1686"/>
    </row>
    <row r="172" spans="1:21" s="1683" customFormat="1" ht="14.25" customHeight="1">
      <c r="A172" s="1698" t="s">
        <v>290</v>
      </c>
      <c r="B172" s="1698" t="s">
        <v>1867</v>
      </c>
      <c r="C172" s="1698"/>
      <c r="D172" s="1698"/>
      <c r="E172" s="1698"/>
      <c r="F172" s="1707">
        <v>2880</v>
      </c>
      <c r="G172" s="1717"/>
      <c r="I172" s="1728"/>
      <c r="J172" s="1686"/>
      <c r="K172" s="1686"/>
      <c r="L172" s="1686"/>
      <c r="M172" s="1686"/>
      <c r="N172" s="1686"/>
      <c r="O172" s="1686"/>
      <c r="P172" s="1686"/>
      <c r="Q172" s="1686"/>
      <c r="R172" s="1686"/>
      <c r="S172" s="1686"/>
      <c r="T172" s="1686"/>
      <c r="U172" s="1686"/>
    </row>
    <row r="173" spans="1:21" s="1683" customFormat="1" ht="14.25" customHeight="1">
      <c r="A173" s="1698" t="s">
        <v>290</v>
      </c>
      <c r="B173" s="1698" t="s">
        <v>1869</v>
      </c>
      <c r="C173" s="1698"/>
      <c r="D173" s="1698"/>
      <c r="E173" s="1698"/>
      <c r="F173" s="1707">
        <v>2150</v>
      </c>
      <c r="G173" s="1717"/>
      <c r="I173" s="1728"/>
      <c r="J173" s="1686"/>
      <c r="K173" s="1686"/>
      <c r="L173" s="1686"/>
      <c r="M173" s="1686"/>
      <c r="N173" s="1686"/>
      <c r="O173" s="1686"/>
      <c r="P173" s="1686"/>
      <c r="Q173" s="1686"/>
      <c r="R173" s="1686"/>
      <c r="S173" s="1686"/>
      <c r="T173" s="1686"/>
      <c r="U173" s="1686"/>
    </row>
    <row r="174" spans="1:21" s="1683" customFormat="1" ht="14.25" customHeight="1">
      <c r="A174" s="1698" t="s">
        <v>290</v>
      </c>
      <c r="B174" s="1698" t="s">
        <v>1871</v>
      </c>
      <c r="C174" s="1698"/>
      <c r="D174" s="1698"/>
      <c r="E174" s="1698"/>
      <c r="F174" s="1707">
        <v>2030</v>
      </c>
      <c r="G174" s="1707"/>
      <c r="I174" s="1728"/>
      <c r="J174" s="1686"/>
      <c r="K174" s="1686"/>
      <c r="L174" s="1686"/>
      <c r="M174" s="1686"/>
      <c r="N174" s="1686"/>
      <c r="O174" s="1686"/>
      <c r="P174" s="1686"/>
      <c r="Q174" s="1686"/>
      <c r="R174" s="1686"/>
      <c r="S174" s="1686"/>
      <c r="T174" s="1686"/>
      <c r="U174" s="1686"/>
    </row>
    <row r="175" spans="1:21" s="1683" customFormat="1" ht="14.25" customHeight="1">
      <c r="A175" s="1698" t="s">
        <v>290</v>
      </c>
      <c r="B175" s="1698" t="s">
        <v>1873</v>
      </c>
      <c r="C175" s="1698"/>
      <c r="D175" s="1698"/>
      <c r="E175" s="1698"/>
      <c r="F175" s="1707">
        <v>2780</v>
      </c>
      <c r="G175" s="1707"/>
      <c r="I175" s="1728"/>
      <c r="J175" s="1686"/>
      <c r="K175" s="1686"/>
      <c r="L175" s="1686"/>
      <c r="M175" s="1686"/>
      <c r="N175" s="1686"/>
      <c r="O175" s="1686"/>
      <c r="P175" s="1686"/>
      <c r="Q175" s="1686"/>
      <c r="R175" s="1686"/>
      <c r="S175" s="1686"/>
      <c r="T175" s="1686"/>
      <c r="U175" s="1686"/>
    </row>
    <row r="176" spans="1:21" s="1683" customFormat="1" ht="14.25" customHeight="1">
      <c r="A176" s="1698" t="s">
        <v>290</v>
      </c>
      <c r="B176" s="1698" t="s">
        <v>1875</v>
      </c>
      <c r="C176" s="1698"/>
      <c r="D176" s="1698"/>
      <c r="E176" s="1698"/>
      <c r="F176" s="1707">
        <v>2780</v>
      </c>
      <c r="G176" s="1707"/>
      <c r="I176" s="1728"/>
      <c r="J176" s="1686"/>
      <c r="K176" s="1686"/>
      <c r="L176" s="1686"/>
      <c r="M176" s="1686"/>
      <c r="N176" s="1686"/>
      <c r="O176" s="1686"/>
      <c r="P176" s="1686"/>
      <c r="Q176" s="1686"/>
      <c r="R176" s="1686"/>
      <c r="S176" s="1686"/>
      <c r="T176" s="1686"/>
      <c r="U176" s="1686"/>
    </row>
    <row r="177" spans="1:21" s="1683" customFormat="1" ht="14.25" customHeight="1">
      <c r="A177" s="1698" t="s">
        <v>290</v>
      </c>
      <c r="B177" s="1698" t="s">
        <v>1877</v>
      </c>
      <c r="C177" s="1698"/>
      <c r="D177" s="1698"/>
      <c r="E177" s="1698"/>
      <c r="F177" s="1707">
        <v>2780</v>
      </c>
      <c r="G177" s="1707"/>
      <c r="I177" s="1728"/>
      <c r="J177" s="1686"/>
      <c r="K177" s="1686"/>
      <c r="L177" s="1686"/>
      <c r="M177" s="1686"/>
      <c r="N177" s="1686"/>
      <c r="O177" s="1686"/>
      <c r="P177" s="1686"/>
      <c r="Q177" s="1686"/>
      <c r="R177" s="1686"/>
      <c r="S177" s="1686"/>
      <c r="T177" s="1686"/>
      <c r="U177" s="1686"/>
    </row>
    <row r="178" spans="1:21" s="1683" customFormat="1" ht="14.25" customHeight="1">
      <c r="A178" s="1698" t="s">
        <v>290</v>
      </c>
      <c r="B178" s="1698" t="s">
        <v>1878</v>
      </c>
      <c r="C178" s="1698"/>
      <c r="D178" s="1698"/>
      <c r="E178" s="1698"/>
      <c r="F178" s="1707">
        <v>2060</v>
      </c>
      <c r="G178" s="1707"/>
      <c r="I178" s="1728"/>
      <c r="J178" s="1686"/>
      <c r="K178" s="1686"/>
      <c r="L178" s="1686"/>
      <c r="M178" s="1686"/>
      <c r="N178" s="1686"/>
      <c r="O178" s="1686"/>
      <c r="P178" s="1686"/>
      <c r="Q178" s="1686"/>
      <c r="R178" s="1686"/>
      <c r="S178" s="1686"/>
      <c r="T178" s="1686"/>
      <c r="U178" s="1686"/>
    </row>
    <row r="179" spans="1:21" s="1683" customFormat="1" ht="14.25" customHeight="1">
      <c r="A179" s="1698" t="s">
        <v>290</v>
      </c>
      <c r="B179" s="1698" t="s">
        <v>1879</v>
      </c>
      <c r="C179" s="1698"/>
      <c r="D179" s="1698"/>
      <c r="E179" s="1698"/>
      <c r="F179" s="1707">
        <v>2120</v>
      </c>
      <c r="G179" s="1717"/>
      <c r="I179" s="1728"/>
      <c r="J179" s="1686"/>
      <c r="K179" s="1686"/>
      <c r="L179" s="1686"/>
      <c r="M179" s="1686"/>
      <c r="N179" s="1686"/>
      <c r="O179" s="1686"/>
      <c r="P179" s="1686"/>
      <c r="Q179" s="1686"/>
      <c r="R179" s="1686"/>
      <c r="S179" s="1686"/>
      <c r="T179" s="1686"/>
      <c r="U179" s="1686"/>
    </row>
    <row r="180" spans="1:21" s="1683" customFormat="1" ht="14.25" customHeight="1">
      <c r="A180" s="1698" t="s">
        <v>290</v>
      </c>
      <c r="B180" s="1698" t="s">
        <v>1880</v>
      </c>
      <c r="C180" s="1698"/>
      <c r="D180" s="1698"/>
      <c r="E180" s="1698"/>
      <c r="F180" s="1707">
        <v>2340</v>
      </c>
      <c r="G180" s="1707"/>
      <c r="I180" s="1728"/>
      <c r="J180" s="1686"/>
      <c r="K180" s="1686"/>
      <c r="L180" s="1686"/>
      <c r="M180" s="1686"/>
      <c r="N180" s="1686"/>
      <c r="O180" s="1686"/>
      <c r="P180" s="1686"/>
      <c r="Q180" s="1686"/>
      <c r="R180" s="1686"/>
      <c r="S180" s="1686"/>
      <c r="T180" s="1686"/>
      <c r="U180" s="1686"/>
    </row>
    <row r="181" spans="1:21" s="1683" customFormat="1" ht="14.25" customHeight="1">
      <c r="A181" s="1698" t="s">
        <v>290</v>
      </c>
      <c r="B181" s="1698" t="s">
        <v>1881</v>
      </c>
      <c r="C181" s="1698"/>
      <c r="D181" s="1698"/>
      <c r="E181" s="1698"/>
      <c r="F181" s="1707">
        <v>2340</v>
      </c>
      <c r="G181" s="1707"/>
      <c r="I181" s="1728"/>
      <c r="J181" s="1686"/>
      <c r="K181" s="1686"/>
      <c r="L181" s="1686"/>
      <c r="M181" s="1686"/>
      <c r="N181" s="1686"/>
      <c r="O181" s="1686"/>
      <c r="P181" s="1686"/>
      <c r="Q181" s="1686"/>
      <c r="R181" s="1686"/>
      <c r="S181" s="1686"/>
      <c r="T181" s="1686"/>
      <c r="U181" s="1686"/>
    </row>
    <row r="182" spans="1:21" s="1683" customFormat="1" ht="14.25" customHeight="1">
      <c r="A182" s="1698" t="s">
        <v>290</v>
      </c>
      <c r="B182" s="1698" t="s">
        <v>1882</v>
      </c>
      <c r="C182" s="1698"/>
      <c r="D182" s="1698"/>
      <c r="E182" s="1698"/>
      <c r="F182" s="1707">
        <v>2340</v>
      </c>
      <c r="G182" s="1707"/>
      <c r="I182" s="1728"/>
      <c r="J182" s="1686"/>
      <c r="K182" s="1686"/>
      <c r="L182" s="1686"/>
      <c r="M182" s="1686"/>
      <c r="N182" s="1686"/>
      <c r="O182" s="1686"/>
      <c r="P182" s="1686"/>
      <c r="Q182" s="1686"/>
      <c r="R182" s="1686"/>
      <c r="S182" s="1686"/>
      <c r="T182" s="1686"/>
      <c r="U182" s="1686"/>
    </row>
    <row r="183" spans="1:21" s="1683" customFormat="1" ht="14.25" customHeight="1">
      <c r="A183" s="1698" t="s">
        <v>290</v>
      </c>
      <c r="B183" s="1698" t="s">
        <v>1883</v>
      </c>
      <c r="C183" s="1698"/>
      <c r="D183" s="1698"/>
      <c r="E183" s="1698"/>
      <c r="F183" s="1707">
        <v>2340</v>
      </c>
      <c r="G183" s="1717"/>
      <c r="I183" s="1728"/>
      <c r="J183" s="1686"/>
      <c r="K183" s="1686"/>
      <c r="L183" s="1686"/>
      <c r="M183" s="1686"/>
      <c r="N183" s="1686"/>
      <c r="O183" s="1686"/>
      <c r="P183" s="1686"/>
      <c r="Q183" s="1686"/>
      <c r="R183" s="1686"/>
      <c r="S183" s="1686"/>
      <c r="T183" s="1686"/>
      <c r="U183" s="1686"/>
    </row>
    <row r="184" spans="1:21" s="1683" customFormat="1" ht="14.25" customHeight="1">
      <c r="A184" s="1698" t="s">
        <v>290</v>
      </c>
      <c r="B184" s="1698" t="s">
        <v>1884</v>
      </c>
      <c r="C184" s="1698"/>
      <c r="D184" s="1698"/>
      <c r="E184" s="1698"/>
      <c r="F184" s="1707">
        <v>2340</v>
      </c>
      <c r="G184" s="1717"/>
      <c r="I184" s="1728"/>
      <c r="J184" s="1686"/>
      <c r="K184" s="1686"/>
      <c r="L184" s="1686"/>
      <c r="M184" s="1686"/>
      <c r="N184" s="1686"/>
      <c r="O184" s="1686"/>
      <c r="P184" s="1686"/>
      <c r="Q184" s="1686"/>
      <c r="R184" s="1686"/>
      <c r="S184" s="1686"/>
      <c r="T184" s="1686"/>
      <c r="U184" s="1686"/>
    </row>
    <row r="185" spans="1:21" s="1683" customFormat="1" ht="14.25" customHeight="1">
      <c r="A185" s="1698" t="s">
        <v>290</v>
      </c>
      <c r="B185" s="1698" t="s">
        <v>1885</v>
      </c>
      <c r="C185" s="1698"/>
      <c r="D185" s="1698"/>
      <c r="E185" s="1698"/>
      <c r="F185" s="1707">
        <v>2530</v>
      </c>
      <c r="G185" s="1707"/>
      <c r="I185" s="1728"/>
      <c r="J185" s="1686"/>
      <c r="K185" s="1686"/>
      <c r="L185" s="1686"/>
      <c r="M185" s="1686"/>
      <c r="N185" s="1686"/>
      <c r="O185" s="1686"/>
      <c r="P185" s="1686"/>
      <c r="Q185" s="1686"/>
      <c r="R185" s="1686"/>
      <c r="S185" s="1686"/>
      <c r="T185" s="1686"/>
      <c r="U185" s="1686"/>
    </row>
    <row r="186" spans="1:21" s="1683" customFormat="1" ht="14.25" customHeight="1">
      <c r="A186" s="1698" t="s">
        <v>290</v>
      </c>
      <c r="B186" s="1698" t="s">
        <v>1886</v>
      </c>
      <c r="C186" s="1698"/>
      <c r="D186" s="1698"/>
      <c r="E186" s="1698"/>
      <c r="F186" s="1707">
        <v>2550</v>
      </c>
      <c r="G186" s="1707"/>
      <c r="I186" s="1728"/>
      <c r="J186" s="1686"/>
      <c r="K186" s="1686"/>
      <c r="L186" s="1686"/>
      <c r="M186" s="1686"/>
      <c r="N186" s="1686"/>
      <c r="O186" s="1686"/>
      <c r="P186" s="1686"/>
      <c r="Q186" s="1686"/>
      <c r="R186" s="1686"/>
      <c r="S186" s="1686"/>
      <c r="T186" s="1686"/>
      <c r="U186" s="1686"/>
    </row>
    <row r="187" spans="1:21" s="1683" customFormat="1" ht="14.25" customHeight="1">
      <c r="A187" s="1698" t="s">
        <v>290</v>
      </c>
      <c r="B187" s="1698" t="s">
        <v>1887</v>
      </c>
      <c r="C187" s="1698"/>
      <c r="D187" s="1698"/>
      <c r="E187" s="1698"/>
      <c r="F187" s="1707">
        <v>2070</v>
      </c>
      <c r="G187" s="1707"/>
      <c r="I187" s="1728"/>
      <c r="J187" s="1686"/>
      <c r="K187" s="1686"/>
      <c r="L187" s="1686"/>
      <c r="M187" s="1686"/>
      <c r="N187" s="1686"/>
      <c r="O187" s="1686"/>
      <c r="P187" s="1686"/>
      <c r="Q187" s="1686"/>
      <c r="R187" s="1686"/>
      <c r="S187" s="1686"/>
      <c r="T187" s="1686"/>
      <c r="U187" s="1686"/>
    </row>
    <row r="188" spans="1:21" s="1683" customFormat="1" ht="14.25" customHeight="1">
      <c r="A188" s="1698" t="s">
        <v>290</v>
      </c>
      <c r="B188" s="1698" t="s">
        <v>1888</v>
      </c>
      <c r="C188" s="1698"/>
      <c r="D188" s="1698"/>
      <c r="E188" s="1698"/>
      <c r="F188" s="1707">
        <v>2340</v>
      </c>
      <c r="G188" s="1707"/>
      <c r="I188" s="1728"/>
      <c r="J188" s="1686"/>
      <c r="K188" s="1686"/>
      <c r="L188" s="1686"/>
      <c r="M188" s="1686"/>
      <c r="N188" s="1686"/>
      <c r="O188" s="1686"/>
      <c r="P188" s="1686"/>
      <c r="Q188" s="1686"/>
      <c r="R188" s="1686"/>
      <c r="S188" s="1686"/>
      <c r="T188" s="1686"/>
      <c r="U188" s="1686"/>
    </row>
    <row r="189" spans="1:21" s="1683" customFormat="1" ht="14.25" customHeight="1">
      <c r="A189" s="1714" t="s">
        <v>290</v>
      </c>
      <c r="B189" s="1704" t="s">
        <v>1889</v>
      </c>
      <c r="C189" s="1704"/>
      <c r="D189" s="1704"/>
      <c r="E189" s="1704"/>
      <c r="F189" s="1705">
        <v>2050</v>
      </c>
      <c r="G189" s="1715"/>
      <c r="I189" s="1728"/>
      <c r="J189" s="1686"/>
      <c r="K189" s="1686"/>
      <c r="L189" s="1686"/>
      <c r="M189" s="1686"/>
      <c r="N189" s="1686"/>
      <c r="O189" s="1686"/>
      <c r="P189" s="1686"/>
      <c r="Q189" s="1686"/>
      <c r="R189" s="1686"/>
      <c r="S189" s="1686"/>
      <c r="T189" s="1686"/>
      <c r="U189" s="1686"/>
    </row>
    <row r="190" spans="1:21" s="1683" customFormat="1" ht="14.25" customHeight="1">
      <c r="A190" s="1702" t="s">
        <v>295</v>
      </c>
      <c r="B190" s="1701" t="s">
        <v>1515</v>
      </c>
      <c r="C190" s="1701">
        <v>8830</v>
      </c>
      <c r="D190" s="1701">
        <v>8790</v>
      </c>
      <c r="E190" s="1701">
        <v>11630</v>
      </c>
      <c r="F190" s="1699">
        <v>1790</v>
      </c>
      <c r="G190" s="1699">
        <v>5550</v>
      </c>
      <c r="I190" s="1728"/>
      <c r="J190" s="1686"/>
      <c r="K190" s="1686"/>
      <c r="L190" s="1686"/>
      <c r="M190" s="1686"/>
      <c r="N190" s="1686"/>
      <c r="O190" s="1686"/>
      <c r="P190" s="1686"/>
      <c r="Q190" s="1686"/>
      <c r="R190" s="1686"/>
      <c r="S190" s="1686"/>
      <c r="T190" s="1686"/>
      <c r="U190" s="1686"/>
    </row>
    <row r="191" spans="1:21" s="1683" customFormat="1" ht="14.25" customHeight="1">
      <c r="A191" s="1698" t="s">
        <v>295</v>
      </c>
      <c r="B191" s="1698" t="s">
        <v>1528</v>
      </c>
      <c r="C191" s="1698">
        <v>9780</v>
      </c>
      <c r="D191" s="1698">
        <v>9710</v>
      </c>
      <c r="E191" s="1698">
        <v>12550</v>
      </c>
      <c r="F191" s="1707">
        <v>1980</v>
      </c>
      <c r="G191" s="1707">
        <v>6130</v>
      </c>
      <c r="I191" s="1728"/>
      <c r="J191" s="1686"/>
      <c r="K191" s="1686"/>
      <c r="L191" s="1686"/>
      <c r="M191" s="1686"/>
      <c r="N191" s="1686"/>
      <c r="O191" s="1686"/>
      <c r="P191" s="1686"/>
      <c r="Q191" s="1686"/>
      <c r="R191" s="1686"/>
      <c r="S191" s="1686"/>
      <c r="T191" s="1686"/>
      <c r="U191" s="1686"/>
    </row>
    <row r="192" spans="1:21" s="1683" customFormat="1" ht="14.25" customHeight="1">
      <c r="A192" s="1698" t="s">
        <v>295</v>
      </c>
      <c r="B192" s="1698" t="s">
        <v>1541</v>
      </c>
      <c r="C192" s="1698">
        <v>8180</v>
      </c>
      <c r="D192" s="1698">
        <v>8140</v>
      </c>
      <c r="E192" s="1698">
        <v>10870</v>
      </c>
      <c r="F192" s="1707">
        <v>1690</v>
      </c>
      <c r="G192" s="1707">
        <v>5140</v>
      </c>
      <c r="I192" s="1728"/>
      <c r="J192" s="1686"/>
      <c r="K192" s="1686"/>
      <c r="L192" s="1686"/>
      <c r="M192" s="1686"/>
      <c r="N192" s="1686"/>
      <c r="O192" s="1686"/>
      <c r="P192" s="1686"/>
      <c r="Q192" s="1686"/>
      <c r="R192" s="1686"/>
      <c r="S192" s="1686"/>
      <c r="T192" s="1686"/>
      <c r="U192" s="1686"/>
    </row>
    <row r="193" spans="1:21" s="1683" customFormat="1" ht="14.25" customHeight="1">
      <c r="A193" s="1698" t="s">
        <v>295</v>
      </c>
      <c r="B193" s="1698" t="s">
        <v>1553</v>
      </c>
      <c r="C193" s="1698">
        <v>8440</v>
      </c>
      <c r="D193" s="1698">
        <v>8390</v>
      </c>
      <c r="E193" s="1698">
        <v>11210</v>
      </c>
      <c r="F193" s="1707">
        <v>1600</v>
      </c>
      <c r="G193" s="1707">
        <v>5300</v>
      </c>
      <c r="I193" s="1728"/>
      <c r="J193" s="1686"/>
      <c r="K193" s="1686"/>
      <c r="L193" s="1686"/>
      <c r="M193" s="1686"/>
      <c r="N193" s="1686"/>
      <c r="O193" s="1686"/>
      <c r="P193" s="1686"/>
      <c r="Q193" s="1686"/>
      <c r="R193" s="1686"/>
      <c r="S193" s="1686"/>
      <c r="T193" s="1686"/>
      <c r="U193" s="1686"/>
    </row>
    <row r="194" spans="1:21" s="1683" customFormat="1" ht="14.25" customHeight="1">
      <c r="A194" s="1698" t="s">
        <v>295</v>
      </c>
      <c r="B194" s="1698" t="s">
        <v>1565</v>
      </c>
      <c r="C194" s="1698">
        <v>8780</v>
      </c>
      <c r="D194" s="1698">
        <v>8730</v>
      </c>
      <c r="E194" s="1698">
        <v>11550</v>
      </c>
      <c r="F194" s="1707">
        <v>1660</v>
      </c>
      <c r="G194" s="1707">
        <v>5520</v>
      </c>
      <c r="I194" s="1728"/>
      <c r="J194" s="1686"/>
      <c r="K194" s="1686"/>
      <c r="L194" s="1686"/>
      <c r="M194" s="1686"/>
      <c r="N194" s="1686"/>
      <c r="O194" s="1686"/>
      <c r="P194" s="1686"/>
      <c r="Q194" s="1686"/>
      <c r="R194" s="1686"/>
      <c r="S194" s="1686"/>
      <c r="T194" s="1686"/>
      <c r="U194" s="1686"/>
    </row>
    <row r="195" spans="1:21" s="1683" customFormat="1" ht="14.25" customHeight="1">
      <c r="A195" s="1698" t="s">
        <v>295</v>
      </c>
      <c r="B195" s="1698" t="s">
        <v>1576</v>
      </c>
      <c r="C195" s="1698">
        <v>8720</v>
      </c>
      <c r="D195" s="1698">
        <v>8670</v>
      </c>
      <c r="E195" s="1698">
        <v>11450</v>
      </c>
      <c r="F195" s="1707">
        <v>1720</v>
      </c>
      <c r="G195" s="1707">
        <v>5480</v>
      </c>
      <c r="I195" s="1728"/>
      <c r="J195" s="1686"/>
      <c r="K195" s="1686"/>
      <c r="L195" s="1686"/>
      <c r="M195" s="1686"/>
      <c r="N195" s="1686"/>
      <c r="O195" s="1686"/>
      <c r="P195" s="1686"/>
      <c r="Q195" s="1686"/>
      <c r="R195" s="1686"/>
      <c r="S195" s="1686"/>
      <c r="T195" s="1686"/>
      <c r="U195" s="1686"/>
    </row>
    <row r="196" spans="1:21" s="1683" customFormat="1" ht="14.25" customHeight="1">
      <c r="A196" s="1698" t="s">
        <v>295</v>
      </c>
      <c r="B196" s="1698" t="s">
        <v>1587</v>
      </c>
      <c r="C196" s="1698">
        <v>8460</v>
      </c>
      <c r="D196" s="1698">
        <v>8410</v>
      </c>
      <c r="E196" s="1698">
        <v>11230</v>
      </c>
      <c r="F196" s="1707">
        <v>1730</v>
      </c>
      <c r="G196" s="1707">
        <v>5310</v>
      </c>
      <c r="I196" s="1728"/>
      <c r="J196" s="1686"/>
      <c r="K196" s="1686"/>
      <c r="L196" s="1686"/>
      <c r="M196" s="1686"/>
      <c r="N196" s="1686"/>
      <c r="O196" s="1686"/>
      <c r="P196" s="1686"/>
      <c r="Q196" s="1686"/>
      <c r="R196" s="1686"/>
      <c r="S196" s="1686"/>
      <c r="T196" s="1686"/>
      <c r="U196" s="1686"/>
    </row>
    <row r="197" spans="1:21" s="1683" customFormat="1" ht="14.25" customHeight="1">
      <c r="A197" s="1698" t="s">
        <v>295</v>
      </c>
      <c r="B197" s="1698" t="s">
        <v>1598</v>
      </c>
      <c r="C197" s="1698">
        <v>8790</v>
      </c>
      <c r="D197" s="1698">
        <v>8730</v>
      </c>
      <c r="E197" s="1698">
        <v>11560</v>
      </c>
      <c r="F197" s="1707">
        <v>1750</v>
      </c>
      <c r="G197" s="1707">
        <v>5520</v>
      </c>
      <c r="I197" s="1728"/>
      <c r="J197" s="1686"/>
      <c r="K197" s="1686"/>
      <c r="L197" s="1686"/>
      <c r="M197" s="1686"/>
      <c r="N197" s="1686"/>
      <c r="O197" s="1686"/>
      <c r="P197" s="1686"/>
      <c r="Q197" s="1686"/>
      <c r="R197" s="1686"/>
      <c r="S197" s="1686"/>
      <c r="T197" s="1686"/>
      <c r="U197" s="1686"/>
    </row>
    <row r="198" spans="1:21" s="1683" customFormat="1" ht="14.25" customHeight="1">
      <c r="A198" s="1698" t="s">
        <v>295</v>
      </c>
      <c r="B198" s="1698" t="s">
        <v>1608</v>
      </c>
      <c r="C198" s="1698">
        <v>8720</v>
      </c>
      <c r="D198" s="1698">
        <v>8680</v>
      </c>
      <c r="E198" s="1698">
        <v>11470</v>
      </c>
      <c r="F198" s="1707"/>
      <c r="G198" s="1707">
        <v>5480</v>
      </c>
      <c r="I198" s="1728"/>
      <c r="J198" s="1686"/>
      <c r="K198" s="1686"/>
      <c r="L198" s="1686"/>
      <c r="M198" s="1686"/>
      <c r="N198" s="1686"/>
      <c r="O198" s="1686"/>
      <c r="P198" s="1686"/>
      <c r="Q198" s="1686"/>
      <c r="R198" s="1686"/>
      <c r="S198" s="1686"/>
      <c r="T198" s="1686"/>
      <c r="U198" s="1686"/>
    </row>
    <row r="199" spans="1:21" s="1683" customFormat="1" ht="14.25" customHeight="1">
      <c r="A199" s="1698" t="s">
        <v>295</v>
      </c>
      <c r="B199" s="1698" t="s">
        <v>1618</v>
      </c>
      <c r="C199" s="1698">
        <v>8690</v>
      </c>
      <c r="D199" s="1698">
        <v>8630</v>
      </c>
      <c r="E199" s="1698">
        <v>11350</v>
      </c>
      <c r="F199" s="1707">
        <v>1600</v>
      </c>
      <c r="G199" s="1707">
        <v>5450</v>
      </c>
      <c r="I199" s="1728"/>
      <c r="J199" s="1686"/>
      <c r="K199" s="1686"/>
      <c r="L199" s="1686"/>
      <c r="M199" s="1686"/>
      <c r="N199" s="1686"/>
      <c r="O199" s="1686"/>
      <c r="P199" s="1686"/>
      <c r="Q199" s="1686"/>
      <c r="R199" s="1686"/>
      <c r="S199" s="1686"/>
      <c r="T199" s="1686"/>
      <c r="U199" s="1686"/>
    </row>
    <row r="200" spans="1:21" s="1683" customFormat="1" ht="14.25" customHeight="1">
      <c r="A200" s="1698" t="s">
        <v>295</v>
      </c>
      <c r="B200" s="1698" t="s">
        <v>1628</v>
      </c>
      <c r="C200" s="1698"/>
      <c r="D200" s="1698"/>
      <c r="E200" s="1698"/>
      <c r="F200" s="1707">
        <v>1510</v>
      </c>
      <c r="G200" s="1707"/>
      <c r="I200" s="1728"/>
      <c r="J200" s="1686"/>
      <c r="K200" s="1686"/>
      <c r="L200" s="1686"/>
      <c r="M200" s="1686"/>
      <c r="N200" s="1686"/>
      <c r="O200" s="1686"/>
      <c r="P200" s="1686"/>
      <c r="Q200" s="1686"/>
      <c r="R200" s="1686"/>
      <c r="S200" s="1686"/>
      <c r="T200" s="1686"/>
      <c r="U200" s="1686"/>
    </row>
    <row r="201" spans="1:21" s="1683" customFormat="1" ht="14.25" customHeight="1">
      <c r="A201" s="1698" t="s">
        <v>295</v>
      </c>
      <c r="B201" s="1698" t="s">
        <v>1638</v>
      </c>
      <c r="C201" s="1698">
        <v>8440</v>
      </c>
      <c r="D201" s="1698">
        <v>8390</v>
      </c>
      <c r="E201" s="1698">
        <v>10930</v>
      </c>
      <c r="F201" s="1707">
        <v>1500</v>
      </c>
      <c r="G201" s="1707">
        <v>5300</v>
      </c>
      <c r="I201" s="1728"/>
      <c r="J201" s="1686"/>
      <c r="K201" s="1686"/>
      <c r="L201" s="1686"/>
      <c r="M201" s="1686"/>
      <c r="N201" s="1686"/>
      <c r="O201" s="1686"/>
      <c r="P201" s="1686"/>
      <c r="Q201" s="1686"/>
      <c r="R201" s="1686"/>
      <c r="S201" s="1686"/>
      <c r="T201" s="1686"/>
      <c r="U201" s="1686"/>
    </row>
    <row r="202" spans="1:21" s="1683" customFormat="1" ht="14.25" customHeight="1">
      <c r="A202" s="1698" t="s">
        <v>295</v>
      </c>
      <c r="B202" s="1698" t="s">
        <v>1648</v>
      </c>
      <c r="C202" s="1698">
        <v>8530</v>
      </c>
      <c r="D202" s="1698">
        <v>8490</v>
      </c>
      <c r="E202" s="1698">
        <v>11160</v>
      </c>
      <c r="F202" s="1707">
        <v>1580</v>
      </c>
      <c r="G202" s="1707">
        <v>5360</v>
      </c>
      <c r="I202" s="1728"/>
      <c r="J202" s="1686"/>
      <c r="K202" s="1686"/>
      <c r="L202" s="1686"/>
      <c r="M202" s="1686"/>
      <c r="N202" s="1686"/>
      <c r="O202" s="1686"/>
      <c r="P202" s="1686"/>
      <c r="Q202" s="1686"/>
      <c r="R202" s="1686"/>
      <c r="S202" s="1686"/>
      <c r="T202" s="1686"/>
      <c r="U202" s="1686"/>
    </row>
    <row r="203" spans="1:21" s="1683" customFormat="1" ht="14.25" customHeight="1">
      <c r="A203" s="1698" t="s">
        <v>295</v>
      </c>
      <c r="B203" s="1698" t="s">
        <v>1658</v>
      </c>
      <c r="C203" s="1698">
        <v>8130</v>
      </c>
      <c r="D203" s="1698">
        <v>8070</v>
      </c>
      <c r="E203" s="1698">
        <v>10820</v>
      </c>
      <c r="F203" s="1707">
        <v>1690</v>
      </c>
      <c r="G203" s="1707">
        <v>5100</v>
      </c>
      <c r="I203" s="1728"/>
      <c r="J203" s="1686"/>
      <c r="K203" s="1686"/>
      <c r="L203" s="1686"/>
      <c r="M203" s="1686"/>
      <c r="N203" s="1686"/>
      <c r="O203" s="1686"/>
      <c r="P203" s="1686"/>
      <c r="Q203" s="1686"/>
      <c r="R203" s="1686"/>
      <c r="S203" s="1686"/>
      <c r="T203" s="1686"/>
      <c r="U203" s="1686"/>
    </row>
    <row r="204" spans="1:21" s="1683" customFormat="1" ht="14.25" customHeight="1">
      <c r="A204" s="1698" t="s">
        <v>295</v>
      </c>
      <c r="B204" s="1698" t="s">
        <v>1668</v>
      </c>
      <c r="C204" s="1698">
        <v>8350</v>
      </c>
      <c r="D204" s="1698">
        <v>8290</v>
      </c>
      <c r="E204" s="1698">
        <v>11080</v>
      </c>
      <c r="F204" s="1707">
        <v>1450</v>
      </c>
      <c r="G204" s="1707">
        <v>5240</v>
      </c>
      <c r="I204" s="1728"/>
      <c r="J204" s="1686"/>
      <c r="K204" s="1686"/>
      <c r="L204" s="1686"/>
      <c r="M204" s="1686"/>
      <c r="N204" s="1686"/>
      <c r="O204" s="1686"/>
      <c r="P204" s="1686"/>
      <c r="Q204" s="1686"/>
      <c r="R204" s="1686"/>
      <c r="S204" s="1686"/>
      <c r="T204" s="1686"/>
      <c r="U204" s="1686"/>
    </row>
    <row r="205" spans="1:21" s="1683" customFormat="1" ht="14.25" customHeight="1">
      <c r="A205" s="1698" t="s">
        <v>295</v>
      </c>
      <c r="B205" s="1698" t="s">
        <v>1678</v>
      </c>
      <c r="C205" s="1698">
        <v>7190</v>
      </c>
      <c r="D205" s="1698">
        <v>7130</v>
      </c>
      <c r="E205" s="1698">
        <v>9490</v>
      </c>
      <c r="F205" s="1707">
        <v>1470</v>
      </c>
      <c r="G205" s="1716">
        <v>4510</v>
      </c>
      <c r="I205" s="1728"/>
      <c r="J205" s="1686"/>
      <c r="K205" s="1686"/>
      <c r="L205" s="1686"/>
      <c r="M205" s="1686"/>
      <c r="N205" s="1686"/>
      <c r="O205" s="1686"/>
      <c r="P205" s="1686"/>
      <c r="Q205" s="1686"/>
      <c r="R205" s="1686"/>
      <c r="S205" s="1686"/>
      <c r="T205" s="1686"/>
      <c r="U205" s="1686"/>
    </row>
    <row r="206" spans="1:21" s="1683" customFormat="1" ht="14.25" customHeight="1">
      <c r="A206" s="1701" t="s">
        <v>295</v>
      </c>
      <c r="B206" s="1701" t="s">
        <v>1688</v>
      </c>
      <c r="C206" s="1701">
        <v>7000</v>
      </c>
      <c r="D206" s="1701">
        <v>6950</v>
      </c>
      <c r="E206" s="1701">
        <v>9170</v>
      </c>
      <c r="F206" s="1699">
        <v>1400</v>
      </c>
      <c r="G206" s="1699">
        <v>4380</v>
      </c>
      <c r="I206" s="1728"/>
      <c r="J206" s="1686"/>
      <c r="K206" s="1686"/>
      <c r="L206" s="1686"/>
      <c r="M206" s="1686"/>
      <c r="N206" s="1686"/>
      <c r="O206" s="1686"/>
      <c r="P206" s="1686"/>
      <c r="Q206" s="1686"/>
      <c r="R206" s="1686"/>
      <c r="S206" s="1686"/>
      <c r="T206" s="1686"/>
      <c r="U206" s="1686"/>
    </row>
    <row r="207" spans="1:21" s="1683" customFormat="1" ht="14.25" customHeight="1">
      <c r="A207" s="1698" t="s">
        <v>295</v>
      </c>
      <c r="B207" s="1698" t="s">
        <v>1698</v>
      </c>
      <c r="C207" s="1698">
        <v>6950</v>
      </c>
      <c r="D207" s="1698">
        <v>6900</v>
      </c>
      <c r="E207" s="1698">
        <v>9110</v>
      </c>
      <c r="F207" s="1707">
        <v>1790</v>
      </c>
      <c r="G207" s="1707">
        <v>4360</v>
      </c>
      <c r="I207" s="1728"/>
      <c r="J207" s="1686"/>
      <c r="K207" s="1686"/>
      <c r="L207" s="1686"/>
      <c r="M207" s="1686"/>
      <c r="N207" s="1686"/>
      <c r="O207" s="1686"/>
      <c r="P207" s="1686"/>
      <c r="Q207" s="1686"/>
      <c r="R207" s="1686"/>
      <c r="S207" s="1686"/>
      <c r="T207" s="1686"/>
      <c r="U207" s="1686"/>
    </row>
    <row r="208" spans="1:21" s="1683" customFormat="1" ht="14.25" customHeight="1">
      <c r="A208" s="1698" t="s">
        <v>295</v>
      </c>
      <c r="B208" s="1698" t="s">
        <v>1708</v>
      </c>
      <c r="C208" s="1698">
        <v>9470</v>
      </c>
      <c r="D208" s="1698">
        <v>9410</v>
      </c>
      <c r="E208" s="1698">
        <v>12330</v>
      </c>
      <c r="F208" s="1707">
        <v>1770</v>
      </c>
      <c r="G208" s="1707">
        <v>5940</v>
      </c>
      <c r="I208" s="1728"/>
      <c r="J208" s="1686"/>
      <c r="K208" s="1686"/>
      <c r="L208" s="1686"/>
      <c r="M208" s="1686"/>
      <c r="N208" s="1686"/>
      <c r="O208" s="1686"/>
      <c r="P208" s="1686"/>
      <c r="Q208" s="1686"/>
      <c r="R208" s="1686"/>
      <c r="S208" s="1686"/>
      <c r="T208" s="1686"/>
      <c r="U208" s="1686"/>
    </row>
    <row r="209" spans="1:21" s="1683" customFormat="1" ht="14.25" customHeight="1">
      <c r="A209" s="1698" t="s">
        <v>295</v>
      </c>
      <c r="B209" s="1698" t="s">
        <v>1718</v>
      </c>
      <c r="C209" s="1698">
        <v>8740</v>
      </c>
      <c r="D209" s="1698">
        <v>8700</v>
      </c>
      <c r="E209" s="1698">
        <v>11500</v>
      </c>
      <c r="F209" s="1707">
        <v>1730</v>
      </c>
      <c r="G209" s="1707">
        <v>5490</v>
      </c>
      <c r="I209" s="1728"/>
      <c r="J209" s="1686"/>
      <c r="K209" s="1686"/>
      <c r="L209" s="1686"/>
      <c r="M209" s="1686"/>
      <c r="N209" s="1686"/>
      <c r="O209" s="1686"/>
      <c r="P209" s="1686"/>
      <c r="Q209" s="1686"/>
      <c r="R209" s="1686"/>
      <c r="S209" s="1686"/>
      <c r="T209" s="1686"/>
      <c r="U209" s="1686"/>
    </row>
    <row r="210" spans="1:21" s="1683" customFormat="1" ht="14.25" customHeight="1">
      <c r="A210" s="1698" t="s">
        <v>295</v>
      </c>
      <c r="B210" s="1698" t="s">
        <v>1727</v>
      </c>
      <c r="C210" s="1698">
        <v>8710</v>
      </c>
      <c r="D210" s="1698">
        <v>8660</v>
      </c>
      <c r="E210" s="1698">
        <v>11440</v>
      </c>
      <c r="F210" s="1707">
        <v>1740</v>
      </c>
      <c r="G210" s="1707">
        <v>5470</v>
      </c>
      <c r="I210" s="1728"/>
      <c r="J210" s="1686"/>
      <c r="K210" s="1686"/>
      <c r="L210" s="1686"/>
      <c r="M210" s="1686"/>
      <c r="N210" s="1686"/>
      <c r="O210" s="1686"/>
      <c r="P210" s="1686"/>
      <c r="Q210" s="1686"/>
      <c r="R210" s="1686"/>
      <c r="S210" s="1686"/>
      <c r="T210" s="1686"/>
      <c r="U210" s="1686"/>
    </row>
    <row r="211" spans="1:21" s="1683" customFormat="1" ht="14.25" customHeight="1">
      <c r="A211" s="1698" t="s">
        <v>295</v>
      </c>
      <c r="B211" s="1698" t="s">
        <v>1735</v>
      </c>
      <c r="C211" s="1698">
        <v>9480</v>
      </c>
      <c r="D211" s="1698">
        <v>9430</v>
      </c>
      <c r="E211" s="1698">
        <v>12360</v>
      </c>
      <c r="F211" s="1707">
        <v>1820</v>
      </c>
      <c r="G211" s="1707">
        <v>5950</v>
      </c>
      <c r="I211" s="1728"/>
      <c r="J211" s="1686"/>
      <c r="K211" s="1686"/>
      <c r="L211" s="1686"/>
      <c r="M211" s="1686"/>
      <c r="N211" s="1686"/>
      <c r="O211" s="1686"/>
      <c r="P211" s="1686"/>
      <c r="Q211" s="1686"/>
      <c r="R211" s="1686"/>
      <c r="S211" s="1686"/>
      <c r="T211" s="1686"/>
      <c r="U211" s="1686"/>
    </row>
    <row r="212" spans="1:21" s="1683" customFormat="1" ht="14.25" customHeight="1">
      <c r="A212" s="1698" t="s">
        <v>295</v>
      </c>
      <c r="B212" s="1698" t="s">
        <v>1743</v>
      </c>
      <c r="C212" s="1698">
        <v>9070</v>
      </c>
      <c r="D212" s="1698">
        <v>9020</v>
      </c>
      <c r="E212" s="1698">
        <v>11720</v>
      </c>
      <c r="F212" s="1707">
        <v>1850</v>
      </c>
      <c r="G212" s="1707">
        <v>5700</v>
      </c>
      <c r="I212" s="1728"/>
      <c r="J212" s="1686"/>
      <c r="K212" s="1686"/>
      <c r="L212" s="1686"/>
      <c r="M212" s="1686"/>
      <c r="N212" s="1686"/>
      <c r="O212" s="1686"/>
      <c r="P212" s="1686"/>
      <c r="Q212" s="1686"/>
      <c r="R212" s="1686"/>
      <c r="S212" s="1686"/>
      <c r="T212" s="1686"/>
      <c r="U212" s="1686"/>
    </row>
    <row r="213" spans="1:21" s="1683" customFormat="1" ht="14.25" customHeight="1">
      <c r="A213" s="1698" t="s">
        <v>295</v>
      </c>
      <c r="B213" s="1698" t="s">
        <v>1751</v>
      </c>
      <c r="C213" s="1698">
        <v>9030</v>
      </c>
      <c r="D213" s="1698">
        <v>8980</v>
      </c>
      <c r="E213" s="1698">
        <v>11670</v>
      </c>
      <c r="F213" s="1707">
        <v>1690</v>
      </c>
      <c r="G213" s="1707">
        <v>5670</v>
      </c>
      <c r="I213" s="1728"/>
      <c r="J213" s="1686"/>
      <c r="K213" s="1686"/>
      <c r="L213" s="1686"/>
      <c r="M213" s="1686"/>
      <c r="N213" s="1686"/>
      <c r="O213" s="1686"/>
      <c r="P213" s="1686"/>
      <c r="Q213" s="1686"/>
      <c r="R213" s="1686"/>
      <c r="S213" s="1686"/>
      <c r="T213" s="1686"/>
      <c r="U213" s="1686"/>
    </row>
    <row r="214" spans="1:21" s="1683" customFormat="1" ht="14.25" customHeight="1">
      <c r="A214" s="1698" t="s">
        <v>295</v>
      </c>
      <c r="B214" s="1698" t="s">
        <v>1759</v>
      </c>
      <c r="C214" s="1698">
        <v>8090</v>
      </c>
      <c r="D214" s="1698">
        <v>8030</v>
      </c>
      <c r="E214" s="1698">
        <v>10780</v>
      </c>
      <c r="F214" s="1707">
        <v>1570</v>
      </c>
      <c r="G214" s="1717">
        <v>5070</v>
      </c>
      <c r="I214" s="1728"/>
      <c r="J214" s="1686"/>
      <c r="K214" s="1686"/>
      <c r="L214" s="1686"/>
      <c r="M214" s="1686"/>
      <c r="N214" s="1686"/>
      <c r="O214" s="1686"/>
      <c r="P214" s="1686"/>
      <c r="Q214" s="1686"/>
      <c r="R214" s="1686"/>
      <c r="S214" s="1686"/>
      <c r="T214" s="1686"/>
      <c r="U214" s="1686"/>
    </row>
    <row r="215" spans="1:21" s="1683" customFormat="1" ht="14.25" customHeight="1">
      <c r="A215" s="1698" t="s">
        <v>295</v>
      </c>
      <c r="B215" s="1698" t="s">
        <v>1765</v>
      </c>
      <c r="C215" s="1698">
        <v>7950</v>
      </c>
      <c r="D215" s="1698">
        <v>7900</v>
      </c>
      <c r="E215" s="1698">
        <v>10560</v>
      </c>
      <c r="F215" s="1707">
        <v>1630</v>
      </c>
      <c r="G215" s="1707">
        <v>4990</v>
      </c>
      <c r="I215" s="1728"/>
      <c r="J215" s="1686"/>
      <c r="K215" s="1686"/>
      <c r="L215" s="1686"/>
      <c r="M215" s="1686"/>
      <c r="N215" s="1686"/>
      <c r="O215" s="1686"/>
      <c r="P215" s="1686"/>
      <c r="Q215" s="1686"/>
      <c r="R215" s="1686"/>
      <c r="S215" s="1686"/>
      <c r="T215" s="1686"/>
      <c r="U215" s="1686"/>
    </row>
    <row r="216" spans="1:21" s="1683" customFormat="1" ht="14.25" customHeight="1">
      <c r="A216" s="1698" t="s">
        <v>295</v>
      </c>
      <c r="B216" s="1698" t="s">
        <v>1772</v>
      </c>
      <c r="C216" s="1698">
        <v>8490</v>
      </c>
      <c r="D216" s="1698">
        <v>8440</v>
      </c>
      <c r="E216" s="1698">
        <v>11260</v>
      </c>
      <c r="F216" s="1707">
        <v>1690</v>
      </c>
      <c r="G216" s="1707">
        <v>5330</v>
      </c>
      <c r="I216" s="1728"/>
      <c r="J216" s="1686"/>
      <c r="K216" s="1686"/>
      <c r="L216" s="1686"/>
      <c r="M216" s="1686"/>
      <c r="N216" s="1686"/>
      <c r="O216" s="1686"/>
      <c r="P216" s="1686"/>
      <c r="Q216" s="1686"/>
      <c r="R216" s="1686"/>
      <c r="S216" s="1686"/>
      <c r="T216" s="1686"/>
      <c r="U216" s="1686"/>
    </row>
    <row r="217" spans="1:21" s="1683" customFormat="1" ht="14.25" customHeight="1">
      <c r="A217" s="1698" t="s">
        <v>295</v>
      </c>
      <c r="B217" s="1698" t="s">
        <v>1779</v>
      </c>
      <c r="C217" s="1698">
        <v>8200</v>
      </c>
      <c r="D217" s="1698">
        <v>8150</v>
      </c>
      <c r="E217" s="1698">
        <v>10910</v>
      </c>
      <c r="F217" s="1707">
        <v>1670</v>
      </c>
      <c r="G217" s="1707">
        <v>5150</v>
      </c>
      <c r="I217" s="1728"/>
      <c r="J217" s="1686"/>
      <c r="K217" s="1686"/>
      <c r="L217" s="1686"/>
      <c r="M217" s="1686"/>
      <c r="N217" s="1686"/>
      <c r="O217" s="1686"/>
      <c r="P217" s="1686"/>
      <c r="Q217" s="1686"/>
      <c r="R217" s="1686"/>
      <c r="S217" s="1686"/>
      <c r="T217" s="1686"/>
      <c r="U217" s="1686"/>
    </row>
    <row r="218" spans="1:21" s="1683" customFormat="1" ht="14.25" customHeight="1">
      <c r="A218" s="1698" t="s">
        <v>295</v>
      </c>
      <c r="B218" s="1698" t="s">
        <v>1786</v>
      </c>
      <c r="C218" s="1698"/>
      <c r="D218" s="1698"/>
      <c r="E218" s="1698"/>
      <c r="F218" s="1707">
        <v>2040</v>
      </c>
      <c r="G218" s="1707"/>
      <c r="I218" s="1728"/>
      <c r="J218" s="1686"/>
      <c r="K218" s="1686"/>
      <c r="L218" s="1686"/>
      <c r="M218" s="1686"/>
      <c r="N218" s="1686"/>
      <c r="O218" s="1686"/>
      <c r="P218" s="1686"/>
      <c r="Q218" s="1686"/>
      <c r="R218" s="1686"/>
      <c r="S218" s="1686"/>
      <c r="T218" s="1686"/>
      <c r="U218" s="1686"/>
    </row>
    <row r="219" spans="1:21" s="1683" customFormat="1" ht="14.25" customHeight="1">
      <c r="A219" s="1698" t="s">
        <v>295</v>
      </c>
      <c r="B219" s="1698" t="s">
        <v>1793</v>
      </c>
      <c r="C219" s="1698"/>
      <c r="D219" s="1698"/>
      <c r="E219" s="1698"/>
      <c r="F219" s="1707">
        <v>2040</v>
      </c>
      <c r="G219" s="1707"/>
      <c r="I219" s="1728"/>
      <c r="J219" s="1686"/>
      <c r="K219" s="1686"/>
      <c r="L219" s="1686"/>
      <c r="M219" s="1686"/>
      <c r="N219" s="1686"/>
      <c r="O219" s="1686"/>
      <c r="P219" s="1686"/>
      <c r="Q219" s="1686"/>
      <c r="R219" s="1686"/>
      <c r="S219" s="1686"/>
      <c r="T219" s="1686"/>
      <c r="U219" s="1686"/>
    </row>
    <row r="220" spans="1:21" s="1683" customFormat="1" ht="14.25" customHeight="1">
      <c r="A220" s="1698" t="s">
        <v>295</v>
      </c>
      <c r="B220" s="1698" t="s">
        <v>1800</v>
      </c>
      <c r="C220" s="1698"/>
      <c r="D220" s="1698"/>
      <c r="E220" s="1698"/>
      <c r="F220" s="1707">
        <v>2040</v>
      </c>
      <c r="G220" s="1707"/>
      <c r="I220" s="1728"/>
      <c r="J220" s="1686"/>
      <c r="K220" s="1686"/>
      <c r="L220" s="1686"/>
      <c r="M220" s="1686"/>
      <c r="N220" s="1686"/>
      <c r="O220" s="1686"/>
      <c r="P220" s="1686"/>
      <c r="Q220" s="1686"/>
      <c r="R220" s="1686"/>
      <c r="S220" s="1686"/>
      <c r="T220" s="1686"/>
      <c r="U220" s="1686"/>
    </row>
    <row r="221" spans="1:21" s="1683" customFormat="1" ht="14.25" customHeight="1">
      <c r="A221" s="1698" t="s">
        <v>295</v>
      </c>
      <c r="B221" s="1698" t="s">
        <v>1807</v>
      </c>
      <c r="C221" s="1725"/>
      <c r="D221" s="1725"/>
      <c r="E221" s="1725"/>
      <c r="F221" s="1717">
        <v>2040</v>
      </c>
      <c r="G221" s="1707"/>
      <c r="I221" s="1728"/>
      <c r="J221" s="1686"/>
      <c r="K221" s="1686"/>
      <c r="L221" s="1686"/>
      <c r="M221" s="1686"/>
      <c r="N221" s="1686"/>
      <c r="O221" s="1686"/>
      <c r="P221" s="1686"/>
      <c r="Q221" s="1686"/>
      <c r="R221" s="1686"/>
      <c r="S221" s="1686"/>
      <c r="T221" s="1686"/>
      <c r="U221" s="1686"/>
    </row>
    <row r="222" spans="1:21" s="1683" customFormat="1" ht="14.25" customHeight="1">
      <c r="A222" s="1698" t="s">
        <v>295</v>
      </c>
      <c r="B222" s="1698" t="s">
        <v>1812</v>
      </c>
      <c r="C222" s="1725"/>
      <c r="D222" s="1725"/>
      <c r="E222" s="1725"/>
      <c r="F222" s="1717">
        <v>2040</v>
      </c>
      <c r="G222" s="1707"/>
      <c r="I222" s="1728"/>
      <c r="J222" s="1686"/>
      <c r="K222" s="1686"/>
      <c r="L222" s="1686"/>
      <c r="M222" s="1686"/>
      <c r="N222" s="1686"/>
      <c r="O222" s="1686"/>
      <c r="P222" s="1686"/>
      <c r="Q222" s="1686"/>
      <c r="R222" s="1686"/>
      <c r="S222" s="1686"/>
      <c r="T222" s="1686"/>
      <c r="U222" s="1686"/>
    </row>
    <row r="223" spans="1:21" s="1683" customFormat="1" ht="14.25" customHeight="1">
      <c r="A223" s="1698" t="s">
        <v>295</v>
      </c>
      <c r="B223" s="1698" t="s">
        <v>1817</v>
      </c>
      <c r="C223" s="1725"/>
      <c r="D223" s="1725"/>
      <c r="E223" s="1725"/>
      <c r="F223" s="1717">
        <v>1930</v>
      </c>
      <c r="G223" s="1707"/>
      <c r="I223" s="1728"/>
      <c r="J223" s="1686"/>
      <c r="K223" s="1686"/>
      <c r="L223" s="1686"/>
      <c r="M223" s="1686"/>
      <c r="N223" s="1686"/>
      <c r="O223" s="1686"/>
      <c r="P223" s="1686"/>
      <c r="Q223" s="1686"/>
      <c r="R223" s="1686"/>
      <c r="S223" s="1686"/>
      <c r="T223" s="1686"/>
      <c r="U223" s="1686"/>
    </row>
    <row r="224" spans="1:21" s="1683" customFormat="1" ht="14.25" customHeight="1">
      <c r="A224" s="1698" t="s">
        <v>295</v>
      </c>
      <c r="B224" s="1698" t="s">
        <v>1822</v>
      </c>
      <c r="C224" s="1725"/>
      <c r="D224" s="1725"/>
      <c r="E224" s="1725"/>
      <c r="F224" s="1717">
        <v>1930</v>
      </c>
      <c r="G224" s="1707"/>
      <c r="I224" s="1728"/>
      <c r="J224" s="1686"/>
      <c r="K224" s="1686"/>
      <c r="L224" s="1686"/>
      <c r="M224" s="1686"/>
      <c r="N224" s="1686"/>
      <c r="O224" s="1686"/>
      <c r="P224" s="1686"/>
      <c r="Q224" s="1686"/>
      <c r="R224" s="1686"/>
      <c r="S224" s="1686"/>
      <c r="T224" s="1686"/>
      <c r="U224" s="1686"/>
    </row>
    <row r="225" spans="1:21" s="1683" customFormat="1" ht="14.25" customHeight="1">
      <c r="A225" s="1698" t="s">
        <v>295</v>
      </c>
      <c r="B225" s="1698" t="s">
        <v>1827</v>
      </c>
      <c r="C225" s="1698"/>
      <c r="D225" s="1698"/>
      <c r="E225" s="1698"/>
      <c r="F225" s="1707">
        <v>1930</v>
      </c>
      <c r="G225" s="1707"/>
      <c r="I225" s="1728"/>
      <c r="J225" s="1686"/>
      <c r="K225" s="1686"/>
      <c r="L225" s="1686"/>
      <c r="M225" s="1686"/>
      <c r="N225" s="1686"/>
      <c r="O225" s="1686"/>
      <c r="P225" s="1686"/>
      <c r="Q225" s="1686"/>
      <c r="R225" s="1686"/>
      <c r="S225" s="1686"/>
      <c r="T225" s="1686"/>
      <c r="U225" s="1686"/>
    </row>
    <row r="226" spans="1:21" s="1683" customFormat="1" ht="14.25" customHeight="1">
      <c r="A226" s="1698" t="s">
        <v>295</v>
      </c>
      <c r="B226" s="1698" t="s">
        <v>1832</v>
      </c>
      <c r="C226" s="1698"/>
      <c r="D226" s="1698"/>
      <c r="E226" s="1698"/>
      <c r="F226" s="1707">
        <v>1700</v>
      </c>
      <c r="G226" s="1707"/>
      <c r="I226" s="1728"/>
      <c r="J226" s="1686"/>
      <c r="K226" s="1686"/>
      <c r="L226" s="1686"/>
      <c r="M226" s="1686"/>
      <c r="N226" s="1686"/>
      <c r="O226" s="1686"/>
      <c r="P226" s="1686"/>
      <c r="Q226" s="1686"/>
      <c r="R226" s="1686"/>
      <c r="S226" s="1686"/>
      <c r="T226" s="1686"/>
      <c r="U226" s="1686"/>
    </row>
    <row r="227" spans="1:21" s="1683" customFormat="1" ht="14.25" customHeight="1">
      <c r="A227" s="1698" t="s">
        <v>295</v>
      </c>
      <c r="B227" s="1698" t="s">
        <v>1837</v>
      </c>
      <c r="C227" s="1698"/>
      <c r="D227" s="1698"/>
      <c r="E227" s="1698"/>
      <c r="F227" s="1707">
        <v>1520</v>
      </c>
      <c r="G227" s="1707"/>
      <c r="I227" s="1728"/>
      <c r="J227" s="1686"/>
      <c r="K227" s="1686"/>
      <c r="L227" s="1686"/>
      <c r="M227" s="1686"/>
      <c r="N227" s="1686"/>
      <c r="O227" s="1686"/>
      <c r="P227" s="1686"/>
      <c r="Q227" s="1686"/>
      <c r="R227" s="1686"/>
      <c r="S227" s="1686"/>
      <c r="T227" s="1686"/>
      <c r="U227" s="1686"/>
    </row>
    <row r="228" spans="1:21" s="1683" customFormat="1" ht="14.25" customHeight="1">
      <c r="A228" s="1698" t="s">
        <v>295</v>
      </c>
      <c r="B228" s="1698" t="s">
        <v>1842</v>
      </c>
      <c r="C228" s="1698"/>
      <c r="D228" s="1698"/>
      <c r="E228" s="1698"/>
      <c r="F228" s="1707">
        <v>1520</v>
      </c>
      <c r="G228" s="1707"/>
      <c r="I228" s="1728"/>
      <c r="J228" s="1686"/>
      <c r="K228" s="1686"/>
      <c r="L228" s="1686"/>
      <c r="M228" s="1686"/>
      <c r="N228" s="1686"/>
      <c r="O228" s="1686"/>
      <c r="P228" s="1686"/>
      <c r="Q228" s="1686"/>
      <c r="R228" s="1686"/>
      <c r="S228" s="1686"/>
      <c r="T228" s="1686"/>
      <c r="U228" s="1686"/>
    </row>
    <row r="229" spans="1:21" s="1683" customFormat="1" ht="14.25" customHeight="1">
      <c r="A229" s="1698" t="s">
        <v>295</v>
      </c>
      <c r="B229" s="1698" t="s">
        <v>1847</v>
      </c>
      <c r="C229" s="1698"/>
      <c r="D229" s="1698"/>
      <c r="E229" s="1698"/>
      <c r="F229" s="1707">
        <v>1520</v>
      </c>
      <c r="G229" s="1717"/>
      <c r="I229" s="1728"/>
      <c r="J229" s="1686"/>
      <c r="K229" s="1686"/>
      <c r="L229" s="1686"/>
      <c r="M229" s="1686"/>
      <c r="N229" s="1686"/>
      <c r="O229" s="1686"/>
      <c r="P229" s="1686"/>
      <c r="Q229" s="1686"/>
      <c r="R229" s="1686"/>
      <c r="S229" s="1686"/>
      <c r="T229" s="1686"/>
      <c r="U229" s="1686"/>
    </row>
    <row r="230" spans="1:21" s="1683" customFormat="1" ht="14.25" customHeight="1">
      <c r="A230" s="1698" t="s">
        <v>295</v>
      </c>
      <c r="B230" s="1698" t="s">
        <v>1851</v>
      </c>
      <c r="C230" s="1698"/>
      <c r="D230" s="1698"/>
      <c r="E230" s="1698"/>
      <c r="F230" s="1707">
        <v>1820</v>
      </c>
      <c r="G230" s="1717"/>
      <c r="I230" s="1728"/>
      <c r="J230" s="1686"/>
      <c r="K230" s="1686"/>
      <c r="L230" s="1686"/>
      <c r="M230" s="1686"/>
      <c r="N230" s="1686"/>
      <c r="O230" s="1686"/>
      <c r="P230" s="1686"/>
      <c r="Q230" s="1686"/>
      <c r="R230" s="1686"/>
      <c r="S230" s="1686"/>
      <c r="T230" s="1686"/>
      <c r="U230" s="1686"/>
    </row>
    <row r="231" spans="1:21" s="1683" customFormat="1" ht="14.25" customHeight="1">
      <c r="A231" s="1698" t="s">
        <v>295</v>
      </c>
      <c r="B231" s="1698" t="s">
        <v>1855</v>
      </c>
      <c r="C231" s="1698"/>
      <c r="D231" s="1698"/>
      <c r="E231" s="1698"/>
      <c r="F231" s="1707">
        <v>1760</v>
      </c>
      <c r="G231" s="1717"/>
      <c r="I231" s="1728"/>
      <c r="J231" s="1686"/>
      <c r="K231" s="1686"/>
      <c r="L231" s="1686"/>
      <c r="M231" s="1686"/>
      <c r="N231" s="1686"/>
      <c r="O231" s="1686"/>
      <c r="P231" s="1686"/>
      <c r="Q231" s="1686"/>
      <c r="R231" s="1686"/>
      <c r="S231" s="1686"/>
      <c r="T231" s="1686"/>
      <c r="U231" s="1686"/>
    </row>
    <row r="232" spans="1:21" s="1683" customFormat="1" ht="14.25" customHeight="1">
      <c r="A232" s="1698" t="s">
        <v>295</v>
      </c>
      <c r="B232" s="1698" t="s">
        <v>1859</v>
      </c>
      <c r="C232" s="1698"/>
      <c r="D232" s="1698"/>
      <c r="E232" s="1698"/>
      <c r="F232" s="1707">
        <v>1840</v>
      </c>
      <c r="G232" s="1707"/>
      <c r="I232" s="1728"/>
      <c r="J232" s="1686"/>
      <c r="K232" s="1686"/>
      <c r="L232" s="1686"/>
      <c r="M232" s="1686"/>
      <c r="N232" s="1686"/>
      <c r="O232" s="1686"/>
      <c r="P232" s="1686"/>
      <c r="Q232" s="1686"/>
      <c r="R232" s="1686"/>
      <c r="S232" s="1686"/>
      <c r="T232" s="1686"/>
      <c r="U232" s="1686"/>
    </row>
    <row r="233" spans="1:21" s="1683" customFormat="1" ht="14.25" customHeight="1">
      <c r="A233" s="1714" t="s">
        <v>295</v>
      </c>
      <c r="B233" s="1704" t="s">
        <v>1863</v>
      </c>
      <c r="C233" s="1704"/>
      <c r="D233" s="1704"/>
      <c r="E233" s="1704"/>
      <c r="F233" s="1705">
        <v>1770</v>
      </c>
      <c r="G233" s="1733"/>
      <c r="I233" s="1728"/>
      <c r="J233" s="1686"/>
      <c r="K233" s="1686"/>
      <c r="L233" s="1686"/>
      <c r="M233" s="1686"/>
      <c r="N233" s="1686"/>
      <c r="O233" s="1686"/>
      <c r="P233" s="1686"/>
      <c r="Q233" s="1686"/>
      <c r="R233" s="1686"/>
      <c r="S233" s="1686"/>
      <c r="T233" s="1686"/>
      <c r="U233" s="1686"/>
    </row>
    <row r="234" spans="1:21" s="1683" customFormat="1" ht="14.25" customHeight="1">
      <c r="A234" s="1702" t="s">
        <v>301</v>
      </c>
      <c r="B234" s="1701" t="s">
        <v>1516</v>
      </c>
      <c r="C234" s="1701">
        <v>6980</v>
      </c>
      <c r="D234" s="1701">
        <v>6970</v>
      </c>
      <c r="E234" s="1701">
        <v>8720</v>
      </c>
      <c r="F234" s="1699">
        <v>1350</v>
      </c>
      <c r="G234" s="1731">
        <v>4280</v>
      </c>
      <c r="I234" s="1728"/>
      <c r="J234" s="1686"/>
      <c r="K234" s="1686"/>
      <c r="L234" s="1686"/>
      <c r="M234" s="1686"/>
      <c r="N234" s="1686"/>
      <c r="O234" s="1686"/>
      <c r="P234" s="1686"/>
      <c r="Q234" s="1686"/>
      <c r="R234" s="1686"/>
      <c r="S234" s="1686"/>
      <c r="T234" s="1686"/>
      <c r="U234" s="1686"/>
    </row>
    <row r="235" spans="1:21" s="1683" customFormat="1" ht="14.25" customHeight="1">
      <c r="A235" s="1698" t="s">
        <v>301</v>
      </c>
      <c r="B235" s="1698" t="s">
        <v>1529</v>
      </c>
      <c r="C235" s="1698">
        <v>7620</v>
      </c>
      <c r="D235" s="1698">
        <v>7580</v>
      </c>
      <c r="E235" s="1698">
        <v>9360</v>
      </c>
      <c r="F235" s="1707">
        <v>1490</v>
      </c>
      <c r="G235" s="1707">
        <v>4650</v>
      </c>
      <c r="I235" s="1728"/>
      <c r="J235" s="1686"/>
      <c r="K235" s="1686"/>
      <c r="L235" s="1686"/>
      <c r="M235" s="1686"/>
      <c r="N235" s="1686"/>
      <c r="O235" s="1686"/>
      <c r="P235" s="1686"/>
      <c r="Q235" s="1686"/>
      <c r="R235" s="1686"/>
      <c r="S235" s="1686"/>
      <c r="T235" s="1686"/>
      <c r="U235" s="1686"/>
    </row>
    <row r="236" spans="1:21" s="1683" customFormat="1" ht="14.25" customHeight="1">
      <c r="A236" s="1698" t="s">
        <v>301</v>
      </c>
      <c r="B236" s="1698" t="s">
        <v>1542</v>
      </c>
      <c r="C236" s="1698">
        <v>6650</v>
      </c>
      <c r="D236" s="1698">
        <v>6630</v>
      </c>
      <c r="E236" s="1698">
        <v>8330</v>
      </c>
      <c r="F236" s="1707">
        <v>1250</v>
      </c>
      <c r="G236" s="1707">
        <v>4070</v>
      </c>
      <c r="I236" s="1728"/>
      <c r="J236" s="1686"/>
      <c r="K236" s="1686"/>
      <c r="L236" s="1686"/>
      <c r="M236" s="1686"/>
      <c r="N236" s="1686"/>
      <c r="O236" s="1686"/>
      <c r="P236" s="1686"/>
      <c r="Q236" s="1686"/>
      <c r="R236" s="1686"/>
      <c r="S236" s="1686"/>
      <c r="T236" s="1686"/>
      <c r="U236" s="1686"/>
    </row>
    <row r="237" spans="1:21" s="1683" customFormat="1" ht="14.25" customHeight="1">
      <c r="A237" s="1698" t="s">
        <v>301</v>
      </c>
      <c r="B237" s="1698" t="s">
        <v>1554</v>
      </c>
      <c r="C237" s="1698">
        <v>5850</v>
      </c>
      <c r="D237" s="1698">
        <v>5820</v>
      </c>
      <c r="E237" s="1698">
        <v>7260</v>
      </c>
      <c r="F237" s="1707">
        <v>1140</v>
      </c>
      <c r="G237" s="1707">
        <v>3570</v>
      </c>
      <c r="I237" s="1728"/>
      <c r="J237" s="1686"/>
      <c r="K237" s="1686"/>
      <c r="L237" s="1686"/>
      <c r="M237" s="1686"/>
      <c r="N237" s="1686"/>
      <c r="O237" s="1686"/>
      <c r="P237" s="1686"/>
      <c r="Q237" s="1686"/>
      <c r="R237" s="1686"/>
      <c r="S237" s="1686"/>
      <c r="T237" s="1686"/>
      <c r="U237" s="1686"/>
    </row>
    <row r="238" spans="1:21" s="1683" customFormat="1" ht="14.25" customHeight="1">
      <c r="A238" s="1698" t="s">
        <v>301</v>
      </c>
      <c r="B238" s="1698" t="s">
        <v>1566</v>
      </c>
      <c r="C238" s="1698">
        <v>6920</v>
      </c>
      <c r="D238" s="1698">
        <v>6890</v>
      </c>
      <c r="E238" s="1698">
        <v>8640</v>
      </c>
      <c r="F238" s="1707">
        <v>1310</v>
      </c>
      <c r="G238" s="1707">
        <v>4230</v>
      </c>
      <c r="I238" s="1728"/>
      <c r="J238" s="1686"/>
      <c r="K238" s="1686"/>
      <c r="L238" s="1686"/>
      <c r="M238" s="1686"/>
      <c r="N238" s="1686"/>
      <c r="O238" s="1686"/>
      <c r="P238" s="1686"/>
      <c r="Q238" s="1686"/>
      <c r="R238" s="1686"/>
      <c r="S238" s="1686"/>
      <c r="T238" s="1686"/>
      <c r="U238" s="1686"/>
    </row>
    <row r="239" spans="1:21" s="1683" customFormat="1" ht="14.25" customHeight="1">
      <c r="A239" s="1698" t="s">
        <v>301</v>
      </c>
      <c r="B239" s="1698" t="s">
        <v>1577</v>
      </c>
      <c r="C239" s="1698">
        <v>6780</v>
      </c>
      <c r="D239" s="1698">
        <v>6750</v>
      </c>
      <c r="E239" s="1698">
        <v>8440</v>
      </c>
      <c r="F239" s="1707">
        <v>1160</v>
      </c>
      <c r="G239" s="1707">
        <v>4140</v>
      </c>
      <c r="I239" s="1728"/>
      <c r="J239" s="1686"/>
      <c r="K239" s="1686"/>
      <c r="L239" s="1686"/>
      <c r="M239" s="1686"/>
      <c r="N239" s="1686"/>
      <c r="O239" s="1686"/>
      <c r="P239" s="1686"/>
      <c r="Q239" s="1686"/>
      <c r="R239" s="1686"/>
      <c r="S239" s="1686"/>
      <c r="T239" s="1686"/>
      <c r="U239" s="1686"/>
    </row>
    <row r="240" spans="1:21" s="1683" customFormat="1" ht="14.25" customHeight="1">
      <c r="A240" s="1698" t="s">
        <v>301</v>
      </c>
      <c r="B240" s="1698" t="s">
        <v>1588</v>
      </c>
      <c r="C240" s="1698">
        <v>5420</v>
      </c>
      <c r="D240" s="1698">
        <v>5380</v>
      </c>
      <c r="E240" s="1698">
        <v>6640</v>
      </c>
      <c r="F240" s="1707">
        <v>1020</v>
      </c>
      <c r="G240" s="1707">
        <v>3300</v>
      </c>
      <c r="I240" s="1728"/>
      <c r="J240" s="1686"/>
      <c r="K240" s="1686"/>
      <c r="L240" s="1686"/>
      <c r="M240" s="1686"/>
      <c r="N240" s="1686"/>
      <c r="O240" s="1686"/>
      <c r="P240" s="1686"/>
      <c r="Q240" s="1686"/>
      <c r="R240" s="1686"/>
      <c r="S240" s="1686"/>
      <c r="T240" s="1686"/>
      <c r="U240" s="1686"/>
    </row>
    <row r="241" spans="1:21" s="1683" customFormat="1" ht="14.25" customHeight="1">
      <c r="A241" s="1698" t="s">
        <v>301</v>
      </c>
      <c r="B241" s="1698" t="s">
        <v>1599</v>
      </c>
      <c r="C241" s="1698">
        <v>6660</v>
      </c>
      <c r="D241" s="1698">
        <v>6640</v>
      </c>
      <c r="E241" s="1698">
        <v>8340</v>
      </c>
      <c r="F241" s="1707">
        <v>1130</v>
      </c>
      <c r="G241" s="1707">
        <v>4080</v>
      </c>
      <c r="I241" s="1728"/>
      <c r="J241" s="1686"/>
      <c r="K241" s="1686"/>
      <c r="L241" s="1686"/>
      <c r="M241" s="1686"/>
      <c r="N241" s="1686"/>
      <c r="O241" s="1686"/>
      <c r="P241" s="1686"/>
      <c r="Q241" s="1686"/>
      <c r="R241" s="1686"/>
      <c r="S241" s="1686"/>
      <c r="T241" s="1686"/>
      <c r="U241" s="1686"/>
    </row>
    <row r="242" spans="1:21" s="1683" customFormat="1" ht="14.25" customHeight="1">
      <c r="A242" s="1698" t="s">
        <v>301</v>
      </c>
      <c r="B242" s="1698" t="s">
        <v>1609</v>
      </c>
      <c r="C242" s="1698">
        <v>6580</v>
      </c>
      <c r="D242" s="1698">
        <v>6550</v>
      </c>
      <c r="E242" s="1698">
        <v>8090</v>
      </c>
      <c r="F242" s="1707">
        <v>1240</v>
      </c>
      <c r="G242" s="1707">
        <v>4020</v>
      </c>
      <c r="I242" s="1728"/>
      <c r="J242" s="1686"/>
      <c r="K242" s="1686"/>
      <c r="L242" s="1686"/>
      <c r="M242" s="1686"/>
      <c r="N242" s="1686"/>
      <c r="O242" s="1686"/>
      <c r="P242" s="1686"/>
      <c r="Q242" s="1686"/>
      <c r="R242" s="1686"/>
      <c r="S242" s="1686"/>
      <c r="T242" s="1686"/>
      <c r="U242" s="1686"/>
    </row>
    <row r="243" spans="1:21" s="1683" customFormat="1" ht="14.25" customHeight="1">
      <c r="A243" s="1698" t="s">
        <v>301</v>
      </c>
      <c r="B243" s="1698" t="s">
        <v>1619</v>
      </c>
      <c r="C243" s="1698">
        <v>6000</v>
      </c>
      <c r="D243" s="1698">
        <v>5970</v>
      </c>
      <c r="E243" s="1698">
        <v>7370</v>
      </c>
      <c r="F243" s="1707">
        <v>1070</v>
      </c>
      <c r="G243" s="1707">
        <v>3670</v>
      </c>
      <c r="I243" s="1728"/>
      <c r="J243" s="1686"/>
      <c r="K243" s="1686"/>
      <c r="L243" s="1686"/>
      <c r="M243" s="1686"/>
      <c r="N243" s="1686"/>
      <c r="O243" s="1686"/>
      <c r="P243" s="1686"/>
      <c r="Q243" s="1686"/>
      <c r="R243" s="1686"/>
      <c r="S243" s="1686"/>
      <c r="T243" s="1686"/>
      <c r="U243" s="1686"/>
    </row>
    <row r="244" spans="1:21" s="1683" customFormat="1" ht="14.25" customHeight="1">
      <c r="A244" s="1698" t="s">
        <v>301</v>
      </c>
      <c r="B244" s="1698" t="s">
        <v>1629</v>
      </c>
      <c r="C244" s="1698">
        <v>5840</v>
      </c>
      <c r="D244" s="1698">
        <v>5810</v>
      </c>
      <c r="E244" s="1698">
        <v>7240</v>
      </c>
      <c r="F244" s="1707">
        <v>1100</v>
      </c>
      <c r="G244" s="1716">
        <v>3560</v>
      </c>
      <c r="I244" s="1728"/>
      <c r="J244" s="1686"/>
      <c r="K244" s="1686"/>
      <c r="L244" s="1686"/>
      <c r="M244" s="1686"/>
      <c r="N244" s="1686"/>
      <c r="O244" s="1686"/>
      <c r="P244" s="1686"/>
      <c r="Q244" s="1686"/>
      <c r="R244" s="1686"/>
      <c r="S244" s="1686"/>
      <c r="T244" s="1686"/>
      <c r="U244" s="1686"/>
    </row>
    <row r="245" spans="1:21" s="1683" customFormat="1" ht="14.25" customHeight="1">
      <c r="A245" s="1701" t="s">
        <v>301</v>
      </c>
      <c r="B245" s="1701" t="s">
        <v>1639</v>
      </c>
      <c r="C245" s="1701">
        <v>6040</v>
      </c>
      <c r="D245" s="1701">
        <v>6000</v>
      </c>
      <c r="E245" s="1701">
        <v>7420</v>
      </c>
      <c r="F245" s="1699">
        <v>1140</v>
      </c>
      <c r="G245" s="1699">
        <v>3690</v>
      </c>
      <c r="I245" s="1728"/>
      <c r="J245" s="1686"/>
      <c r="K245" s="1686"/>
      <c r="L245" s="1686"/>
      <c r="M245" s="1686"/>
      <c r="N245" s="1686"/>
      <c r="O245" s="1686"/>
      <c r="P245" s="1686"/>
      <c r="Q245" s="1686"/>
      <c r="R245" s="1686"/>
      <c r="S245" s="1686"/>
      <c r="T245" s="1686"/>
      <c r="U245" s="1686"/>
    </row>
    <row r="246" spans="1:21" s="1683" customFormat="1" ht="14.25" customHeight="1">
      <c r="A246" s="1698" t="s">
        <v>301</v>
      </c>
      <c r="B246" s="1698" t="s">
        <v>1649</v>
      </c>
      <c r="C246" s="1698">
        <v>5890</v>
      </c>
      <c r="D246" s="1698">
        <v>5860</v>
      </c>
      <c r="E246" s="1698">
        <v>7300</v>
      </c>
      <c r="F246" s="1707">
        <v>1110</v>
      </c>
      <c r="G246" s="1707">
        <v>3590</v>
      </c>
      <c r="I246" s="1728"/>
      <c r="J246" s="1686"/>
      <c r="K246" s="1686"/>
      <c r="L246" s="1686"/>
      <c r="M246" s="1686"/>
      <c r="N246" s="1686"/>
      <c r="O246" s="1686"/>
      <c r="P246" s="1686"/>
      <c r="Q246" s="1686"/>
      <c r="R246" s="1686"/>
      <c r="S246" s="1686"/>
      <c r="T246" s="1686"/>
      <c r="U246" s="1686"/>
    </row>
    <row r="247" spans="1:21" s="1683" customFormat="1" ht="14.25" customHeight="1">
      <c r="A247" s="1698" t="s">
        <v>301</v>
      </c>
      <c r="B247" s="1698" t="s">
        <v>1659</v>
      </c>
      <c r="C247" s="1698">
        <v>6480</v>
      </c>
      <c r="D247" s="1698">
        <v>6450</v>
      </c>
      <c r="E247" s="1698">
        <v>8010</v>
      </c>
      <c r="F247" s="1707">
        <v>1170</v>
      </c>
      <c r="G247" s="1707">
        <v>3960</v>
      </c>
      <c r="I247" s="1728"/>
      <c r="J247" s="1686"/>
      <c r="K247" s="1686"/>
      <c r="L247" s="1686"/>
      <c r="M247" s="1686"/>
      <c r="N247" s="1686"/>
      <c r="O247" s="1686"/>
      <c r="P247" s="1686"/>
      <c r="Q247" s="1686"/>
      <c r="R247" s="1686"/>
      <c r="S247" s="1686"/>
      <c r="T247" s="1686"/>
      <c r="U247" s="1686"/>
    </row>
    <row r="248" spans="1:21" s="1683" customFormat="1" ht="14.25" customHeight="1">
      <c r="A248" s="1698" t="s">
        <v>301</v>
      </c>
      <c r="B248" s="1698" t="s">
        <v>1669</v>
      </c>
      <c r="C248" s="1698">
        <v>6860</v>
      </c>
      <c r="D248" s="1698">
        <v>6840</v>
      </c>
      <c r="E248" s="1698">
        <v>8520</v>
      </c>
      <c r="F248" s="1707">
        <v>1240</v>
      </c>
      <c r="G248" s="1707">
        <v>4200</v>
      </c>
      <c r="I248" s="1728"/>
      <c r="J248" s="1686"/>
      <c r="K248" s="1686"/>
      <c r="L248" s="1686"/>
      <c r="M248" s="1686"/>
      <c r="N248" s="1686"/>
      <c r="O248" s="1686"/>
      <c r="P248" s="1686"/>
      <c r="Q248" s="1686"/>
      <c r="R248" s="1686"/>
      <c r="S248" s="1686"/>
      <c r="T248" s="1686"/>
      <c r="U248" s="1686"/>
    </row>
    <row r="249" spans="1:21" s="1683" customFormat="1" ht="14.25" customHeight="1">
      <c r="A249" s="1698" t="s">
        <v>301</v>
      </c>
      <c r="B249" s="1698" t="s">
        <v>1679</v>
      </c>
      <c r="C249" s="1698">
        <v>7180</v>
      </c>
      <c r="D249" s="1698">
        <v>7140</v>
      </c>
      <c r="E249" s="1698">
        <v>8900</v>
      </c>
      <c r="F249" s="1707">
        <v>1350</v>
      </c>
      <c r="G249" s="1707">
        <v>4380</v>
      </c>
      <c r="I249" s="1728"/>
      <c r="J249" s="1686"/>
      <c r="K249" s="1686"/>
      <c r="L249" s="1686"/>
      <c r="M249" s="1686"/>
      <c r="N249" s="1686"/>
      <c r="O249" s="1686"/>
      <c r="P249" s="1686"/>
      <c r="Q249" s="1686"/>
      <c r="R249" s="1686"/>
      <c r="S249" s="1686"/>
      <c r="T249" s="1686"/>
      <c r="U249" s="1686"/>
    </row>
    <row r="250" spans="1:21" s="1683" customFormat="1" ht="14.25" customHeight="1">
      <c r="A250" s="1698" t="s">
        <v>301</v>
      </c>
      <c r="B250" s="1698" t="s">
        <v>1689</v>
      </c>
      <c r="C250" s="1698">
        <v>6880</v>
      </c>
      <c r="D250" s="1698">
        <v>6860</v>
      </c>
      <c r="E250" s="1698">
        <v>8550</v>
      </c>
      <c r="F250" s="1707">
        <v>1220</v>
      </c>
      <c r="G250" s="1707">
        <v>4210</v>
      </c>
      <c r="I250" s="1728"/>
      <c r="J250" s="1686"/>
      <c r="K250" s="1686"/>
      <c r="L250" s="1686"/>
      <c r="M250" s="1686"/>
      <c r="N250" s="1686"/>
      <c r="O250" s="1686"/>
      <c r="P250" s="1686"/>
      <c r="Q250" s="1686"/>
      <c r="R250" s="1686"/>
      <c r="S250" s="1686"/>
      <c r="T250" s="1686"/>
      <c r="U250" s="1686"/>
    </row>
    <row r="251" spans="1:21" s="1683" customFormat="1" ht="14.25" customHeight="1">
      <c r="A251" s="1698" t="s">
        <v>301</v>
      </c>
      <c r="B251" s="1698" t="s">
        <v>1699</v>
      </c>
      <c r="C251" s="1698"/>
      <c r="D251" s="1698"/>
      <c r="E251" s="1698"/>
      <c r="F251" s="1707">
        <v>1100</v>
      </c>
      <c r="G251" s="1707"/>
      <c r="I251" s="1728"/>
      <c r="J251" s="1686"/>
      <c r="K251" s="1686"/>
      <c r="L251" s="1686"/>
      <c r="M251" s="1686"/>
      <c r="N251" s="1686"/>
      <c r="O251" s="1686"/>
      <c r="P251" s="1686"/>
      <c r="Q251" s="1686"/>
      <c r="R251" s="1686"/>
      <c r="S251" s="1686"/>
      <c r="T251" s="1686"/>
      <c r="U251" s="1686"/>
    </row>
    <row r="252" spans="1:21" s="1683" customFormat="1" ht="14.25" customHeight="1">
      <c r="A252" s="1698" t="s">
        <v>301</v>
      </c>
      <c r="B252" s="1698" t="s">
        <v>1709</v>
      </c>
      <c r="C252" s="1698">
        <v>7240</v>
      </c>
      <c r="D252" s="1698">
        <v>7200</v>
      </c>
      <c r="E252" s="1698">
        <v>9040</v>
      </c>
      <c r="F252" s="1707">
        <v>1380</v>
      </c>
      <c r="G252" s="1707">
        <v>4420</v>
      </c>
      <c r="I252" s="1728"/>
      <c r="J252" s="1686"/>
      <c r="K252" s="1686"/>
      <c r="L252" s="1686"/>
      <c r="M252" s="1686"/>
      <c r="N252" s="1686"/>
      <c r="O252" s="1686"/>
      <c r="P252" s="1686"/>
      <c r="Q252" s="1686"/>
      <c r="R252" s="1686"/>
      <c r="S252" s="1686"/>
      <c r="T252" s="1686"/>
      <c r="U252" s="1686"/>
    </row>
    <row r="253" spans="1:21" s="1683" customFormat="1" ht="14.25" customHeight="1">
      <c r="A253" s="1698" t="s">
        <v>301</v>
      </c>
      <c r="B253" s="1698" t="s">
        <v>1719</v>
      </c>
      <c r="C253" s="1698">
        <v>6670</v>
      </c>
      <c r="D253" s="1698">
        <v>6650</v>
      </c>
      <c r="E253" s="1698">
        <v>8350</v>
      </c>
      <c r="F253" s="1707">
        <v>1260</v>
      </c>
      <c r="G253" s="1707">
        <v>4080</v>
      </c>
      <c r="I253" s="1728"/>
      <c r="J253" s="1686"/>
      <c r="K253" s="1686"/>
      <c r="L253" s="1686"/>
      <c r="M253" s="1686"/>
      <c r="N253" s="1686"/>
      <c r="O253" s="1686"/>
      <c r="P253" s="1686"/>
      <c r="Q253" s="1686"/>
      <c r="R253" s="1686"/>
      <c r="S253" s="1686"/>
      <c r="T253" s="1686"/>
      <c r="U253" s="1686"/>
    </row>
    <row r="254" spans="1:21" s="1683" customFormat="1" ht="14.25" customHeight="1">
      <c r="A254" s="1698" t="s">
        <v>301</v>
      </c>
      <c r="B254" s="1698" t="s">
        <v>1728</v>
      </c>
      <c r="C254" s="1725">
        <v>7630</v>
      </c>
      <c r="D254" s="1725">
        <v>7590</v>
      </c>
      <c r="E254" s="1725">
        <v>9380</v>
      </c>
      <c r="F254" s="1717">
        <v>1320</v>
      </c>
      <c r="G254" s="1707">
        <v>4660</v>
      </c>
      <c r="I254" s="1728"/>
      <c r="J254" s="1686"/>
      <c r="K254" s="1686"/>
      <c r="L254" s="1686"/>
      <c r="M254" s="1686"/>
      <c r="N254" s="1686"/>
      <c r="O254" s="1686"/>
      <c r="P254" s="1686"/>
      <c r="Q254" s="1686"/>
      <c r="R254" s="1686"/>
      <c r="S254" s="1686"/>
      <c r="T254" s="1686"/>
      <c r="U254" s="1686"/>
    </row>
    <row r="255" spans="1:21" s="1683" customFormat="1" ht="14.25" customHeight="1">
      <c r="A255" s="1698" t="s">
        <v>301</v>
      </c>
      <c r="B255" s="1698" t="s">
        <v>1736</v>
      </c>
      <c r="C255" s="1725">
        <v>6940</v>
      </c>
      <c r="D255" s="1725">
        <v>6890</v>
      </c>
      <c r="E255" s="1725">
        <v>8650</v>
      </c>
      <c r="F255" s="1717">
        <v>1210</v>
      </c>
      <c r="G255" s="1707">
        <v>4230</v>
      </c>
      <c r="I255" s="1728"/>
      <c r="J255" s="1686"/>
      <c r="K255" s="1686"/>
      <c r="L255" s="1686"/>
      <c r="M255" s="1686"/>
      <c r="N255" s="1686"/>
      <c r="O255" s="1686"/>
      <c r="P255" s="1686"/>
      <c r="Q255" s="1686"/>
      <c r="R255" s="1686"/>
      <c r="S255" s="1686"/>
      <c r="T255" s="1686"/>
      <c r="U255" s="1686"/>
    </row>
    <row r="256" spans="1:21" s="1683" customFormat="1" ht="14.25" customHeight="1">
      <c r="A256" s="1698" t="s">
        <v>301</v>
      </c>
      <c r="B256" s="1698" t="s">
        <v>1744</v>
      </c>
      <c r="C256" s="1698">
        <v>7520</v>
      </c>
      <c r="D256" s="1698">
        <v>7490</v>
      </c>
      <c r="E256" s="1698">
        <v>9240</v>
      </c>
      <c r="F256" s="1707">
        <v>1270</v>
      </c>
      <c r="G256" s="1707">
        <v>4590</v>
      </c>
      <c r="I256" s="1728"/>
      <c r="J256" s="1686"/>
      <c r="K256" s="1686"/>
      <c r="L256" s="1686"/>
      <c r="M256" s="1686"/>
      <c r="N256" s="1686"/>
      <c r="O256" s="1686"/>
      <c r="P256" s="1686"/>
      <c r="Q256" s="1686"/>
      <c r="R256" s="1686"/>
      <c r="S256" s="1686"/>
      <c r="T256" s="1686"/>
      <c r="U256" s="1686"/>
    </row>
    <row r="257" spans="1:21" s="1683" customFormat="1" ht="14.25" customHeight="1">
      <c r="A257" s="1698" t="s">
        <v>301</v>
      </c>
      <c r="B257" s="1698" t="s">
        <v>1752</v>
      </c>
      <c r="C257" s="1698">
        <v>6280</v>
      </c>
      <c r="D257" s="1698">
        <v>6230</v>
      </c>
      <c r="E257" s="1698">
        <v>7740</v>
      </c>
      <c r="F257" s="1707">
        <v>1080</v>
      </c>
      <c r="G257" s="1707">
        <v>3830</v>
      </c>
      <c r="I257" s="1728"/>
      <c r="J257" s="1686"/>
      <c r="K257" s="1686"/>
      <c r="L257" s="1686"/>
      <c r="M257" s="1686"/>
      <c r="N257" s="1686"/>
      <c r="O257" s="1686"/>
      <c r="P257" s="1686"/>
      <c r="Q257" s="1686"/>
      <c r="R257" s="1686"/>
      <c r="S257" s="1686"/>
      <c r="T257" s="1686"/>
      <c r="U257" s="1686"/>
    </row>
    <row r="258" spans="1:21" s="1683" customFormat="1" ht="14.25" customHeight="1">
      <c r="A258" s="1698" t="s">
        <v>301</v>
      </c>
      <c r="B258" s="1698" t="s">
        <v>1760</v>
      </c>
      <c r="C258" s="1698">
        <v>6190</v>
      </c>
      <c r="D258" s="1698">
        <v>6160</v>
      </c>
      <c r="E258" s="1698">
        <v>7680</v>
      </c>
      <c r="F258" s="1707">
        <v>1170</v>
      </c>
      <c r="G258" s="1707">
        <v>3780</v>
      </c>
      <c r="I258" s="1728"/>
      <c r="J258" s="1686"/>
      <c r="K258" s="1686"/>
      <c r="L258" s="1686"/>
      <c r="M258" s="1686"/>
      <c r="N258" s="1686"/>
      <c r="O258" s="1686"/>
      <c r="P258" s="1686"/>
      <c r="Q258" s="1686"/>
      <c r="R258" s="1686"/>
      <c r="S258" s="1686"/>
      <c r="T258" s="1686"/>
      <c r="U258" s="1686"/>
    </row>
    <row r="259" spans="1:21" s="1683" customFormat="1" ht="14.25" customHeight="1">
      <c r="A259" s="1698" t="s">
        <v>301</v>
      </c>
      <c r="B259" s="1698" t="s">
        <v>1766</v>
      </c>
      <c r="C259" s="1698">
        <v>7610</v>
      </c>
      <c r="D259" s="1698">
        <v>7570</v>
      </c>
      <c r="E259" s="1698">
        <v>9350</v>
      </c>
      <c r="F259" s="1707">
        <v>1350</v>
      </c>
      <c r="G259" s="1707">
        <v>4650</v>
      </c>
      <c r="I259" s="1728"/>
      <c r="J259" s="1686"/>
      <c r="K259" s="1686"/>
      <c r="L259" s="1686"/>
      <c r="M259" s="1686"/>
      <c r="N259" s="1686"/>
      <c r="O259" s="1686"/>
      <c r="P259" s="1686"/>
      <c r="Q259" s="1686"/>
      <c r="R259" s="1686"/>
      <c r="S259" s="1686"/>
      <c r="T259" s="1686"/>
      <c r="U259" s="1686"/>
    </row>
    <row r="260" spans="1:21" s="1683" customFormat="1" ht="14.25" customHeight="1">
      <c r="A260" s="1698" t="s">
        <v>301</v>
      </c>
      <c r="B260" s="1698" t="s">
        <v>1773</v>
      </c>
      <c r="C260" s="1698">
        <v>6920</v>
      </c>
      <c r="D260" s="1698">
        <v>6880</v>
      </c>
      <c r="E260" s="1698">
        <v>8380</v>
      </c>
      <c r="F260" s="1707">
        <v>1160</v>
      </c>
      <c r="G260" s="1707">
        <v>4220</v>
      </c>
      <c r="I260" s="1728"/>
      <c r="J260" s="1686"/>
      <c r="K260" s="1686"/>
      <c r="L260" s="1686"/>
      <c r="M260" s="1686"/>
      <c r="N260" s="1686"/>
      <c r="O260" s="1686"/>
      <c r="P260" s="1686"/>
      <c r="Q260" s="1686"/>
      <c r="R260" s="1686"/>
      <c r="S260" s="1686"/>
      <c r="T260" s="1686"/>
      <c r="U260" s="1686"/>
    </row>
    <row r="261" spans="1:21" s="1683" customFormat="1" ht="14.25" customHeight="1">
      <c r="A261" s="1698" t="s">
        <v>301</v>
      </c>
      <c r="B261" s="1698" t="s">
        <v>1780</v>
      </c>
      <c r="C261" s="1698">
        <v>6850</v>
      </c>
      <c r="D261" s="1698">
        <v>6810</v>
      </c>
      <c r="E261" s="1698">
        <v>8290</v>
      </c>
      <c r="F261" s="1707">
        <v>1130</v>
      </c>
      <c r="G261" s="1707">
        <v>4180</v>
      </c>
      <c r="I261" s="1728"/>
      <c r="J261" s="1686"/>
      <c r="K261" s="1686"/>
      <c r="L261" s="1686"/>
      <c r="M261" s="1686"/>
      <c r="N261" s="1686"/>
      <c r="O261" s="1686"/>
      <c r="P261" s="1686"/>
      <c r="Q261" s="1686"/>
      <c r="R261" s="1686"/>
      <c r="S261" s="1686"/>
      <c r="T261" s="1686"/>
      <c r="U261" s="1686"/>
    </row>
    <row r="262" spans="1:21" s="1683" customFormat="1" ht="14.25" customHeight="1">
      <c r="A262" s="1698" t="s">
        <v>301</v>
      </c>
      <c r="B262" s="1698" t="s">
        <v>1787</v>
      </c>
      <c r="C262" s="1698">
        <v>5860</v>
      </c>
      <c r="D262" s="1698">
        <v>5820</v>
      </c>
      <c r="E262" s="1698">
        <v>7640</v>
      </c>
      <c r="F262" s="1707">
        <v>1070</v>
      </c>
      <c r="G262" s="1717">
        <v>3570</v>
      </c>
      <c r="I262" s="1728"/>
      <c r="J262" s="1686"/>
      <c r="K262" s="1686"/>
      <c r="L262" s="1686"/>
      <c r="M262" s="1686"/>
      <c r="N262" s="1686"/>
      <c r="O262" s="1686"/>
      <c r="P262" s="1686"/>
      <c r="Q262" s="1686"/>
      <c r="R262" s="1686"/>
      <c r="S262" s="1686"/>
      <c r="T262" s="1686"/>
      <c r="U262" s="1686"/>
    </row>
    <row r="263" spans="1:21" s="1683" customFormat="1" ht="14.25" customHeight="1">
      <c r="A263" s="1698" t="s">
        <v>301</v>
      </c>
      <c r="B263" s="1698" t="s">
        <v>1794</v>
      </c>
      <c r="C263" s="1698">
        <v>5870</v>
      </c>
      <c r="D263" s="1698">
        <v>5840</v>
      </c>
      <c r="E263" s="1698">
        <v>7270</v>
      </c>
      <c r="F263" s="1707">
        <v>1190</v>
      </c>
      <c r="G263" s="1707">
        <v>3580</v>
      </c>
      <c r="I263" s="1728"/>
      <c r="J263" s="1686"/>
      <c r="K263" s="1686"/>
      <c r="L263" s="1686"/>
      <c r="M263" s="1686"/>
      <c r="N263" s="1686"/>
      <c r="O263" s="1686"/>
      <c r="P263" s="1686"/>
      <c r="Q263" s="1686"/>
      <c r="R263" s="1686"/>
      <c r="S263" s="1686"/>
      <c r="T263" s="1686"/>
      <c r="U263" s="1686"/>
    </row>
    <row r="264" spans="1:21" s="1683" customFormat="1" ht="14.25" customHeight="1">
      <c r="A264" s="1698" t="s">
        <v>301</v>
      </c>
      <c r="B264" s="1698" t="s">
        <v>1801</v>
      </c>
      <c r="C264" s="1698">
        <v>6190</v>
      </c>
      <c r="D264" s="1698">
        <v>6150</v>
      </c>
      <c r="E264" s="1698">
        <v>7660</v>
      </c>
      <c r="F264" s="1707">
        <v>1160</v>
      </c>
      <c r="G264" s="1707">
        <v>3770</v>
      </c>
      <c r="I264" s="1728"/>
      <c r="J264" s="1686"/>
      <c r="K264" s="1686"/>
      <c r="L264" s="1686"/>
      <c r="M264" s="1686"/>
      <c r="N264" s="1686"/>
      <c r="O264" s="1686"/>
      <c r="P264" s="1686"/>
      <c r="Q264" s="1686"/>
      <c r="R264" s="1686"/>
      <c r="S264" s="1686"/>
      <c r="T264" s="1686"/>
      <c r="U264" s="1686"/>
    </row>
    <row r="265" spans="1:21" s="1683" customFormat="1" ht="14.25" customHeight="1">
      <c r="A265" s="1698" t="s">
        <v>301</v>
      </c>
      <c r="B265" s="1698" t="s">
        <v>1808</v>
      </c>
      <c r="C265" s="1698"/>
      <c r="D265" s="1698"/>
      <c r="E265" s="1698"/>
      <c r="F265" s="1707">
        <v>1500</v>
      </c>
      <c r="G265" s="1707"/>
      <c r="I265" s="1728"/>
      <c r="J265" s="1686"/>
      <c r="K265" s="1686"/>
      <c r="L265" s="1686"/>
      <c r="M265" s="1686"/>
      <c r="N265" s="1686"/>
      <c r="O265" s="1686"/>
      <c r="P265" s="1686"/>
      <c r="Q265" s="1686"/>
      <c r="R265" s="1686"/>
      <c r="S265" s="1686"/>
      <c r="T265" s="1686"/>
      <c r="U265" s="1686"/>
    </row>
    <row r="266" spans="1:21" s="1683" customFormat="1" ht="14.25" customHeight="1">
      <c r="A266" s="1698" t="s">
        <v>301</v>
      </c>
      <c r="B266" s="1698" t="s">
        <v>1813</v>
      </c>
      <c r="C266" s="1698"/>
      <c r="D266" s="1698"/>
      <c r="E266" s="1698"/>
      <c r="F266" s="1707">
        <v>1500</v>
      </c>
      <c r="G266" s="1707"/>
      <c r="I266" s="1728"/>
      <c r="J266" s="1686"/>
      <c r="K266" s="1686"/>
      <c r="L266" s="1686"/>
      <c r="M266" s="1686"/>
      <c r="N266" s="1686"/>
      <c r="O266" s="1686"/>
      <c r="P266" s="1686"/>
      <c r="Q266" s="1686"/>
      <c r="R266" s="1686"/>
      <c r="S266" s="1686"/>
      <c r="T266" s="1686"/>
      <c r="U266" s="1686"/>
    </row>
    <row r="267" spans="1:21" s="1683" customFormat="1" ht="14.25" customHeight="1">
      <c r="A267" s="1698" t="s">
        <v>301</v>
      </c>
      <c r="B267" s="1698" t="s">
        <v>1818</v>
      </c>
      <c r="C267" s="1698"/>
      <c r="D267" s="1698"/>
      <c r="E267" s="1698"/>
      <c r="F267" s="1707">
        <v>1500</v>
      </c>
      <c r="G267" s="1717"/>
      <c r="I267" s="1728"/>
      <c r="J267" s="1686"/>
      <c r="K267" s="1686"/>
      <c r="L267" s="1686"/>
      <c r="M267" s="1686"/>
      <c r="N267" s="1686"/>
      <c r="O267" s="1686"/>
      <c r="P267" s="1686"/>
      <c r="Q267" s="1686"/>
      <c r="R267" s="1686"/>
      <c r="S267" s="1686"/>
      <c r="T267" s="1686"/>
      <c r="U267" s="1686"/>
    </row>
    <row r="268" spans="1:21" s="1683" customFormat="1" ht="14.25" customHeight="1">
      <c r="A268" s="1698" t="s">
        <v>301</v>
      </c>
      <c r="B268" s="1698" t="s">
        <v>1823</v>
      </c>
      <c r="C268" s="1698"/>
      <c r="D268" s="1698"/>
      <c r="E268" s="1698"/>
      <c r="F268" s="1707">
        <v>1290</v>
      </c>
      <c r="G268" s="1707"/>
      <c r="I268" s="1728"/>
      <c r="J268" s="1686"/>
      <c r="K268" s="1686"/>
      <c r="L268" s="1686"/>
      <c r="M268" s="1686"/>
      <c r="N268" s="1686"/>
      <c r="O268" s="1686"/>
      <c r="P268" s="1686"/>
      <c r="Q268" s="1686"/>
      <c r="R268" s="1686"/>
      <c r="S268" s="1686"/>
      <c r="T268" s="1686"/>
      <c r="U268" s="1686"/>
    </row>
    <row r="269" spans="1:21" s="1683" customFormat="1" ht="14.25" customHeight="1">
      <c r="A269" s="1698" t="s">
        <v>301</v>
      </c>
      <c r="B269" s="1698" t="s">
        <v>1828</v>
      </c>
      <c r="C269" s="1698"/>
      <c r="D269" s="1698"/>
      <c r="E269" s="1698"/>
      <c r="F269" s="1707">
        <v>1150</v>
      </c>
      <c r="G269" s="1707"/>
      <c r="I269" s="1728"/>
      <c r="J269" s="1686"/>
      <c r="K269" s="1686"/>
      <c r="L269" s="1686"/>
      <c r="M269" s="1686"/>
      <c r="N269" s="1686"/>
      <c r="O269" s="1686"/>
      <c r="P269" s="1686"/>
      <c r="Q269" s="1686"/>
      <c r="R269" s="1686"/>
      <c r="S269" s="1686"/>
      <c r="T269" s="1686"/>
      <c r="U269" s="1686"/>
    </row>
    <row r="270" spans="1:21" s="1683" customFormat="1" ht="14.25" customHeight="1">
      <c r="A270" s="1698" t="s">
        <v>301</v>
      </c>
      <c r="B270" s="1698" t="s">
        <v>1833</v>
      </c>
      <c r="C270" s="1698"/>
      <c r="D270" s="1698"/>
      <c r="E270" s="1698"/>
      <c r="F270" s="1707">
        <v>1380</v>
      </c>
      <c r="G270" s="1707"/>
      <c r="I270" s="1728"/>
      <c r="J270" s="1686"/>
      <c r="K270" s="1686"/>
      <c r="L270" s="1686"/>
      <c r="M270" s="1686"/>
      <c r="N270" s="1686"/>
      <c r="O270" s="1686"/>
      <c r="P270" s="1686"/>
      <c r="Q270" s="1686"/>
      <c r="R270" s="1686"/>
      <c r="S270" s="1686"/>
      <c r="T270" s="1686"/>
      <c r="U270" s="1686"/>
    </row>
    <row r="271" spans="1:21" s="1683" customFormat="1" ht="14.25" customHeight="1">
      <c r="A271" s="1698" t="s">
        <v>301</v>
      </c>
      <c r="B271" s="1698" t="s">
        <v>1838</v>
      </c>
      <c r="C271" s="1698"/>
      <c r="D271" s="1698"/>
      <c r="E271" s="1698"/>
      <c r="F271" s="1707">
        <v>1460</v>
      </c>
      <c r="G271" s="1707"/>
      <c r="I271" s="1728"/>
      <c r="J271" s="1686"/>
      <c r="K271" s="1686"/>
      <c r="L271" s="1686"/>
      <c r="M271" s="1686"/>
      <c r="N271" s="1686"/>
      <c r="O271" s="1686"/>
      <c r="P271" s="1686"/>
      <c r="Q271" s="1686"/>
      <c r="R271" s="1686"/>
      <c r="S271" s="1686"/>
      <c r="T271" s="1686"/>
      <c r="U271" s="1686"/>
    </row>
    <row r="272" spans="1:21" s="1683" customFormat="1" ht="14.25" customHeight="1">
      <c r="A272" s="1698" t="s">
        <v>301</v>
      </c>
      <c r="B272" s="1698" t="s">
        <v>1843</v>
      </c>
      <c r="C272" s="1725"/>
      <c r="D272" s="1725"/>
      <c r="E272" s="1725"/>
      <c r="F272" s="1717">
        <v>1460</v>
      </c>
      <c r="G272" s="1707"/>
      <c r="I272" s="1728"/>
      <c r="J272" s="1686"/>
      <c r="K272" s="1686"/>
      <c r="L272" s="1686"/>
      <c r="M272" s="1686"/>
      <c r="N272" s="1686"/>
      <c r="O272" s="1686"/>
      <c r="P272" s="1686"/>
      <c r="Q272" s="1686"/>
      <c r="R272" s="1686"/>
      <c r="S272" s="1686"/>
      <c r="T272" s="1686"/>
      <c r="U272" s="1686"/>
    </row>
    <row r="273" spans="1:21" s="1683" customFormat="1" ht="14.25" customHeight="1">
      <c r="A273" s="1698" t="s">
        <v>301</v>
      </c>
      <c r="B273" s="1698" t="s">
        <v>1848</v>
      </c>
      <c r="C273" s="1698"/>
      <c r="D273" s="1698"/>
      <c r="E273" s="1698"/>
      <c r="F273" s="1707">
        <v>1490</v>
      </c>
      <c r="G273" s="1707"/>
      <c r="I273" s="1728"/>
      <c r="J273" s="1686"/>
      <c r="K273" s="1686"/>
      <c r="L273" s="1686"/>
      <c r="M273" s="1686"/>
      <c r="N273" s="1686"/>
      <c r="O273" s="1686"/>
      <c r="P273" s="1686"/>
      <c r="Q273" s="1686"/>
      <c r="R273" s="1686"/>
      <c r="S273" s="1686"/>
      <c r="T273" s="1686"/>
      <c r="U273" s="1686"/>
    </row>
    <row r="274" spans="1:21" s="1683" customFormat="1" ht="14.25" customHeight="1">
      <c r="A274" s="1698" t="s">
        <v>301</v>
      </c>
      <c r="B274" s="1698" t="s">
        <v>1852</v>
      </c>
      <c r="C274" s="1698"/>
      <c r="D274" s="1698"/>
      <c r="E274" s="1698"/>
      <c r="F274" s="1707">
        <v>1490</v>
      </c>
      <c r="G274" s="1707"/>
      <c r="I274" s="1728"/>
      <c r="J274" s="1686"/>
      <c r="K274" s="1686"/>
      <c r="L274" s="1686"/>
      <c r="M274" s="1686"/>
      <c r="N274" s="1686"/>
      <c r="O274" s="1686"/>
      <c r="P274" s="1686"/>
      <c r="Q274" s="1686"/>
      <c r="R274" s="1686"/>
      <c r="S274" s="1686"/>
      <c r="T274" s="1686"/>
      <c r="U274" s="1686"/>
    </row>
    <row r="275" spans="1:21" s="1683" customFormat="1" ht="14.25" customHeight="1">
      <c r="A275" s="1698" t="s">
        <v>301</v>
      </c>
      <c r="B275" s="1698" t="s">
        <v>1856</v>
      </c>
      <c r="C275" s="1698"/>
      <c r="D275" s="1698"/>
      <c r="E275" s="1698"/>
      <c r="F275" s="1707">
        <v>1220</v>
      </c>
      <c r="G275" s="1707"/>
      <c r="I275" s="1728"/>
      <c r="J275" s="1686"/>
      <c r="K275" s="1686"/>
      <c r="L275" s="1686"/>
      <c r="M275" s="1686"/>
      <c r="N275" s="1686"/>
      <c r="O275" s="1686"/>
      <c r="P275" s="1686"/>
      <c r="Q275" s="1686"/>
      <c r="R275" s="1686"/>
      <c r="S275" s="1686"/>
      <c r="T275" s="1686"/>
      <c r="U275" s="1686"/>
    </row>
    <row r="276" spans="1:21" s="1683" customFormat="1" ht="14.25" customHeight="1">
      <c r="A276" s="1714" t="s">
        <v>301</v>
      </c>
      <c r="B276" s="1704" t="s">
        <v>1860</v>
      </c>
      <c r="C276" s="1704"/>
      <c r="D276" s="1704"/>
      <c r="E276" s="1704"/>
      <c r="F276" s="1705">
        <v>1380</v>
      </c>
      <c r="G276" s="1715"/>
      <c r="I276" s="1728"/>
      <c r="J276" s="1686"/>
      <c r="K276" s="1686"/>
      <c r="L276" s="1686"/>
      <c r="M276" s="1686"/>
      <c r="N276" s="1686"/>
      <c r="O276" s="1686"/>
      <c r="P276" s="1686"/>
      <c r="Q276" s="1686"/>
      <c r="R276" s="1686"/>
      <c r="S276" s="1686"/>
      <c r="T276" s="1686"/>
      <c r="U276" s="1686"/>
    </row>
    <row r="277" spans="1:21" s="1683" customFormat="1" ht="14.25" customHeight="1">
      <c r="A277" s="1702" t="s">
        <v>305</v>
      </c>
      <c r="B277" s="1701" t="s">
        <v>1517</v>
      </c>
      <c r="C277" s="1701">
        <v>5790</v>
      </c>
      <c r="D277" s="1701">
        <v>5740</v>
      </c>
      <c r="E277" s="1701">
        <v>6730</v>
      </c>
      <c r="F277" s="1699">
        <v>1110</v>
      </c>
      <c r="G277" s="1699">
        <v>3460</v>
      </c>
      <c r="I277" s="1728"/>
      <c r="J277" s="1686"/>
      <c r="K277" s="1686"/>
      <c r="L277" s="1686"/>
      <c r="M277" s="1686"/>
      <c r="N277" s="1686"/>
      <c r="O277" s="1686"/>
      <c r="P277" s="1686"/>
      <c r="Q277" s="1686"/>
      <c r="R277" s="1686"/>
      <c r="S277" s="1686"/>
      <c r="T277" s="1686"/>
      <c r="U277" s="1686"/>
    </row>
    <row r="278" spans="1:21" s="1683" customFormat="1" ht="14.25" customHeight="1">
      <c r="A278" s="1698" t="s">
        <v>305</v>
      </c>
      <c r="B278" s="1698" t="s">
        <v>1530</v>
      </c>
      <c r="C278" s="1698">
        <v>5740</v>
      </c>
      <c r="D278" s="1698">
        <v>5670</v>
      </c>
      <c r="E278" s="1698">
        <v>6680</v>
      </c>
      <c r="F278" s="1707">
        <v>1070</v>
      </c>
      <c r="G278" s="1707">
        <v>3420</v>
      </c>
      <c r="I278" s="1728"/>
      <c r="J278" s="1686"/>
      <c r="K278" s="1686"/>
      <c r="L278" s="1686"/>
      <c r="M278" s="1686"/>
      <c r="N278" s="1686"/>
      <c r="O278" s="1686"/>
      <c r="P278" s="1686"/>
      <c r="Q278" s="1686"/>
      <c r="R278" s="1686"/>
      <c r="S278" s="1686"/>
      <c r="T278" s="1686"/>
      <c r="U278" s="1686"/>
    </row>
    <row r="279" spans="1:21" s="1683" customFormat="1" ht="14.25" customHeight="1">
      <c r="A279" s="1698" t="s">
        <v>305</v>
      </c>
      <c r="B279" s="1698" t="s">
        <v>1543</v>
      </c>
      <c r="C279" s="1698">
        <v>4760</v>
      </c>
      <c r="D279" s="1698">
        <v>4720</v>
      </c>
      <c r="E279" s="1698">
        <v>5540</v>
      </c>
      <c r="F279" s="1707">
        <v>810</v>
      </c>
      <c r="G279" s="1707">
        <v>2850</v>
      </c>
      <c r="I279" s="1728"/>
      <c r="J279" s="1686"/>
      <c r="K279" s="1686"/>
      <c r="L279" s="1686"/>
      <c r="M279" s="1686"/>
      <c r="N279" s="1686"/>
      <c r="O279" s="1686"/>
      <c r="P279" s="1686"/>
      <c r="Q279" s="1686"/>
      <c r="R279" s="1686"/>
      <c r="S279" s="1686"/>
      <c r="T279" s="1686"/>
      <c r="U279" s="1686"/>
    </row>
    <row r="280" spans="1:21" s="1683" customFormat="1" ht="14.25" customHeight="1">
      <c r="A280" s="1698" t="s">
        <v>305</v>
      </c>
      <c r="B280" s="1698" t="s">
        <v>1555</v>
      </c>
      <c r="C280" s="1698">
        <v>4010</v>
      </c>
      <c r="D280" s="1698">
        <v>3950</v>
      </c>
      <c r="E280" s="1698">
        <v>4710</v>
      </c>
      <c r="F280" s="1707">
        <v>800</v>
      </c>
      <c r="G280" s="1707">
        <v>2390</v>
      </c>
      <c r="I280" s="1728"/>
      <c r="J280" s="1686"/>
      <c r="K280" s="1686"/>
      <c r="L280" s="1686"/>
      <c r="M280" s="1686"/>
      <c r="N280" s="1686"/>
      <c r="O280" s="1686"/>
      <c r="P280" s="1686"/>
      <c r="Q280" s="1686"/>
      <c r="R280" s="1686"/>
      <c r="S280" s="1686"/>
      <c r="T280" s="1686"/>
      <c r="U280" s="1686"/>
    </row>
    <row r="281" spans="1:21" s="1683" customFormat="1" ht="14.25" customHeight="1">
      <c r="A281" s="1698" t="s">
        <v>305</v>
      </c>
      <c r="B281" s="1698" t="s">
        <v>1567</v>
      </c>
      <c r="C281" s="1698">
        <v>4480</v>
      </c>
      <c r="D281" s="1698">
        <v>4420</v>
      </c>
      <c r="E281" s="1698">
        <v>5230</v>
      </c>
      <c r="F281" s="1707">
        <v>870</v>
      </c>
      <c r="G281" s="1707">
        <v>2660</v>
      </c>
      <c r="I281" s="1728"/>
      <c r="J281" s="1686"/>
      <c r="K281" s="1686"/>
      <c r="L281" s="1686"/>
      <c r="M281" s="1686"/>
      <c r="N281" s="1686"/>
      <c r="O281" s="1686"/>
      <c r="P281" s="1686"/>
      <c r="Q281" s="1686"/>
      <c r="R281" s="1686"/>
      <c r="S281" s="1686"/>
      <c r="T281" s="1686"/>
      <c r="U281" s="1686"/>
    </row>
    <row r="282" spans="1:21" s="1683" customFormat="1" ht="14.25" customHeight="1">
      <c r="A282" s="1698" t="s">
        <v>305</v>
      </c>
      <c r="B282" s="1698" t="s">
        <v>1578</v>
      </c>
      <c r="C282" s="1698">
        <v>5360</v>
      </c>
      <c r="D282" s="1698">
        <v>5300</v>
      </c>
      <c r="E282" s="1698">
        <v>6190</v>
      </c>
      <c r="F282" s="1707">
        <v>950</v>
      </c>
      <c r="G282" s="1707">
        <v>3190</v>
      </c>
      <c r="I282" s="1728"/>
      <c r="J282" s="1686"/>
      <c r="K282" s="1686"/>
      <c r="L282" s="1686"/>
      <c r="M282" s="1686"/>
      <c r="N282" s="1686"/>
      <c r="O282" s="1686"/>
      <c r="P282" s="1686"/>
      <c r="Q282" s="1686"/>
      <c r="R282" s="1686"/>
      <c r="S282" s="1686"/>
      <c r="T282" s="1686"/>
      <c r="U282" s="1686"/>
    </row>
    <row r="283" spans="1:21" s="1683" customFormat="1" ht="14.25" customHeight="1">
      <c r="A283" s="1698" t="s">
        <v>305</v>
      </c>
      <c r="B283" s="1698" t="s">
        <v>1589</v>
      </c>
      <c r="C283" s="1698">
        <v>4950</v>
      </c>
      <c r="D283" s="1698">
        <v>4900</v>
      </c>
      <c r="E283" s="1698">
        <v>5720</v>
      </c>
      <c r="F283" s="1707">
        <v>920</v>
      </c>
      <c r="G283" s="1707">
        <v>2950</v>
      </c>
      <c r="I283" s="1728"/>
      <c r="J283" s="1686"/>
      <c r="K283" s="1686"/>
      <c r="L283" s="1686"/>
      <c r="M283" s="1686"/>
      <c r="N283" s="1686"/>
      <c r="O283" s="1686"/>
      <c r="P283" s="1686"/>
      <c r="Q283" s="1686"/>
      <c r="R283" s="1686"/>
      <c r="S283" s="1686"/>
      <c r="T283" s="1686"/>
      <c r="U283" s="1686"/>
    </row>
    <row r="284" spans="1:21" s="1683" customFormat="1" ht="14.25" customHeight="1">
      <c r="A284" s="1698" t="s">
        <v>305</v>
      </c>
      <c r="B284" s="1698" t="s">
        <v>1600</v>
      </c>
      <c r="C284" s="1698">
        <v>5610</v>
      </c>
      <c r="D284" s="1698">
        <v>5560</v>
      </c>
      <c r="E284" s="1698">
        <v>6520</v>
      </c>
      <c r="F284" s="1707">
        <v>1030</v>
      </c>
      <c r="G284" s="1707">
        <v>3360</v>
      </c>
      <c r="I284" s="1728"/>
      <c r="J284" s="1686"/>
      <c r="K284" s="1686"/>
      <c r="L284" s="1686"/>
      <c r="M284" s="1686"/>
      <c r="N284" s="1686"/>
      <c r="O284" s="1686"/>
      <c r="P284" s="1686"/>
      <c r="Q284" s="1686"/>
      <c r="R284" s="1686"/>
      <c r="S284" s="1686"/>
      <c r="T284" s="1686"/>
      <c r="U284" s="1686"/>
    </row>
    <row r="285" spans="1:21" s="1683" customFormat="1" ht="14.25" customHeight="1">
      <c r="A285" s="1698" t="s">
        <v>305</v>
      </c>
      <c r="B285" s="1698" t="s">
        <v>1610</v>
      </c>
      <c r="C285" s="1698">
        <v>5340</v>
      </c>
      <c r="D285" s="1698">
        <v>5290</v>
      </c>
      <c r="E285" s="1698">
        <v>6170</v>
      </c>
      <c r="F285" s="1707">
        <v>1080</v>
      </c>
      <c r="G285" s="1707">
        <v>3180</v>
      </c>
      <c r="I285" s="1728"/>
      <c r="J285" s="1686"/>
      <c r="K285" s="1686"/>
      <c r="L285" s="1686"/>
      <c r="M285" s="1686"/>
      <c r="N285" s="1686"/>
      <c r="O285" s="1686"/>
      <c r="P285" s="1686"/>
      <c r="Q285" s="1686"/>
      <c r="R285" s="1686"/>
      <c r="S285" s="1686"/>
      <c r="T285" s="1686"/>
      <c r="U285" s="1686"/>
    </row>
    <row r="286" spans="1:21" s="1683" customFormat="1" ht="14.25" customHeight="1">
      <c r="A286" s="1698" t="s">
        <v>305</v>
      </c>
      <c r="B286" s="1698" t="s">
        <v>1620</v>
      </c>
      <c r="C286" s="1698">
        <v>4890</v>
      </c>
      <c r="D286" s="1698">
        <v>4840</v>
      </c>
      <c r="E286" s="1698">
        <v>5640</v>
      </c>
      <c r="F286" s="1707">
        <v>960</v>
      </c>
      <c r="G286" s="1707">
        <v>2910</v>
      </c>
      <c r="I286" s="1728"/>
      <c r="J286" s="1686"/>
      <c r="K286" s="1686"/>
      <c r="L286" s="1686"/>
      <c r="M286" s="1686"/>
      <c r="N286" s="1686"/>
      <c r="O286" s="1686"/>
      <c r="P286" s="1686"/>
      <c r="Q286" s="1686"/>
      <c r="R286" s="1686"/>
      <c r="S286" s="1686"/>
      <c r="T286" s="1686"/>
      <c r="U286" s="1686"/>
    </row>
    <row r="287" spans="1:21" s="1683" customFormat="1" ht="14.25" customHeight="1">
      <c r="A287" s="1698" t="s">
        <v>305</v>
      </c>
      <c r="B287" s="1698" t="s">
        <v>1630</v>
      </c>
      <c r="C287" s="1698">
        <v>4960</v>
      </c>
      <c r="D287" s="1698">
        <v>4920</v>
      </c>
      <c r="E287" s="1698">
        <v>5730</v>
      </c>
      <c r="F287" s="1707">
        <v>930</v>
      </c>
      <c r="G287" s="1707">
        <v>2960</v>
      </c>
      <c r="I287" s="1728"/>
      <c r="J287" s="1686"/>
      <c r="K287" s="1686"/>
      <c r="L287" s="1686"/>
      <c r="M287" s="1686"/>
      <c r="N287" s="1686"/>
      <c r="O287" s="1686"/>
      <c r="P287" s="1686"/>
      <c r="Q287" s="1686"/>
      <c r="R287" s="1686"/>
      <c r="S287" s="1686"/>
      <c r="T287" s="1686"/>
      <c r="U287" s="1686"/>
    </row>
    <row r="288" spans="1:21" s="1683" customFormat="1" ht="14.25" customHeight="1">
      <c r="A288" s="1698" t="s">
        <v>305</v>
      </c>
      <c r="B288" s="1698" t="s">
        <v>1640</v>
      </c>
      <c r="C288" s="1698">
        <v>4350</v>
      </c>
      <c r="D288" s="1698">
        <v>4300</v>
      </c>
      <c r="E288" s="1698">
        <v>4900</v>
      </c>
      <c r="F288" s="1707">
        <v>820</v>
      </c>
      <c r="G288" s="1707">
        <v>2590</v>
      </c>
      <c r="I288" s="1728"/>
      <c r="J288" s="1686"/>
      <c r="K288" s="1686"/>
      <c r="L288" s="1686"/>
      <c r="M288" s="1686"/>
      <c r="N288" s="1686"/>
      <c r="O288" s="1686"/>
      <c r="P288" s="1686"/>
      <c r="Q288" s="1686"/>
      <c r="R288" s="1686"/>
      <c r="S288" s="1686"/>
      <c r="T288" s="1686"/>
      <c r="U288" s="1686"/>
    </row>
    <row r="289" spans="1:21" s="1683" customFormat="1" ht="14.25" customHeight="1">
      <c r="A289" s="1698" t="s">
        <v>305</v>
      </c>
      <c r="B289" s="1698" t="s">
        <v>1650</v>
      </c>
      <c r="C289" s="1698">
        <v>5230</v>
      </c>
      <c r="D289" s="1698">
        <v>5170</v>
      </c>
      <c r="E289" s="1698">
        <v>6060</v>
      </c>
      <c r="F289" s="1698">
        <v>900</v>
      </c>
      <c r="G289" s="1698">
        <v>3120</v>
      </c>
      <c r="H289" s="1734"/>
      <c r="I289" s="1728"/>
      <c r="J289" s="1686"/>
      <c r="K289" s="1686"/>
      <c r="L289" s="1686"/>
      <c r="M289" s="1686"/>
      <c r="N289" s="1686"/>
      <c r="O289" s="1686"/>
      <c r="P289" s="1686"/>
      <c r="Q289" s="1686"/>
      <c r="R289" s="1686"/>
      <c r="S289" s="1686"/>
      <c r="T289" s="1686"/>
      <c r="U289" s="1686"/>
    </row>
    <row r="290" spans="1:21" s="1683" customFormat="1" ht="14.25" customHeight="1">
      <c r="A290" s="1701" t="s">
        <v>305</v>
      </c>
      <c r="B290" s="1701" t="s">
        <v>1660</v>
      </c>
      <c r="C290" s="1701">
        <v>5550</v>
      </c>
      <c r="D290" s="1701">
        <v>5500</v>
      </c>
      <c r="E290" s="1701">
        <v>6440</v>
      </c>
      <c r="F290" s="1699">
        <v>960</v>
      </c>
      <c r="G290" s="1731">
        <v>3320</v>
      </c>
      <c r="I290" s="1728"/>
      <c r="J290" s="1686"/>
      <c r="K290" s="1686"/>
      <c r="L290" s="1686"/>
      <c r="M290" s="1686"/>
      <c r="N290" s="1686"/>
      <c r="O290" s="1686"/>
      <c r="P290" s="1686"/>
      <c r="Q290" s="1686"/>
      <c r="R290" s="1686"/>
      <c r="S290" s="1686"/>
      <c r="T290" s="1686"/>
      <c r="U290" s="1686"/>
    </row>
    <row r="291" spans="1:21" s="1683" customFormat="1" ht="14.25" customHeight="1">
      <c r="A291" s="1698" t="s">
        <v>305</v>
      </c>
      <c r="B291" s="1698" t="s">
        <v>1670</v>
      </c>
      <c r="C291" s="1698">
        <v>5440</v>
      </c>
      <c r="D291" s="1698">
        <v>5400</v>
      </c>
      <c r="E291" s="1698">
        <v>6320</v>
      </c>
      <c r="F291" s="1707">
        <v>930</v>
      </c>
      <c r="G291" s="1717">
        <v>3250</v>
      </c>
      <c r="I291" s="1728"/>
      <c r="J291" s="1686"/>
      <c r="K291" s="1686"/>
      <c r="L291" s="1686"/>
      <c r="M291" s="1686"/>
      <c r="N291" s="1686"/>
      <c r="O291" s="1686"/>
      <c r="P291" s="1686"/>
      <c r="Q291" s="1686"/>
      <c r="R291" s="1686"/>
      <c r="S291" s="1686"/>
      <c r="T291" s="1686"/>
      <c r="U291" s="1686"/>
    </row>
    <row r="292" spans="1:21" s="1683" customFormat="1" ht="14.25" customHeight="1">
      <c r="A292" s="1698" t="s">
        <v>305</v>
      </c>
      <c r="B292" s="1698" t="s">
        <v>1680</v>
      </c>
      <c r="C292" s="1698">
        <v>5400</v>
      </c>
      <c r="D292" s="1698">
        <v>5360</v>
      </c>
      <c r="E292" s="1698">
        <v>6270</v>
      </c>
      <c r="F292" s="1707">
        <v>1040</v>
      </c>
      <c r="G292" s="1707">
        <v>3230</v>
      </c>
      <c r="I292" s="1728"/>
      <c r="J292" s="1686"/>
      <c r="K292" s="1686"/>
      <c r="L292" s="1686"/>
      <c r="M292" s="1686"/>
      <c r="N292" s="1686"/>
      <c r="O292" s="1686"/>
      <c r="P292" s="1686"/>
      <c r="Q292" s="1686"/>
      <c r="R292" s="1686"/>
      <c r="S292" s="1686"/>
      <c r="T292" s="1686"/>
      <c r="U292" s="1686"/>
    </row>
    <row r="293" spans="1:21" s="1683" customFormat="1" ht="14.25" customHeight="1">
      <c r="A293" s="1698" t="s">
        <v>305</v>
      </c>
      <c r="B293" s="1698" t="s">
        <v>1690</v>
      </c>
      <c r="C293" s="1698">
        <v>5320</v>
      </c>
      <c r="D293" s="1698">
        <v>5270</v>
      </c>
      <c r="E293" s="1698">
        <v>6160</v>
      </c>
      <c r="F293" s="1707">
        <v>990</v>
      </c>
      <c r="G293" s="1707">
        <v>3170</v>
      </c>
      <c r="I293" s="1728"/>
      <c r="J293" s="1686"/>
      <c r="K293" s="1686"/>
      <c r="L293" s="1686"/>
      <c r="M293" s="1686"/>
      <c r="N293" s="1686"/>
      <c r="O293" s="1686"/>
      <c r="P293" s="1686"/>
      <c r="Q293" s="1686"/>
      <c r="R293" s="1686"/>
      <c r="S293" s="1686"/>
      <c r="T293" s="1686"/>
      <c r="U293" s="1686"/>
    </row>
    <row r="294" spans="1:21" s="1683" customFormat="1" ht="14.25" customHeight="1">
      <c r="A294" s="1698" t="s">
        <v>305</v>
      </c>
      <c r="B294" s="1698" t="s">
        <v>1700</v>
      </c>
      <c r="C294" s="1698">
        <v>5260</v>
      </c>
      <c r="D294" s="1698">
        <v>5210</v>
      </c>
      <c r="E294" s="1698">
        <v>6100</v>
      </c>
      <c r="F294" s="1707">
        <v>950</v>
      </c>
      <c r="G294" s="1707">
        <v>3150</v>
      </c>
      <c r="I294" s="1728"/>
      <c r="J294" s="1686"/>
      <c r="K294" s="1686"/>
      <c r="L294" s="1686"/>
      <c r="M294" s="1686"/>
      <c r="N294" s="1686"/>
      <c r="O294" s="1686"/>
      <c r="P294" s="1686"/>
      <c r="Q294" s="1686"/>
      <c r="R294" s="1686"/>
      <c r="S294" s="1686"/>
      <c r="T294" s="1686"/>
      <c r="U294" s="1686"/>
    </row>
    <row r="295" spans="1:21" s="1683" customFormat="1" ht="14.25" customHeight="1">
      <c r="A295" s="1698" t="s">
        <v>305</v>
      </c>
      <c r="B295" s="1698" t="s">
        <v>1710</v>
      </c>
      <c r="C295" s="1698">
        <v>5610</v>
      </c>
      <c r="D295" s="1698">
        <v>5570</v>
      </c>
      <c r="E295" s="1698">
        <v>6530</v>
      </c>
      <c r="F295" s="1707">
        <v>960</v>
      </c>
      <c r="G295" s="1707">
        <v>3360</v>
      </c>
      <c r="I295" s="1728"/>
      <c r="J295" s="1686"/>
      <c r="K295" s="1686"/>
      <c r="L295" s="1686"/>
      <c r="M295" s="1686"/>
      <c r="N295" s="1686"/>
      <c r="O295" s="1686"/>
      <c r="P295" s="1686"/>
      <c r="Q295" s="1686"/>
      <c r="R295" s="1686"/>
      <c r="S295" s="1686"/>
      <c r="T295" s="1686"/>
      <c r="U295" s="1686"/>
    </row>
    <row r="296" spans="1:21" s="1683" customFormat="1" ht="14.25" customHeight="1">
      <c r="A296" s="1698" t="s">
        <v>305</v>
      </c>
      <c r="B296" s="1698" t="s">
        <v>1720</v>
      </c>
      <c r="C296" s="1698">
        <v>5540</v>
      </c>
      <c r="D296" s="1698">
        <v>5490</v>
      </c>
      <c r="E296" s="1698">
        <v>6430</v>
      </c>
      <c r="F296" s="1707">
        <v>980</v>
      </c>
      <c r="G296" s="1707">
        <v>3310</v>
      </c>
      <c r="I296" s="1728"/>
      <c r="J296" s="1686"/>
      <c r="K296" s="1686"/>
      <c r="L296" s="1686"/>
      <c r="M296" s="1686"/>
      <c r="N296" s="1686"/>
      <c r="O296" s="1686"/>
      <c r="P296" s="1686"/>
      <c r="Q296" s="1686"/>
      <c r="R296" s="1686"/>
      <c r="S296" s="1686"/>
      <c r="T296" s="1686"/>
      <c r="U296" s="1686"/>
    </row>
    <row r="297" spans="1:21" s="1683" customFormat="1" ht="14.25" customHeight="1">
      <c r="A297" s="1698" t="s">
        <v>305</v>
      </c>
      <c r="B297" s="1698" t="s">
        <v>1729</v>
      </c>
      <c r="C297" s="1698">
        <v>5480</v>
      </c>
      <c r="D297" s="1698">
        <v>5420</v>
      </c>
      <c r="E297" s="1698">
        <v>6370</v>
      </c>
      <c r="F297" s="1707">
        <v>990</v>
      </c>
      <c r="G297" s="1707">
        <v>3270</v>
      </c>
      <c r="I297" s="1728"/>
      <c r="J297" s="1686"/>
      <c r="K297" s="1686"/>
      <c r="L297" s="1686"/>
      <c r="M297" s="1686"/>
      <c r="N297" s="1686"/>
      <c r="O297" s="1686"/>
      <c r="P297" s="1686"/>
      <c r="Q297" s="1686"/>
      <c r="R297" s="1686"/>
      <c r="S297" s="1686"/>
      <c r="T297" s="1686"/>
      <c r="U297" s="1686"/>
    </row>
    <row r="298" spans="1:21" s="1683" customFormat="1" ht="14.25" customHeight="1">
      <c r="A298" s="1698" t="s">
        <v>305</v>
      </c>
      <c r="B298" s="1698" t="s">
        <v>1737</v>
      </c>
      <c r="C298" s="1698">
        <v>5090</v>
      </c>
      <c r="D298" s="1698">
        <v>5050</v>
      </c>
      <c r="E298" s="1698">
        <v>5910</v>
      </c>
      <c r="F298" s="1707">
        <v>900</v>
      </c>
      <c r="G298" s="1707">
        <v>3040</v>
      </c>
      <c r="I298" s="1728"/>
      <c r="J298" s="1686"/>
      <c r="K298" s="1686"/>
      <c r="L298" s="1686"/>
      <c r="M298" s="1686"/>
      <c r="N298" s="1686"/>
      <c r="O298" s="1686"/>
      <c r="P298" s="1686"/>
      <c r="Q298" s="1686"/>
      <c r="R298" s="1686"/>
      <c r="S298" s="1686"/>
      <c r="T298" s="1686"/>
      <c r="U298" s="1686"/>
    </row>
    <row r="299" spans="1:21" s="1683" customFormat="1" ht="14.25" customHeight="1">
      <c r="A299" s="1698" t="s">
        <v>305</v>
      </c>
      <c r="B299" s="1698" t="s">
        <v>1745</v>
      </c>
      <c r="C299" s="1698">
        <v>5430</v>
      </c>
      <c r="D299" s="1698">
        <v>5380</v>
      </c>
      <c r="E299" s="1698">
        <v>6280</v>
      </c>
      <c r="F299" s="1707">
        <v>1000</v>
      </c>
      <c r="G299" s="1717">
        <v>3240</v>
      </c>
      <c r="I299" s="1728"/>
      <c r="J299" s="1686"/>
      <c r="K299" s="1686"/>
      <c r="L299" s="1686"/>
      <c r="M299" s="1686"/>
      <c r="N299" s="1686"/>
      <c r="O299" s="1686"/>
      <c r="P299" s="1686"/>
      <c r="Q299" s="1686"/>
      <c r="R299" s="1686"/>
      <c r="S299" s="1686"/>
      <c r="T299" s="1686"/>
      <c r="U299" s="1686"/>
    </row>
    <row r="300" spans="1:21" s="1683" customFormat="1" ht="14.25" customHeight="1">
      <c r="A300" s="1698" t="s">
        <v>305</v>
      </c>
      <c r="B300" s="1698" t="s">
        <v>1753</v>
      </c>
      <c r="C300" s="1698">
        <v>4740</v>
      </c>
      <c r="D300" s="1698">
        <v>4680</v>
      </c>
      <c r="E300" s="1698">
        <v>5450</v>
      </c>
      <c r="F300" s="1707">
        <v>900</v>
      </c>
      <c r="G300" s="1707">
        <v>2830</v>
      </c>
      <c r="I300" s="1728"/>
      <c r="J300" s="1686"/>
      <c r="K300" s="1686"/>
      <c r="L300" s="1686"/>
      <c r="M300" s="1686"/>
      <c r="N300" s="1686"/>
      <c r="O300" s="1686"/>
      <c r="P300" s="1686"/>
      <c r="Q300" s="1686"/>
      <c r="R300" s="1686"/>
      <c r="S300" s="1686"/>
      <c r="T300" s="1686"/>
      <c r="U300" s="1686"/>
    </row>
    <row r="301" spans="1:21" s="1683" customFormat="1" ht="14.25" customHeight="1">
      <c r="A301" s="1698" t="s">
        <v>305</v>
      </c>
      <c r="B301" s="1698" t="s">
        <v>1761</v>
      </c>
      <c r="C301" s="1698">
        <v>4870</v>
      </c>
      <c r="D301" s="1698">
        <v>4810</v>
      </c>
      <c r="E301" s="1698">
        <v>5560</v>
      </c>
      <c r="F301" s="1707">
        <v>990</v>
      </c>
      <c r="G301" s="1717">
        <v>2910</v>
      </c>
      <c r="I301" s="1728"/>
      <c r="J301" s="1686"/>
      <c r="K301" s="1686"/>
      <c r="L301" s="1686"/>
      <c r="M301" s="1686"/>
      <c r="N301" s="1686"/>
      <c r="O301" s="1686"/>
      <c r="P301" s="1686"/>
      <c r="Q301" s="1686"/>
      <c r="R301" s="1686"/>
      <c r="S301" s="1686"/>
      <c r="T301" s="1686"/>
      <c r="U301" s="1686"/>
    </row>
    <row r="302" spans="1:21" s="1683" customFormat="1" ht="14.25" customHeight="1">
      <c r="A302" s="1698" t="s">
        <v>305</v>
      </c>
      <c r="B302" s="1698" t="s">
        <v>1767</v>
      </c>
      <c r="C302" s="1698">
        <v>5520</v>
      </c>
      <c r="D302" s="1698">
        <v>5470</v>
      </c>
      <c r="E302" s="1698">
        <v>6410</v>
      </c>
      <c r="F302" s="1707">
        <v>950</v>
      </c>
      <c r="G302" s="1707">
        <v>3300</v>
      </c>
      <c r="I302" s="1728"/>
      <c r="J302" s="1686"/>
      <c r="K302" s="1686"/>
      <c r="L302" s="1686"/>
      <c r="M302" s="1686"/>
      <c r="N302" s="1686"/>
      <c r="O302" s="1686"/>
      <c r="P302" s="1686"/>
      <c r="Q302" s="1686"/>
      <c r="R302" s="1686"/>
      <c r="S302" s="1686"/>
      <c r="T302" s="1686"/>
      <c r="U302" s="1686"/>
    </row>
    <row r="303" spans="1:21" s="1683" customFormat="1" ht="14.25" customHeight="1">
      <c r="A303" s="1698" t="s">
        <v>305</v>
      </c>
      <c r="B303" s="1698" t="s">
        <v>1774</v>
      </c>
      <c r="C303" s="1698">
        <v>5630</v>
      </c>
      <c r="D303" s="1698">
        <v>5590</v>
      </c>
      <c r="E303" s="1698">
        <v>6550</v>
      </c>
      <c r="F303" s="1707">
        <v>1010</v>
      </c>
      <c r="G303" s="1707">
        <v>3370</v>
      </c>
      <c r="I303" s="1728"/>
      <c r="J303" s="1686"/>
      <c r="K303" s="1686"/>
      <c r="L303" s="1686"/>
      <c r="M303" s="1686"/>
      <c r="N303" s="1686"/>
      <c r="O303" s="1686"/>
      <c r="P303" s="1686"/>
      <c r="Q303" s="1686"/>
      <c r="R303" s="1686"/>
      <c r="S303" s="1686"/>
      <c r="T303" s="1686"/>
      <c r="U303" s="1686"/>
    </row>
    <row r="304" spans="1:21" s="1683" customFormat="1" ht="14.25" customHeight="1">
      <c r="A304" s="1698" t="s">
        <v>305</v>
      </c>
      <c r="B304" s="1698" t="s">
        <v>1781</v>
      </c>
      <c r="C304" s="1698">
        <v>5680</v>
      </c>
      <c r="D304" s="1698">
        <v>5620</v>
      </c>
      <c r="E304" s="1698">
        <v>6620</v>
      </c>
      <c r="F304" s="1707">
        <v>1050</v>
      </c>
      <c r="G304" s="1717">
        <v>3390</v>
      </c>
      <c r="I304" s="1728"/>
      <c r="J304" s="1686"/>
      <c r="K304" s="1686"/>
      <c r="L304" s="1686"/>
      <c r="M304" s="1686"/>
      <c r="N304" s="1686"/>
      <c r="O304" s="1686"/>
      <c r="P304" s="1686"/>
      <c r="Q304" s="1686"/>
      <c r="R304" s="1686"/>
      <c r="S304" s="1686"/>
      <c r="T304" s="1686"/>
      <c r="U304" s="1686"/>
    </row>
    <row r="305" spans="1:21" s="1683" customFormat="1" ht="14.25" customHeight="1">
      <c r="A305" s="1698" t="s">
        <v>305</v>
      </c>
      <c r="B305" s="1698" t="s">
        <v>1788</v>
      </c>
      <c r="C305" s="1698">
        <v>5590</v>
      </c>
      <c r="D305" s="1698">
        <v>5530</v>
      </c>
      <c r="E305" s="1698">
        <v>6460</v>
      </c>
      <c r="F305" s="1707">
        <v>900</v>
      </c>
      <c r="G305" s="1707">
        <v>3340</v>
      </c>
      <c r="I305" s="1728"/>
      <c r="J305" s="1686"/>
      <c r="K305" s="1686"/>
      <c r="L305" s="1686"/>
      <c r="M305" s="1686"/>
      <c r="N305" s="1686"/>
      <c r="O305" s="1686"/>
      <c r="P305" s="1686"/>
      <c r="Q305" s="1686"/>
      <c r="R305" s="1686"/>
      <c r="S305" s="1686"/>
      <c r="T305" s="1686"/>
      <c r="U305" s="1686"/>
    </row>
    <row r="306" spans="1:21" s="1683" customFormat="1" ht="14.25" customHeight="1">
      <c r="A306" s="1698" t="s">
        <v>305</v>
      </c>
      <c r="B306" s="1698" t="s">
        <v>1795</v>
      </c>
      <c r="C306" s="1698">
        <v>5560</v>
      </c>
      <c r="D306" s="1698">
        <v>5510</v>
      </c>
      <c r="E306" s="1698">
        <v>6440</v>
      </c>
      <c r="F306" s="1707">
        <v>900</v>
      </c>
      <c r="G306" s="1717">
        <v>3320</v>
      </c>
      <c r="I306" s="1728"/>
      <c r="J306" s="1686"/>
      <c r="K306" s="1686"/>
      <c r="L306" s="1686"/>
      <c r="M306" s="1686"/>
      <c r="N306" s="1686"/>
      <c r="O306" s="1686"/>
      <c r="P306" s="1686"/>
      <c r="Q306" s="1686"/>
      <c r="R306" s="1686"/>
      <c r="S306" s="1686"/>
      <c r="T306" s="1686"/>
      <c r="U306" s="1686"/>
    </row>
    <row r="307" spans="1:21" s="1683" customFormat="1" ht="14.25" customHeight="1">
      <c r="A307" s="1698" t="s">
        <v>305</v>
      </c>
      <c r="B307" s="1698" t="s">
        <v>1802</v>
      </c>
      <c r="C307" s="1698">
        <v>5650</v>
      </c>
      <c r="D307" s="1698">
        <v>5600</v>
      </c>
      <c r="E307" s="1698">
        <v>6590</v>
      </c>
      <c r="F307" s="1707">
        <v>930</v>
      </c>
      <c r="G307" s="1707">
        <v>3380</v>
      </c>
      <c r="I307" s="1728"/>
      <c r="J307" s="1686"/>
      <c r="K307" s="1686"/>
      <c r="L307" s="1686"/>
      <c r="M307" s="1686"/>
      <c r="N307" s="1686"/>
      <c r="O307" s="1686"/>
      <c r="P307" s="1686"/>
      <c r="Q307" s="1686"/>
      <c r="R307" s="1686"/>
      <c r="S307" s="1686"/>
      <c r="T307" s="1686"/>
      <c r="U307" s="1686"/>
    </row>
    <row r="308" spans="1:21" s="1683" customFormat="1" ht="14.25" customHeight="1">
      <c r="A308" s="1698" t="s">
        <v>305</v>
      </c>
      <c r="B308" s="1698" t="s">
        <v>1809</v>
      </c>
      <c r="C308" s="1698">
        <v>5620</v>
      </c>
      <c r="D308" s="1698">
        <v>5580</v>
      </c>
      <c r="E308" s="1698">
        <v>6540</v>
      </c>
      <c r="F308" s="1707">
        <v>910</v>
      </c>
      <c r="G308" s="1707">
        <v>3370</v>
      </c>
      <c r="I308" s="1728"/>
      <c r="J308" s="1686"/>
      <c r="K308" s="1686"/>
      <c r="L308" s="1686"/>
      <c r="M308" s="1686"/>
      <c r="N308" s="1686"/>
      <c r="O308" s="1686"/>
      <c r="P308" s="1686"/>
      <c r="Q308" s="1686"/>
      <c r="R308" s="1686"/>
      <c r="S308" s="1686"/>
      <c r="T308" s="1686"/>
      <c r="U308" s="1686"/>
    </row>
    <row r="309" spans="1:21" s="1683" customFormat="1" ht="14.25" customHeight="1">
      <c r="A309" s="1698" t="s">
        <v>305</v>
      </c>
      <c r="B309" s="1698" t="s">
        <v>1814</v>
      </c>
      <c r="C309" s="1698">
        <v>5060</v>
      </c>
      <c r="D309" s="1698">
        <v>5020</v>
      </c>
      <c r="E309" s="1698">
        <v>6370</v>
      </c>
      <c r="F309" s="1707">
        <v>800</v>
      </c>
      <c r="G309" s="1717">
        <v>3020</v>
      </c>
      <c r="I309" s="1728"/>
      <c r="J309" s="1686"/>
      <c r="K309" s="1686"/>
      <c r="L309" s="1686"/>
      <c r="M309" s="1686"/>
      <c r="N309" s="1686"/>
      <c r="O309" s="1686"/>
      <c r="P309" s="1686"/>
      <c r="Q309" s="1686"/>
      <c r="R309" s="1686"/>
      <c r="S309" s="1686"/>
      <c r="T309" s="1686"/>
      <c r="U309" s="1686"/>
    </row>
    <row r="310" spans="1:21" s="1683" customFormat="1" ht="14.25" customHeight="1">
      <c r="A310" s="1698" t="s">
        <v>305</v>
      </c>
      <c r="B310" s="1698" t="s">
        <v>1819</v>
      </c>
      <c r="C310" s="1698">
        <v>5150</v>
      </c>
      <c r="D310" s="1698">
        <v>5110</v>
      </c>
      <c r="E310" s="1698">
        <v>6500</v>
      </c>
      <c r="F310" s="1707">
        <v>880</v>
      </c>
      <c r="G310" s="1707">
        <v>3080</v>
      </c>
      <c r="I310" s="1728"/>
      <c r="J310" s="1686"/>
      <c r="K310" s="1686"/>
      <c r="L310" s="1686"/>
      <c r="M310" s="1686"/>
      <c r="N310" s="1686"/>
      <c r="O310" s="1686"/>
      <c r="P310" s="1686"/>
      <c r="Q310" s="1686"/>
      <c r="R310" s="1686"/>
      <c r="S310" s="1686"/>
      <c r="T310" s="1686"/>
      <c r="U310" s="1686"/>
    </row>
    <row r="311" spans="1:21" s="1683" customFormat="1" ht="14.25" customHeight="1">
      <c r="A311" s="1698" t="s">
        <v>305</v>
      </c>
      <c r="B311" s="1698" t="s">
        <v>1824</v>
      </c>
      <c r="C311" s="1698">
        <v>4750</v>
      </c>
      <c r="D311" s="1698">
        <v>4710</v>
      </c>
      <c r="E311" s="1698">
        <v>5510</v>
      </c>
      <c r="F311" s="1707">
        <v>880</v>
      </c>
      <c r="G311" s="1707">
        <v>2840</v>
      </c>
      <c r="I311" s="1728"/>
      <c r="J311" s="1686"/>
      <c r="K311" s="1686"/>
      <c r="L311" s="1686"/>
      <c r="M311" s="1686"/>
      <c r="N311" s="1686"/>
      <c r="O311" s="1686"/>
      <c r="P311" s="1686"/>
      <c r="Q311" s="1686"/>
      <c r="R311" s="1686"/>
      <c r="S311" s="1686"/>
      <c r="T311" s="1686"/>
      <c r="U311" s="1686"/>
    </row>
    <row r="312" spans="1:21" s="1683" customFormat="1" ht="14.25" customHeight="1">
      <c r="A312" s="1698" t="s">
        <v>305</v>
      </c>
      <c r="B312" s="1698" t="s">
        <v>1829</v>
      </c>
      <c r="C312" s="1698">
        <v>4690</v>
      </c>
      <c r="D312" s="1698">
        <v>4640</v>
      </c>
      <c r="E312" s="1698">
        <v>5420</v>
      </c>
      <c r="F312" s="1707">
        <v>800</v>
      </c>
      <c r="G312" s="1707">
        <v>2800</v>
      </c>
      <c r="I312" s="1728"/>
      <c r="J312" s="1686"/>
      <c r="K312" s="1686"/>
      <c r="L312" s="1686"/>
      <c r="M312" s="1686"/>
      <c r="N312" s="1686"/>
      <c r="O312" s="1686"/>
      <c r="P312" s="1686"/>
      <c r="Q312" s="1686"/>
      <c r="R312" s="1686"/>
      <c r="S312" s="1686"/>
      <c r="T312" s="1686"/>
      <c r="U312" s="1686"/>
    </row>
    <row r="313" spans="1:21" s="1683" customFormat="1" ht="14.25" customHeight="1">
      <c r="A313" s="1698" t="s">
        <v>305</v>
      </c>
      <c r="B313" s="1698" t="s">
        <v>1834</v>
      </c>
      <c r="C313" s="1698">
        <v>4810</v>
      </c>
      <c r="D313" s="1698">
        <v>4760</v>
      </c>
      <c r="E313" s="1698">
        <v>5550</v>
      </c>
      <c r="F313" s="1707">
        <v>920</v>
      </c>
      <c r="G313" s="1707">
        <v>2870</v>
      </c>
      <c r="I313" s="1728"/>
      <c r="J313" s="1686"/>
      <c r="K313" s="1686"/>
      <c r="L313" s="1686"/>
      <c r="M313" s="1686"/>
      <c r="N313" s="1686"/>
      <c r="O313" s="1686"/>
      <c r="P313" s="1686"/>
      <c r="Q313" s="1686"/>
      <c r="R313" s="1686"/>
      <c r="S313" s="1686"/>
      <c r="T313" s="1686"/>
      <c r="U313" s="1686"/>
    </row>
    <row r="314" spans="1:21" s="1683" customFormat="1" ht="14.25" customHeight="1">
      <c r="A314" s="1698" t="s">
        <v>305</v>
      </c>
      <c r="B314" s="1698" t="s">
        <v>1839</v>
      </c>
      <c r="C314" s="1698"/>
      <c r="D314" s="1698"/>
      <c r="E314" s="1698"/>
      <c r="F314" s="1707">
        <v>1020</v>
      </c>
      <c r="G314" s="1707"/>
      <c r="I314" s="1728"/>
      <c r="J314" s="1686"/>
      <c r="K314" s="1686"/>
      <c r="L314" s="1686"/>
      <c r="M314" s="1686"/>
      <c r="N314" s="1686"/>
      <c r="O314" s="1686"/>
      <c r="P314" s="1686"/>
      <c r="Q314" s="1686"/>
      <c r="R314" s="1686"/>
      <c r="S314" s="1686"/>
      <c r="T314" s="1686"/>
      <c r="U314" s="1686"/>
    </row>
    <row r="315" spans="1:21" s="1683" customFormat="1" ht="14.25" customHeight="1">
      <c r="A315" s="1698" t="s">
        <v>305</v>
      </c>
      <c r="B315" s="1698" t="s">
        <v>1844</v>
      </c>
      <c r="C315" s="1698"/>
      <c r="D315" s="1698"/>
      <c r="E315" s="1698"/>
      <c r="F315" s="1707">
        <v>1050</v>
      </c>
      <c r="G315" s="1707"/>
      <c r="I315" s="1728"/>
      <c r="J315" s="1686"/>
      <c r="K315" s="1686"/>
      <c r="L315" s="1686"/>
      <c r="M315" s="1686"/>
      <c r="N315" s="1686"/>
      <c r="O315" s="1686"/>
      <c r="P315" s="1686"/>
      <c r="Q315" s="1686"/>
      <c r="R315" s="1686"/>
      <c r="S315" s="1686"/>
      <c r="T315" s="1686"/>
      <c r="U315" s="1686"/>
    </row>
    <row r="316" spans="1:21" s="1683" customFormat="1" ht="14.25" customHeight="1">
      <c r="A316" s="1698" t="s">
        <v>305</v>
      </c>
      <c r="B316" s="1698" t="s">
        <v>1849</v>
      </c>
      <c r="C316" s="1698"/>
      <c r="D316" s="1698"/>
      <c r="E316" s="1698"/>
      <c r="F316" s="1707">
        <v>900</v>
      </c>
      <c r="G316" s="1716"/>
      <c r="I316" s="1728"/>
      <c r="J316" s="1686"/>
      <c r="K316" s="1686"/>
      <c r="L316" s="1686"/>
      <c r="M316" s="1686"/>
      <c r="N316" s="1686"/>
      <c r="O316" s="1686"/>
      <c r="P316" s="1686"/>
      <c r="Q316" s="1686"/>
      <c r="R316" s="1686"/>
      <c r="S316" s="1686"/>
      <c r="T316" s="1686"/>
      <c r="U316" s="1686"/>
    </row>
    <row r="317" spans="1:21" s="1683" customFormat="1" ht="14.25" customHeight="1">
      <c r="A317" s="1701" t="s">
        <v>305</v>
      </c>
      <c r="B317" s="1701" t="s">
        <v>1853</v>
      </c>
      <c r="C317" s="1701"/>
      <c r="D317" s="1701"/>
      <c r="E317" s="1701"/>
      <c r="F317" s="1699">
        <v>920</v>
      </c>
      <c r="G317" s="1699"/>
      <c r="I317" s="1685"/>
      <c r="J317" s="1686"/>
      <c r="K317" s="1686"/>
      <c r="L317" s="1686"/>
      <c r="M317" s="1686"/>
      <c r="N317" s="1686"/>
      <c r="O317" s="1686"/>
      <c r="P317" s="1686"/>
      <c r="Q317" s="1686"/>
      <c r="R317" s="1686"/>
      <c r="S317" s="1686"/>
      <c r="T317" s="1686"/>
      <c r="U317" s="1686"/>
    </row>
    <row r="318" spans="1:21" s="1683" customFormat="1" ht="14.25" customHeight="1">
      <c r="A318" s="1698" t="s">
        <v>305</v>
      </c>
      <c r="B318" s="1698" t="s">
        <v>1857</v>
      </c>
      <c r="C318" s="1698"/>
      <c r="D318" s="1698"/>
      <c r="E318" s="1698"/>
      <c r="F318" s="1707">
        <v>1080</v>
      </c>
      <c r="G318" s="1717"/>
      <c r="I318" s="1685"/>
      <c r="J318" s="1686"/>
      <c r="K318" s="1686"/>
      <c r="L318" s="1686"/>
      <c r="M318" s="1686"/>
      <c r="N318" s="1686"/>
      <c r="O318" s="1686"/>
      <c r="P318" s="1686"/>
      <c r="Q318" s="1686"/>
      <c r="R318" s="1686"/>
      <c r="S318" s="1686"/>
      <c r="T318" s="1686"/>
      <c r="U318" s="1686"/>
    </row>
    <row r="319" spans="1:21" s="1683" customFormat="1" ht="14.25" customHeight="1">
      <c r="A319" s="1698" t="s">
        <v>305</v>
      </c>
      <c r="B319" s="1698" t="s">
        <v>1861</v>
      </c>
      <c r="C319" s="1698"/>
      <c r="D319" s="1698"/>
      <c r="E319" s="1698"/>
      <c r="F319" s="1707">
        <v>1020</v>
      </c>
      <c r="G319" s="1707"/>
      <c r="I319" s="1685"/>
      <c r="J319" s="1686"/>
      <c r="K319" s="1686"/>
      <c r="L319" s="1686"/>
      <c r="M319" s="1686"/>
      <c r="N319" s="1686"/>
      <c r="O319" s="1686"/>
      <c r="P319" s="1686"/>
      <c r="Q319" s="1686"/>
      <c r="R319" s="1686"/>
      <c r="S319" s="1686"/>
      <c r="T319" s="1686"/>
      <c r="U319" s="1686"/>
    </row>
    <row r="320" spans="1:21" s="1683" customFormat="1" ht="14.25" customHeight="1">
      <c r="A320" s="1698" t="s">
        <v>305</v>
      </c>
      <c r="B320" s="1698" t="s">
        <v>1864</v>
      </c>
      <c r="C320" s="1698"/>
      <c r="D320" s="1698"/>
      <c r="E320" s="1698"/>
      <c r="F320" s="1707">
        <v>1050</v>
      </c>
      <c r="G320" s="1717"/>
      <c r="I320" s="1685"/>
      <c r="J320" s="1686"/>
      <c r="K320" s="1686"/>
      <c r="L320" s="1686"/>
      <c r="M320" s="1686"/>
      <c r="N320" s="1686"/>
      <c r="O320" s="1686"/>
      <c r="P320" s="1686"/>
      <c r="Q320" s="1686"/>
      <c r="R320" s="1686"/>
      <c r="S320" s="1686"/>
      <c r="T320" s="1686"/>
      <c r="U320" s="1686"/>
    </row>
    <row r="321" spans="1:21" s="1683" customFormat="1" ht="14.25" customHeight="1">
      <c r="A321" s="1698" t="s">
        <v>305</v>
      </c>
      <c r="B321" s="1698" t="s">
        <v>1866</v>
      </c>
      <c r="C321" s="1698"/>
      <c r="D321" s="1698"/>
      <c r="E321" s="1698"/>
      <c r="F321" s="1707">
        <v>960</v>
      </c>
      <c r="G321" s="1717"/>
      <c r="I321" s="1685"/>
      <c r="J321" s="1686"/>
      <c r="K321" s="1686"/>
      <c r="L321" s="1686"/>
      <c r="M321" s="1686"/>
      <c r="N321" s="1686"/>
      <c r="O321" s="1686"/>
      <c r="P321" s="1686"/>
      <c r="Q321" s="1686"/>
      <c r="R321" s="1686"/>
      <c r="S321" s="1686"/>
      <c r="T321" s="1686"/>
      <c r="U321" s="1686"/>
    </row>
    <row r="322" spans="1:21" s="1683" customFormat="1" ht="14.25" customHeight="1">
      <c r="A322" s="1698" t="s">
        <v>305</v>
      </c>
      <c r="B322" s="1698" t="s">
        <v>1868</v>
      </c>
      <c r="C322" s="1698"/>
      <c r="D322" s="1698"/>
      <c r="E322" s="1698"/>
      <c r="F322" s="1707">
        <v>960</v>
      </c>
      <c r="G322" s="1707"/>
      <c r="I322" s="1685"/>
      <c r="J322" s="1686"/>
      <c r="K322" s="1686"/>
      <c r="L322" s="1686"/>
      <c r="M322" s="1686"/>
      <c r="N322" s="1686"/>
      <c r="O322" s="1686"/>
      <c r="P322" s="1686"/>
      <c r="Q322" s="1686"/>
      <c r="R322" s="1686"/>
      <c r="S322" s="1686"/>
      <c r="T322" s="1686"/>
      <c r="U322" s="1686"/>
    </row>
    <row r="323" spans="1:21" s="1683" customFormat="1" ht="14.25" customHeight="1">
      <c r="A323" s="1698" t="s">
        <v>305</v>
      </c>
      <c r="B323" s="1698" t="s">
        <v>1870</v>
      </c>
      <c r="C323" s="1698"/>
      <c r="D323" s="1698"/>
      <c r="E323" s="1698"/>
      <c r="F323" s="1707">
        <v>880</v>
      </c>
      <c r="G323" s="1717"/>
      <c r="I323" s="1685"/>
      <c r="J323" s="1686"/>
      <c r="K323" s="1686"/>
      <c r="L323" s="1686"/>
      <c r="M323" s="1686"/>
      <c r="N323" s="1686"/>
      <c r="O323" s="1686"/>
      <c r="P323" s="1686"/>
      <c r="Q323" s="1686"/>
      <c r="R323" s="1686"/>
      <c r="S323" s="1686"/>
      <c r="T323" s="1686"/>
      <c r="U323" s="1686"/>
    </row>
    <row r="324" spans="1:21" s="1683" customFormat="1" ht="14.25" customHeight="1">
      <c r="A324" s="1698" t="s">
        <v>305</v>
      </c>
      <c r="B324" s="1698" t="s">
        <v>1872</v>
      </c>
      <c r="C324" s="1698"/>
      <c r="D324" s="1698"/>
      <c r="E324" s="1698"/>
      <c r="F324" s="1707">
        <v>930</v>
      </c>
      <c r="G324" s="1717"/>
      <c r="I324" s="1685"/>
      <c r="J324" s="1686"/>
      <c r="K324" s="1686"/>
      <c r="L324" s="1686"/>
      <c r="M324" s="1686"/>
      <c r="N324" s="1686"/>
      <c r="O324" s="1686"/>
      <c r="P324" s="1686"/>
      <c r="Q324" s="1686"/>
      <c r="R324" s="1686"/>
      <c r="S324" s="1686"/>
      <c r="T324" s="1686"/>
      <c r="U324" s="1686"/>
    </row>
    <row r="325" spans="1:21" s="1683" customFormat="1" ht="14.25" customHeight="1">
      <c r="A325" s="1698" t="s">
        <v>305</v>
      </c>
      <c r="B325" s="1698" t="s">
        <v>1874</v>
      </c>
      <c r="C325" s="1698"/>
      <c r="D325" s="1698"/>
      <c r="E325" s="1698"/>
      <c r="F325" s="1707">
        <v>900</v>
      </c>
      <c r="G325" s="1707"/>
      <c r="I325" s="1685"/>
      <c r="J325" s="1686"/>
      <c r="K325" s="1686"/>
      <c r="L325" s="1686"/>
      <c r="M325" s="1686"/>
      <c r="N325" s="1686"/>
      <c r="O325" s="1686"/>
      <c r="P325" s="1686"/>
      <c r="Q325" s="1686"/>
      <c r="R325" s="1686"/>
      <c r="S325" s="1686"/>
      <c r="T325" s="1686"/>
      <c r="U325" s="1686"/>
    </row>
    <row r="326" spans="1:21" s="1683" customFormat="1" ht="14.25" customHeight="1">
      <c r="A326" s="1714" t="s">
        <v>305</v>
      </c>
      <c r="B326" s="1704" t="s">
        <v>1876</v>
      </c>
      <c r="C326" s="1704"/>
      <c r="D326" s="1704"/>
      <c r="E326" s="1704"/>
      <c r="F326" s="1705">
        <v>790</v>
      </c>
      <c r="G326" s="1733"/>
      <c r="I326" s="1685"/>
      <c r="J326" s="1686"/>
      <c r="K326" s="1686"/>
      <c r="L326" s="1686"/>
      <c r="M326" s="1686"/>
      <c r="N326" s="1686"/>
      <c r="O326" s="1686"/>
      <c r="P326" s="1686"/>
      <c r="Q326" s="1686"/>
      <c r="R326" s="1686"/>
      <c r="S326" s="1686"/>
      <c r="T326" s="1686"/>
      <c r="U326" s="1686"/>
    </row>
    <row r="327" spans="1:21" s="1683" customFormat="1" ht="14.25" customHeight="1">
      <c r="A327" s="1702" t="s">
        <v>309</v>
      </c>
      <c r="B327" s="1710" t="s">
        <v>1518</v>
      </c>
      <c r="C327" s="1710">
        <v>3750</v>
      </c>
      <c r="D327" s="1710">
        <v>3710</v>
      </c>
      <c r="E327" s="1710">
        <v>4080</v>
      </c>
      <c r="F327" s="1735">
        <v>860</v>
      </c>
      <c r="G327" s="1735">
        <v>2210</v>
      </c>
      <c r="I327" s="1685"/>
      <c r="J327" s="1686"/>
      <c r="K327" s="1686"/>
      <c r="L327" s="1686"/>
      <c r="M327" s="1686"/>
      <c r="N327" s="1686"/>
      <c r="O327" s="1686"/>
      <c r="P327" s="1686"/>
      <c r="Q327" s="1686"/>
      <c r="R327" s="1686"/>
      <c r="S327" s="1686"/>
      <c r="T327" s="1686"/>
      <c r="U327" s="1686"/>
    </row>
    <row r="328" spans="1:21" s="1683" customFormat="1" ht="14.25" customHeight="1">
      <c r="A328" s="1698" t="s">
        <v>309</v>
      </c>
      <c r="B328" s="1698" t="s">
        <v>1531</v>
      </c>
      <c r="C328" s="1698">
        <v>3330</v>
      </c>
      <c r="D328" s="1698">
        <v>3290</v>
      </c>
      <c r="E328" s="1698">
        <v>3610</v>
      </c>
      <c r="F328" s="1698">
        <v>850</v>
      </c>
      <c r="G328" s="1698">
        <v>1960</v>
      </c>
      <c r="H328" s="1734"/>
      <c r="I328" s="1685"/>
      <c r="J328" s="1686"/>
      <c r="K328" s="1686"/>
      <c r="L328" s="1686"/>
      <c r="M328" s="1686"/>
      <c r="N328" s="1686"/>
      <c r="O328" s="1686"/>
      <c r="P328" s="1686"/>
      <c r="Q328" s="1686"/>
      <c r="R328" s="1686"/>
      <c r="S328" s="1686"/>
      <c r="T328" s="1686"/>
      <c r="U328" s="1686"/>
    </row>
    <row r="329" spans="1:21" s="1683" customFormat="1" ht="14.25" customHeight="1">
      <c r="A329" s="1698" t="s">
        <v>309</v>
      </c>
      <c r="B329" s="1698" t="s">
        <v>1544</v>
      </c>
      <c r="C329" s="1698">
        <v>2730</v>
      </c>
      <c r="D329" s="1698">
        <v>2690</v>
      </c>
      <c r="E329" s="1698">
        <v>3100</v>
      </c>
      <c r="F329" s="1698">
        <v>660</v>
      </c>
      <c r="G329" s="1698">
        <v>1610</v>
      </c>
      <c r="H329" s="1734"/>
      <c r="I329" s="1685"/>
      <c r="J329" s="1686"/>
      <c r="K329" s="1686"/>
      <c r="L329" s="1686"/>
      <c r="M329" s="1686"/>
      <c r="N329" s="1686"/>
      <c r="O329" s="1686"/>
      <c r="P329" s="1686"/>
      <c r="Q329" s="1686"/>
      <c r="R329" s="1686"/>
      <c r="S329" s="1686"/>
      <c r="T329" s="1686"/>
      <c r="U329" s="1686"/>
    </row>
    <row r="330" spans="1:21" s="1683" customFormat="1" ht="14.25" customHeight="1">
      <c r="A330" s="1698" t="s">
        <v>309</v>
      </c>
      <c r="B330" s="1698" t="s">
        <v>1556</v>
      </c>
      <c r="C330" s="1698">
        <v>3270</v>
      </c>
      <c r="D330" s="1698">
        <v>3240</v>
      </c>
      <c r="E330" s="1698">
        <v>3560</v>
      </c>
      <c r="F330" s="1698">
        <v>680</v>
      </c>
      <c r="G330" s="1725">
        <v>1940</v>
      </c>
      <c r="H330" s="1734"/>
      <c r="I330" s="1685"/>
      <c r="J330" s="1686"/>
      <c r="K330" s="1686"/>
      <c r="L330" s="1686"/>
      <c r="M330" s="1686"/>
      <c r="N330" s="1686"/>
      <c r="O330" s="1686"/>
      <c r="P330" s="1686"/>
      <c r="Q330" s="1686"/>
      <c r="R330" s="1686"/>
      <c r="S330" s="1686"/>
      <c r="T330" s="1686"/>
      <c r="U330" s="1686"/>
    </row>
    <row r="331" spans="1:21" s="1683" customFormat="1" ht="14.25" customHeight="1">
      <c r="A331" s="1698" t="s">
        <v>309</v>
      </c>
      <c r="B331" s="1698" t="s">
        <v>1568</v>
      </c>
      <c r="C331" s="1698">
        <v>3770</v>
      </c>
      <c r="D331" s="1698">
        <v>3740</v>
      </c>
      <c r="E331" s="1698">
        <v>4110</v>
      </c>
      <c r="F331" s="1698">
        <v>730</v>
      </c>
      <c r="G331" s="1698">
        <v>2230</v>
      </c>
      <c r="H331" s="1734"/>
      <c r="I331" s="1685"/>
      <c r="J331" s="1686"/>
      <c r="K331" s="1686"/>
      <c r="L331" s="1686"/>
      <c r="M331" s="1686"/>
      <c r="N331" s="1686"/>
      <c r="O331" s="1686"/>
      <c r="P331" s="1686"/>
      <c r="Q331" s="1686"/>
      <c r="R331" s="1686"/>
      <c r="S331" s="1686"/>
      <c r="T331" s="1686"/>
      <c r="U331" s="1686"/>
    </row>
    <row r="332" spans="1:21" s="1683" customFormat="1" ht="14.25" customHeight="1">
      <c r="A332" s="1698" t="s">
        <v>309</v>
      </c>
      <c r="B332" s="1698" t="s">
        <v>1579</v>
      </c>
      <c r="C332" s="1698">
        <v>3520</v>
      </c>
      <c r="D332" s="1698">
        <v>3480</v>
      </c>
      <c r="E332" s="1698">
        <v>3830</v>
      </c>
      <c r="F332" s="1698">
        <v>720</v>
      </c>
      <c r="G332" s="1698">
        <v>2090</v>
      </c>
      <c r="H332" s="1734"/>
      <c r="I332" s="1685"/>
      <c r="J332" s="1686"/>
      <c r="K332" s="1686"/>
      <c r="L332" s="1686"/>
      <c r="M332" s="1686"/>
      <c r="N332" s="1686"/>
      <c r="O332" s="1686"/>
      <c r="P332" s="1686"/>
      <c r="Q332" s="1686"/>
      <c r="R332" s="1686"/>
      <c r="S332" s="1686"/>
      <c r="T332" s="1686"/>
      <c r="U332" s="1686"/>
    </row>
    <row r="333" spans="1:21" s="1683" customFormat="1" ht="14.25" customHeight="1">
      <c r="A333" s="1698" t="s">
        <v>309</v>
      </c>
      <c r="B333" s="1698" t="s">
        <v>1590</v>
      </c>
      <c r="C333" s="1698">
        <v>3840</v>
      </c>
      <c r="D333" s="1698">
        <v>3800</v>
      </c>
      <c r="E333" s="1698">
        <v>4200</v>
      </c>
      <c r="F333" s="1698">
        <v>760</v>
      </c>
      <c r="G333" s="1698">
        <v>2270</v>
      </c>
      <c r="H333" s="1734"/>
      <c r="I333" s="1685"/>
      <c r="J333" s="1686"/>
      <c r="K333" s="1686"/>
      <c r="L333" s="1686"/>
      <c r="M333" s="1686"/>
      <c r="N333" s="1686"/>
      <c r="O333" s="1686"/>
      <c r="P333" s="1686"/>
      <c r="Q333" s="1686"/>
      <c r="R333" s="1686"/>
      <c r="S333" s="1686"/>
      <c r="T333" s="1686"/>
      <c r="U333" s="1686"/>
    </row>
    <row r="334" spans="1:21" s="1683" customFormat="1" ht="14.25" customHeight="1">
      <c r="A334" s="1698" t="s">
        <v>309</v>
      </c>
      <c r="B334" s="1698" t="s">
        <v>1601</v>
      </c>
      <c r="C334" s="1698">
        <v>3960</v>
      </c>
      <c r="D334" s="1698">
        <v>3910</v>
      </c>
      <c r="E334" s="1698">
        <v>4340</v>
      </c>
      <c r="F334" s="1698">
        <v>780</v>
      </c>
      <c r="G334" s="1698">
        <v>2340</v>
      </c>
      <c r="H334" s="1734"/>
      <c r="I334" s="1685"/>
      <c r="J334" s="1686"/>
      <c r="K334" s="1686"/>
      <c r="L334" s="1686"/>
      <c r="M334" s="1686"/>
      <c r="N334" s="1686"/>
      <c r="O334" s="1686"/>
      <c r="P334" s="1686"/>
      <c r="Q334" s="1686"/>
      <c r="R334" s="1686"/>
      <c r="S334" s="1686"/>
      <c r="T334" s="1686"/>
      <c r="U334" s="1686"/>
    </row>
    <row r="335" spans="1:21" s="1683" customFormat="1" ht="14.25" customHeight="1">
      <c r="A335" s="1698" t="s">
        <v>309</v>
      </c>
      <c r="B335" s="1698" t="s">
        <v>1611</v>
      </c>
      <c r="C335" s="1698">
        <v>3710</v>
      </c>
      <c r="D335" s="1698">
        <v>3670</v>
      </c>
      <c r="E335" s="1698">
        <v>4030</v>
      </c>
      <c r="F335" s="1698">
        <v>750</v>
      </c>
      <c r="G335" s="1725">
        <v>2200</v>
      </c>
      <c r="H335" s="1734"/>
      <c r="I335" s="1685"/>
      <c r="J335" s="1686"/>
      <c r="K335" s="1686"/>
      <c r="L335" s="1686"/>
      <c r="M335" s="1686"/>
      <c r="N335" s="1686"/>
      <c r="O335" s="1686"/>
      <c r="P335" s="1686"/>
      <c r="Q335" s="1686"/>
      <c r="R335" s="1686"/>
      <c r="S335" s="1686"/>
      <c r="T335" s="1686"/>
      <c r="U335" s="1686"/>
    </row>
    <row r="336" spans="1:21" s="1683" customFormat="1" ht="14.25" customHeight="1">
      <c r="A336" s="1698" t="s">
        <v>309</v>
      </c>
      <c r="B336" s="1698" t="s">
        <v>1621</v>
      </c>
      <c r="C336" s="1698">
        <v>3570</v>
      </c>
      <c r="D336" s="1698">
        <v>3530</v>
      </c>
      <c r="E336" s="1698">
        <v>3880</v>
      </c>
      <c r="F336" s="1698">
        <v>770</v>
      </c>
      <c r="G336" s="1698">
        <v>2110</v>
      </c>
      <c r="H336" s="1734"/>
      <c r="I336" s="1685"/>
      <c r="J336" s="1686"/>
      <c r="K336" s="1686"/>
      <c r="L336" s="1686"/>
      <c r="M336" s="1686"/>
      <c r="N336" s="1686"/>
      <c r="O336" s="1686"/>
      <c r="P336" s="1686"/>
      <c r="Q336" s="1686"/>
      <c r="R336" s="1686"/>
      <c r="S336" s="1686"/>
      <c r="T336" s="1686"/>
      <c r="U336" s="1686"/>
    </row>
    <row r="337" spans="1:21" s="1683" customFormat="1" ht="14.25" customHeight="1">
      <c r="A337" s="1698" t="s">
        <v>309</v>
      </c>
      <c r="B337" s="1698" t="s">
        <v>1631</v>
      </c>
      <c r="C337" s="1698">
        <v>3780</v>
      </c>
      <c r="D337" s="1698">
        <v>3750</v>
      </c>
      <c r="E337" s="1698">
        <v>4130</v>
      </c>
      <c r="F337" s="1698">
        <v>750</v>
      </c>
      <c r="G337" s="1698">
        <v>2240</v>
      </c>
      <c r="H337" s="1734"/>
      <c r="I337" s="1685"/>
      <c r="J337" s="1686"/>
      <c r="K337" s="1686"/>
      <c r="L337" s="1686"/>
      <c r="M337" s="1686"/>
      <c r="N337" s="1686"/>
      <c r="O337" s="1686"/>
      <c r="P337" s="1686"/>
      <c r="Q337" s="1686"/>
      <c r="R337" s="1686"/>
      <c r="S337" s="1686"/>
      <c r="T337" s="1686"/>
      <c r="U337" s="1686"/>
    </row>
    <row r="338" spans="1:21" s="1683" customFormat="1" ht="14.25" customHeight="1">
      <c r="A338" s="1698" t="s">
        <v>309</v>
      </c>
      <c r="B338" s="1698" t="s">
        <v>1641</v>
      </c>
      <c r="C338" s="1698">
        <v>3600</v>
      </c>
      <c r="D338" s="1698">
        <v>3570</v>
      </c>
      <c r="E338" s="1698">
        <v>3920</v>
      </c>
      <c r="F338" s="1698">
        <v>790</v>
      </c>
      <c r="G338" s="1725">
        <v>2140</v>
      </c>
      <c r="H338" s="1734"/>
      <c r="I338" s="1685"/>
      <c r="J338" s="1686"/>
      <c r="K338" s="1686"/>
      <c r="L338" s="1686"/>
      <c r="M338" s="1686"/>
      <c r="N338" s="1686"/>
      <c r="O338" s="1686"/>
      <c r="P338" s="1686"/>
      <c r="Q338" s="1686"/>
      <c r="R338" s="1686"/>
      <c r="S338" s="1686"/>
      <c r="T338" s="1686"/>
      <c r="U338" s="1686"/>
    </row>
    <row r="339" spans="1:21" s="1683" customFormat="1" ht="14.25" customHeight="1">
      <c r="A339" s="1698" t="s">
        <v>309</v>
      </c>
      <c r="B339" s="1698" t="s">
        <v>1651</v>
      </c>
      <c r="C339" s="1698">
        <v>3540</v>
      </c>
      <c r="D339" s="1698">
        <v>3500</v>
      </c>
      <c r="E339" s="1698">
        <v>3850</v>
      </c>
      <c r="F339" s="1698">
        <v>780</v>
      </c>
      <c r="G339" s="1725">
        <v>2100</v>
      </c>
      <c r="H339" s="1734"/>
      <c r="I339" s="1685"/>
      <c r="J339" s="1686"/>
      <c r="K339" s="1686"/>
      <c r="L339" s="1686"/>
      <c r="M339" s="1686"/>
      <c r="N339" s="1686"/>
      <c r="O339" s="1686"/>
      <c r="P339" s="1686"/>
      <c r="Q339" s="1686"/>
      <c r="R339" s="1686"/>
      <c r="S339" s="1686"/>
      <c r="T339" s="1686"/>
      <c r="U339" s="1686"/>
    </row>
    <row r="340" spans="1:21" s="1683" customFormat="1" ht="14.25" customHeight="1">
      <c r="A340" s="1698" t="s">
        <v>309</v>
      </c>
      <c r="B340" s="1698" t="s">
        <v>1661</v>
      </c>
      <c r="C340" s="1698">
        <v>3850</v>
      </c>
      <c r="D340" s="1698">
        <v>3810</v>
      </c>
      <c r="E340" s="1698">
        <v>4210</v>
      </c>
      <c r="F340" s="1698">
        <v>750</v>
      </c>
      <c r="G340" s="1725">
        <v>2280</v>
      </c>
      <c r="H340" s="1734"/>
      <c r="I340" s="1685"/>
      <c r="J340" s="1686"/>
      <c r="K340" s="1686"/>
      <c r="L340" s="1686"/>
      <c r="M340" s="1686"/>
      <c r="N340" s="1686"/>
      <c r="O340" s="1686"/>
      <c r="P340" s="1686"/>
      <c r="Q340" s="1686"/>
      <c r="R340" s="1686"/>
      <c r="S340" s="1686"/>
      <c r="T340" s="1686"/>
      <c r="U340" s="1686"/>
    </row>
    <row r="341" spans="1:21" s="1683" customFormat="1" ht="14.25" customHeight="1">
      <c r="A341" s="1698" t="s">
        <v>309</v>
      </c>
      <c r="B341" s="1698" t="s">
        <v>1671</v>
      </c>
      <c r="C341" s="1698">
        <v>3780</v>
      </c>
      <c r="D341" s="1698">
        <v>3750</v>
      </c>
      <c r="E341" s="1698">
        <v>4140</v>
      </c>
      <c r="F341" s="1698">
        <v>720</v>
      </c>
      <c r="G341" s="1698">
        <v>2240</v>
      </c>
      <c r="H341" s="1734"/>
      <c r="I341" s="1685"/>
      <c r="J341" s="1686"/>
      <c r="K341" s="1686"/>
      <c r="L341" s="1686"/>
      <c r="M341" s="1686"/>
      <c r="N341" s="1686"/>
      <c r="O341" s="1686"/>
      <c r="P341" s="1686"/>
      <c r="Q341" s="1686"/>
      <c r="R341" s="1686"/>
      <c r="S341" s="1686"/>
      <c r="T341" s="1686"/>
      <c r="U341" s="1686"/>
    </row>
    <row r="342" spans="1:21" s="1683" customFormat="1" ht="14.25" customHeight="1">
      <c r="A342" s="1698" t="s">
        <v>309</v>
      </c>
      <c r="B342" s="1698" t="s">
        <v>1681</v>
      </c>
      <c r="C342" s="1698">
        <v>3670</v>
      </c>
      <c r="D342" s="1698">
        <v>3620</v>
      </c>
      <c r="E342" s="1698">
        <v>3990</v>
      </c>
      <c r="F342" s="1698">
        <v>760</v>
      </c>
      <c r="G342" s="1698">
        <v>2170</v>
      </c>
      <c r="H342" s="1734"/>
      <c r="I342" s="1685"/>
      <c r="J342" s="1686"/>
      <c r="K342" s="1686"/>
      <c r="L342" s="1686"/>
      <c r="M342" s="1686"/>
      <c r="N342" s="1686"/>
      <c r="O342" s="1686"/>
      <c r="P342" s="1686"/>
      <c r="Q342" s="1686"/>
      <c r="R342" s="1686"/>
      <c r="S342" s="1686"/>
      <c r="T342" s="1686"/>
      <c r="U342" s="1686"/>
    </row>
    <row r="343" spans="1:21" s="1683" customFormat="1" ht="14.25" customHeight="1">
      <c r="A343" s="1698" t="s">
        <v>309</v>
      </c>
      <c r="B343" s="1698" t="s">
        <v>1691</v>
      </c>
      <c r="C343" s="1698">
        <v>3760</v>
      </c>
      <c r="D343" s="1698">
        <v>3720</v>
      </c>
      <c r="E343" s="1698">
        <v>4090</v>
      </c>
      <c r="F343" s="1698">
        <v>780</v>
      </c>
      <c r="G343" s="1698">
        <v>2220</v>
      </c>
      <c r="H343" s="1734"/>
      <c r="I343" s="1685"/>
      <c r="J343" s="1686"/>
      <c r="K343" s="1686"/>
      <c r="L343" s="1686"/>
      <c r="M343" s="1686"/>
      <c r="N343" s="1686"/>
      <c r="O343" s="1686"/>
      <c r="P343" s="1686"/>
      <c r="Q343" s="1686"/>
      <c r="R343" s="1686"/>
      <c r="S343" s="1686"/>
      <c r="T343" s="1686"/>
      <c r="U343" s="1686"/>
    </row>
    <row r="344" spans="1:21" s="1683" customFormat="1" ht="14.25" customHeight="1">
      <c r="A344" s="1698" t="s">
        <v>309</v>
      </c>
      <c r="B344" s="1698" t="s">
        <v>1701</v>
      </c>
      <c r="C344" s="1698">
        <v>3680</v>
      </c>
      <c r="D344" s="1698">
        <v>3640</v>
      </c>
      <c r="E344" s="1698">
        <v>4010</v>
      </c>
      <c r="F344" s="1698">
        <v>750</v>
      </c>
      <c r="G344" s="1698">
        <v>2180</v>
      </c>
      <c r="H344" s="1734"/>
      <c r="I344" s="1685"/>
      <c r="J344" s="1686"/>
      <c r="K344" s="1686"/>
      <c r="L344" s="1686"/>
      <c r="M344" s="1686"/>
      <c r="N344" s="1686"/>
      <c r="O344" s="1686"/>
      <c r="P344" s="1686"/>
      <c r="Q344" s="1686"/>
      <c r="R344" s="1686"/>
      <c r="S344" s="1686"/>
      <c r="T344" s="1686"/>
      <c r="U344" s="1686"/>
    </row>
    <row r="345" spans="1:21">
      <c r="A345" s="1725" t="s">
        <v>309</v>
      </c>
      <c r="B345" s="1725" t="s">
        <v>1711</v>
      </c>
      <c r="C345" s="1725">
        <v>3190</v>
      </c>
      <c r="D345" s="1725">
        <v>3140</v>
      </c>
      <c r="E345" s="1725">
        <v>3450</v>
      </c>
      <c r="F345" s="1725">
        <v>720</v>
      </c>
      <c r="G345" s="1725">
        <v>1880</v>
      </c>
      <c r="H345" s="1734"/>
    </row>
    <row r="346" spans="1:21">
      <c r="A346" s="1725" t="s">
        <v>309</v>
      </c>
      <c r="B346" s="1725" t="s">
        <v>1721</v>
      </c>
      <c r="C346" s="1725">
        <v>3630</v>
      </c>
      <c r="D346" s="1725">
        <v>3590</v>
      </c>
      <c r="E346" s="1725">
        <v>3940</v>
      </c>
      <c r="F346" s="1725">
        <v>730</v>
      </c>
      <c r="G346" s="1725">
        <v>2150</v>
      </c>
      <c r="H346" s="1734"/>
    </row>
    <row r="347" spans="1:21">
      <c r="A347" s="1725" t="s">
        <v>309</v>
      </c>
      <c r="B347" s="1725" t="s">
        <v>1730</v>
      </c>
      <c r="C347" s="1725">
        <v>3860</v>
      </c>
      <c r="D347" s="1725">
        <v>3820</v>
      </c>
      <c r="E347" s="1725">
        <v>4220</v>
      </c>
      <c r="F347" s="1725">
        <v>750</v>
      </c>
      <c r="G347" s="1725">
        <v>2280</v>
      </c>
      <c r="H347" s="1734"/>
    </row>
    <row r="348" spans="1:21">
      <c r="A348" s="1725" t="s">
        <v>309</v>
      </c>
      <c r="B348" s="1725" t="s">
        <v>1738</v>
      </c>
      <c r="C348" s="1725">
        <v>4000</v>
      </c>
      <c r="D348" s="1725">
        <v>3950</v>
      </c>
      <c r="E348" s="1725">
        <v>4430</v>
      </c>
      <c r="F348" s="1725">
        <v>760</v>
      </c>
      <c r="G348" s="1725">
        <v>2360</v>
      </c>
      <c r="H348" s="1734"/>
    </row>
    <row r="349" spans="1:21">
      <c r="A349" s="1725" t="s">
        <v>309</v>
      </c>
      <c r="B349" s="1725" t="s">
        <v>1746</v>
      </c>
      <c r="C349" s="1725">
        <v>3820</v>
      </c>
      <c r="D349" s="1725">
        <v>3780</v>
      </c>
      <c r="E349" s="1725">
        <v>4170</v>
      </c>
      <c r="F349" s="1725">
        <v>710</v>
      </c>
      <c r="G349" s="1725">
        <v>2260</v>
      </c>
      <c r="H349" s="1734"/>
    </row>
    <row r="350" spans="1:21">
      <c r="A350" s="1725" t="s">
        <v>309</v>
      </c>
      <c r="B350" s="1725" t="s">
        <v>1754</v>
      </c>
      <c r="C350" s="1725">
        <v>3760</v>
      </c>
      <c r="D350" s="1725">
        <v>3730</v>
      </c>
      <c r="E350" s="1725">
        <v>4100</v>
      </c>
      <c r="F350" s="1725">
        <v>800</v>
      </c>
      <c r="G350" s="1725">
        <v>2230</v>
      </c>
      <c r="H350" s="1734"/>
    </row>
    <row r="351" spans="1:21">
      <c r="A351" s="1725" t="s">
        <v>309</v>
      </c>
      <c r="B351" s="1725" t="s">
        <v>479</v>
      </c>
      <c r="C351" s="1725">
        <v>3610</v>
      </c>
      <c r="D351" s="1725">
        <v>3580</v>
      </c>
      <c r="E351" s="1725">
        <v>3930</v>
      </c>
      <c r="F351" s="1725">
        <v>700</v>
      </c>
      <c r="G351" s="1725">
        <v>2140</v>
      </c>
      <c r="H351" s="1734"/>
    </row>
    <row r="352" spans="1:21">
      <c r="A352" s="1725" t="s">
        <v>309</v>
      </c>
      <c r="B352" s="1725" t="s">
        <v>1768</v>
      </c>
      <c r="C352" s="1725">
        <v>3670</v>
      </c>
      <c r="D352" s="1725">
        <v>3630</v>
      </c>
      <c r="E352" s="1725">
        <v>4000</v>
      </c>
      <c r="F352" s="1725">
        <v>750</v>
      </c>
      <c r="G352" s="1725">
        <v>2180</v>
      </c>
      <c r="H352" s="1734"/>
    </row>
    <row r="353" spans="1:8">
      <c r="A353" s="1725" t="s">
        <v>309</v>
      </c>
      <c r="B353" s="1725" t="s">
        <v>1775</v>
      </c>
      <c r="C353" s="1725">
        <v>3190</v>
      </c>
      <c r="D353" s="1725">
        <v>3150</v>
      </c>
      <c r="E353" s="1725">
        <v>3640</v>
      </c>
      <c r="F353" s="1725">
        <v>630</v>
      </c>
      <c r="G353" s="1725">
        <v>1890</v>
      </c>
      <c r="H353" s="1734"/>
    </row>
    <row r="354" spans="1:8">
      <c r="A354" s="1725" t="s">
        <v>309</v>
      </c>
      <c r="B354" s="1725" t="s">
        <v>1782</v>
      </c>
      <c r="C354" s="1725">
        <v>3450</v>
      </c>
      <c r="D354" s="1725">
        <v>3420</v>
      </c>
      <c r="E354" s="1725">
        <v>3960</v>
      </c>
      <c r="F354" s="1725">
        <v>660</v>
      </c>
      <c r="G354" s="1725">
        <v>2050</v>
      </c>
      <c r="H354" s="1734"/>
    </row>
    <row r="355" spans="1:8">
      <c r="A355" s="1725" t="s">
        <v>309</v>
      </c>
      <c r="B355" s="1725" t="s">
        <v>1789</v>
      </c>
      <c r="C355" s="1725">
        <v>3650</v>
      </c>
      <c r="D355" s="1725">
        <v>3610</v>
      </c>
      <c r="E355" s="1725">
        <v>4200</v>
      </c>
      <c r="F355" s="1725">
        <v>640</v>
      </c>
      <c r="G355" s="1725">
        <v>2160</v>
      </c>
      <c r="H355" s="1734"/>
    </row>
    <row r="356" spans="1:8">
      <c r="A356" s="1725" t="s">
        <v>309</v>
      </c>
      <c r="B356" s="1725" t="s">
        <v>1796</v>
      </c>
      <c r="C356" s="1725">
        <v>3260</v>
      </c>
      <c r="D356" s="1725">
        <v>3230</v>
      </c>
      <c r="E356" s="1725">
        <v>3740</v>
      </c>
      <c r="F356" s="1725">
        <v>600</v>
      </c>
      <c r="G356" s="1725">
        <v>1930</v>
      </c>
      <c r="H356" s="1734"/>
    </row>
    <row r="357" spans="1:8">
      <c r="A357" s="1736" t="s">
        <v>309</v>
      </c>
      <c r="B357" s="1736" t="s">
        <v>1803</v>
      </c>
      <c r="C357" s="1736">
        <v>3690</v>
      </c>
      <c r="D357" s="1736">
        <v>3650</v>
      </c>
      <c r="E357" s="1736">
        <v>4020</v>
      </c>
      <c r="F357" s="1736">
        <v>700</v>
      </c>
      <c r="G357" s="1736">
        <v>2190</v>
      </c>
      <c r="H357" s="1734"/>
    </row>
    <row r="358" spans="1:8">
      <c r="A358" s="1737" t="s">
        <v>313</v>
      </c>
      <c r="B358" s="1738" t="s">
        <v>1519</v>
      </c>
      <c r="C358" s="1738">
        <v>2080</v>
      </c>
      <c r="D358" s="1738">
        <v>2040</v>
      </c>
      <c r="E358" s="1738">
        <v>2010</v>
      </c>
      <c r="F358" s="1738">
        <v>530</v>
      </c>
      <c r="G358" s="1739">
        <v>1230</v>
      </c>
      <c r="H358" s="1734"/>
    </row>
    <row r="359" spans="1:8">
      <c r="A359" s="1740" t="s">
        <v>313</v>
      </c>
      <c r="B359" s="1725" t="s">
        <v>1532</v>
      </c>
      <c r="C359" s="1725">
        <v>1850</v>
      </c>
      <c r="D359" s="1725">
        <v>1820</v>
      </c>
      <c r="E359" s="1725">
        <v>1780</v>
      </c>
      <c r="F359" s="1725">
        <v>520</v>
      </c>
      <c r="G359" s="1741">
        <v>1100</v>
      </c>
      <c r="H359" s="1734"/>
    </row>
    <row r="360" spans="1:8">
      <c r="A360" s="1740" t="s">
        <v>313</v>
      </c>
      <c r="B360" s="1725" t="s">
        <v>1545</v>
      </c>
      <c r="C360" s="1725">
        <v>2020</v>
      </c>
      <c r="D360" s="1725">
        <v>1990</v>
      </c>
      <c r="E360" s="1725">
        <v>1950</v>
      </c>
      <c r="F360" s="1725">
        <v>500</v>
      </c>
      <c r="G360" s="1741">
        <v>1200</v>
      </c>
      <c r="H360" s="1734"/>
    </row>
    <row r="361" spans="1:8">
      <c r="A361" s="1740" t="s">
        <v>313</v>
      </c>
      <c r="B361" s="1725" t="s">
        <v>1557</v>
      </c>
      <c r="C361" s="1725">
        <v>2260</v>
      </c>
      <c r="D361" s="1725">
        <v>2220</v>
      </c>
      <c r="E361" s="1725">
        <v>2180</v>
      </c>
      <c r="F361" s="1725">
        <v>580</v>
      </c>
      <c r="G361" s="1741">
        <v>1340</v>
      </c>
      <c r="H361" s="1734"/>
    </row>
    <row r="362" spans="1:8">
      <c r="A362" s="1740" t="s">
        <v>313</v>
      </c>
      <c r="B362" s="1725" t="s">
        <v>1569</v>
      </c>
      <c r="C362" s="1725">
        <v>2650</v>
      </c>
      <c r="D362" s="1725">
        <v>2610</v>
      </c>
      <c r="E362" s="1725">
        <v>2570</v>
      </c>
      <c r="F362" s="1725">
        <v>630</v>
      </c>
      <c r="G362" s="1741">
        <v>1570</v>
      </c>
      <c r="H362" s="1734"/>
    </row>
    <row r="363" spans="1:8">
      <c r="A363" s="1740" t="s">
        <v>313</v>
      </c>
      <c r="B363" s="1725" t="s">
        <v>1580</v>
      </c>
      <c r="C363" s="1725">
        <v>2390</v>
      </c>
      <c r="D363" s="1725">
        <v>2360</v>
      </c>
      <c r="E363" s="1725">
        <v>2320</v>
      </c>
      <c r="F363" s="1725">
        <v>600</v>
      </c>
      <c r="G363" s="1741">
        <v>1420</v>
      </c>
      <c r="H363" s="1734"/>
    </row>
    <row r="364" spans="1:8">
      <c r="A364" s="1740" t="s">
        <v>313</v>
      </c>
      <c r="B364" s="1725" t="s">
        <v>1591</v>
      </c>
      <c r="C364" s="1725">
        <v>2050</v>
      </c>
      <c r="D364" s="1725">
        <v>2030</v>
      </c>
      <c r="E364" s="1725">
        <v>1990</v>
      </c>
      <c r="F364" s="1725">
        <v>550</v>
      </c>
      <c r="G364" s="1741">
        <v>1220</v>
      </c>
      <c r="H364" s="1734"/>
    </row>
    <row r="365" spans="1:8">
      <c r="A365" s="1740" t="s">
        <v>313</v>
      </c>
      <c r="B365" s="1725" t="s">
        <v>1602</v>
      </c>
      <c r="C365" s="1725">
        <v>2140</v>
      </c>
      <c r="D365" s="1725">
        <v>2100</v>
      </c>
      <c r="E365" s="1725">
        <v>2060</v>
      </c>
      <c r="F365" s="1725">
        <v>540</v>
      </c>
      <c r="G365" s="1741">
        <v>1270</v>
      </c>
      <c r="H365" s="1734"/>
    </row>
    <row r="366" spans="1:8">
      <c r="A366" s="1740" t="s">
        <v>313</v>
      </c>
      <c r="B366" s="1725" t="s">
        <v>1612</v>
      </c>
      <c r="C366" s="1725">
        <v>2410</v>
      </c>
      <c r="D366" s="1725">
        <v>2370</v>
      </c>
      <c r="E366" s="1725">
        <v>2330</v>
      </c>
      <c r="F366" s="1725">
        <v>570</v>
      </c>
      <c r="G366" s="1741">
        <v>1440</v>
      </c>
      <c r="H366" s="1734"/>
    </row>
    <row r="367" spans="1:8">
      <c r="A367" s="1740" t="s">
        <v>313</v>
      </c>
      <c r="B367" s="1725" t="s">
        <v>1622</v>
      </c>
      <c r="C367" s="1725">
        <v>2300</v>
      </c>
      <c r="D367" s="1725">
        <v>2260</v>
      </c>
      <c r="E367" s="1725">
        <v>2220</v>
      </c>
      <c r="F367" s="1725">
        <v>560</v>
      </c>
      <c r="G367" s="1741">
        <v>1370</v>
      </c>
      <c r="H367" s="1734"/>
    </row>
    <row r="368" spans="1:8">
      <c r="A368" s="1740" t="s">
        <v>313</v>
      </c>
      <c r="B368" s="1725" t="s">
        <v>1632</v>
      </c>
      <c r="C368" s="1725">
        <v>2430</v>
      </c>
      <c r="D368" s="1725">
        <v>2390</v>
      </c>
      <c r="E368" s="1725">
        <v>2350</v>
      </c>
      <c r="F368" s="1725">
        <v>570</v>
      </c>
      <c r="G368" s="1741">
        <v>1450</v>
      </c>
      <c r="H368" s="1734"/>
    </row>
    <row r="369" spans="1:8">
      <c r="A369" s="1740" t="s">
        <v>313</v>
      </c>
      <c r="B369" s="1725" t="s">
        <v>1642</v>
      </c>
      <c r="C369" s="1725">
        <v>2320</v>
      </c>
      <c r="D369" s="1725">
        <v>2290</v>
      </c>
      <c r="E369" s="1725">
        <v>2250</v>
      </c>
      <c r="F369" s="1725">
        <v>550</v>
      </c>
      <c r="G369" s="1741">
        <v>1380</v>
      </c>
      <c r="H369" s="1734"/>
    </row>
    <row r="370" spans="1:8">
      <c r="A370" s="1740" t="s">
        <v>313</v>
      </c>
      <c r="B370" s="1725" t="s">
        <v>1652</v>
      </c>
      <c r="C370" s="1725">
        <v>2190</v>
      </c>
      <c r="D370" s="1725">
        <v>2170</v>
      </c>
      <c r="E370" s="1725">
        <v>2130</v>
      </c>
      <c r="F370" s="1725">
        <v>530</v>
      </c>
      <c r="G370" s="1741">
        <v>1310</v>
      </c>
      <c r="H370" s="1734"/>
    </row>
    <row r="371" spans="1:8">
      <c r="A371" s="1740" t="s">
        <v>313</v>
      </c>
      <c r="B371" s="1725" t="s">
        <v>1662</v>
      </c>
      <c r="C371" s="1725">
        <v>2460</v>
      </c>
      <c r="D371" s="1725">
        <v>2420</v>
      </c>
      <c r="E371" s="1725">
        <v>2370</v>
      </c>
      <c r="F371" s="1725">
        <v>560</v>
      </c>
      <c r="G371" s="1741">
        <v>1470</v>
      </c>
      <c r="H371" s="1734"/>
    </row>
    <row r="372" spans="1:8">
      <c r="A372" s="1740" t="s">
        <v>313</v>
      </c>
      <c r="B372" s="1725" t="s">
        <v>1672</v>
      </c>
      <c r="C372" s="1725">
        <v>2250</v>
      </c>
      <c r="D372" s="1725">
        <v>2210</v>
      </c>
      <c r="E372" s="1725">
        <v>2180</v>
      </c>
      <c r="F372" s="1725">
        <v>550</v>
      </c>
      <c r="G372" s="1741">
        <v>1340</v>
      </c>
      <c r="H372" s="1734"/>
    </row>
    <row r="373" spans="1:8">
      <c r="A373" s="1740" t="s">
        <v>313</v>
      </c>
      <c r="B373" s="1725" t="s">
        <v>1682</v>
      </c>
      <c r="C373" s="1725">
        <v>2210</v>
      </c>
      <c r="D373" s="1725">
        <v>2190</v>
      </c>
      <c r="E373" s="1725">
        <v>2150</v>
      </c>
      <c r="F373" s="1725">
        <v>530</v>
      </c>
      <c r="G373" s="1741">
        <v>1320</v>
      </c>
      <c r="H373" s="1734"/>
    </row>
    <row r="374" spans="1:8">
      <c r="A374" s="1740" t="s">
        <v>313</v>
      </c>
      <c r="B374" s="1725" t="s">
        <v>1692</v>
      </c>
      <c r="C374" s="1725">
        <v>2320</v>
      </c>
      <c r="D374" s="1725">
        <v>2280</v>
      </c>
      <c r="E374" s="1725">
        <v>2230</v>
      </c>
      <c r="F374" s="1725">
        <v>580</v>
      </c>
      <c r="G374" s="1741">
        <v>1380</v>
      </c>
      <c r="H374" s="1734"/>
    </row>
    <row r="375" spans="1:8">
      <c r="A375" s="1740" t="s">
        <v>313</v>
      </c>
      <c r="B375" s="1725" t="s">
        <v>1702</v>
      </c>
      <c r="C375" s="1725">
        <v>2090</v>
      </c>
      <c r="D375" s="1725">
        <v>2050</v>
      </c>
      <c r="E375" s="1725">
        <v>2020</v>
      </c>
      <c r="F375" s="1725">
        <v>520</v>
      </c>
      <c r="G375" s="1741">
        <v>1240</v>
      </c>
      <c r="H375" s="1734"/>
    </row>
    <row r="376" spans="1:8">
      <c r="A376" s="1740" t="s">
        <v>313</v>
      </c>
      <c r="B376" s="1725" t="s">
        <v>1712</v>
      </c>
      <c r="C376" s="1725">
        <v>2010</v>
      </c>
      <c r="D376" s="1725">
        <v>1980</v>
      </c>
      <c r="E376" s="1725">
        <v>1940</v>
      </c>
      <c r="F376" s="1725">
        <v>540</v>
      </c>
      <c r="G376" s="1741">
        <v>1190</v>
      </c>
      <c r="H376" s="1734"/>
    </row>
    <row r="377" spans="1:8">
      <c r="A377" s="1742" t="s">
        <v>313</v>
      </c>
      <c r="B377" s="1736" t="s">
        <v>1722</v>
      </c>
      <c r="C377" s="1736">
        <v>1930</v>
      </c>
      <c r="D377" s="1736">
        <v>1890</v>
      </c>
      <c r="E377" s="1736">
        <v>1860</v>
      </c>
      <c r="F377" s="1736">
        <v>530</v>
      </c>
      <c r="G377" s="1743">
        <v>1150</v>
      </c>
      <c r="H377" s="1734"/>
    </row>
    <row r="378" spans="1:8">
      <c r="A378" s="1737" t="s">
        <v>317</v>
      </c>
      <c r="B378" s="1738" t="s">
        <v>1520</v>
      </c>
      <c r="C378" s="1738">
        <v>1520</v>
      </c>
      <c r="D378" s="1738">
        <v>1490</v>
      </c>
      <c r="E378" s="1738">
        <v>1460</v>
      </c>
      <c r="F378" s="1738">
        <v>460</v>
      </c>
      <c r="G378" s="1739">
        <v>940</v>
      </c>
      <c r="H378" s="1734"/>
    </row>
    <row r="379" spans="1:8">
      <c r="A379" s="1740" t="s">
        <v>317</v>
      </c>
      <c r="B379" s="1725" t="s">
        <v>1533</v>
      </c>
      <c r="C379" s="1725">
        <v>1500</v>
      </c>
      <c r="D379" s="1725">
        <v>1470</v>
      </c>
      <c r="E379" s="1725">
        <v>1430</v>
      </c>
      <c r="F379" s="1725">
        <v>460</v>
      </c>
      <c r="G379" s="1741">
        <v>920</v>
      </c>
      <c r="H379" s="1734"/>
    </row>
    <row r="380" spans="1:8">
      <c r="A380" s="1740" t="s">
        <v>317</v>
      </c>
      <c r="B380" s="1725" t="s">
        <v>1546</v>
      </c>
      <c r="C380" s="1725">
        <v>1620</v>
      </c>
      <c r="D380" s="1725">
        <v>1590</v>
      </c>
      <c r="E380" s="1725">
        <v>1560</v>
      </c>
      <c r="F380" s="1725">
        <v>480</v>
      </c>
      <c r="G380" s="1741">
        <v>1000</v>
      </c>
      <c r="H380" s="1734"/>
    </row>
    <row r="381" spans="1:8">
      <c r="A381" s="1740" t="s">
        <v>317</v>
      </c>
      <c r="B381" s="1725" t="s">
        <v>1558</v>
      </c>
      <c r="C381" s="1725">
        <v>1460</v>
      </c>
      <c r="D381" s="1725">
        <v>1430</v>
      </c>
      <c r="E381" s="1725">
        <v>1390</v>
      </c>
      <c r="F381" s="1725">
        <v>450</v>
      </c>
      <c r="G381" s="1741">
        <v>900</v>
      </c>
      <c r="H381" s="1734"/>
    </row>
    <row r="382" spans="1:8">
      <c r="A382" s="1740" t="s">
        <v>317</v>
      </c>
      <c r="B382" s="1725" t="s">
        <v>1570</v>
      </c>
      <c r="C382" s="1725">
        <v>1310</v>
      </c>
      <c r="D382" s="1725">
        <v>1280</v>
      </c>
      <c r="E382" s="1725">
        <v>1250</v>
      </c>
      <c r="F382" s="1725">
        <v>440</v>
      </c>
      <c r="G382" s="1741">
        <v>800</v>
      </c>
      <c r="H382" s="1734"/>
    </row>
    <row r="383" spans="1:8">
      <c r="A383" s="1740" t="s">
        <v>317</v>
      </c>
      <c r="B383" s="1725" t="s">
        <v>1581</v>
      </c>
      <c r="C383" s="1725">
        <v>1260</v>
      </c>
      <c r="D383" s="1725">
        <v>1230</v>
      </c>
      <c r="E383" s="1725">
        <v>1200</v>
      </c>
      <c r="F383" s="1725">
        <v>420</v>
      </c>
      <c r="G383" s="1741">
        <v>770</v>
      </c>
      <c r="H383" s="1734"/>
    </row>
    <row r="384" spans="1:8">
      <c r="A384" s="1744" t="s">
        <v>317</v>
      </c>
      <c r="B384" s="1745" t="s">
        <v>1592</v>
      </c>
      <c r="C384" s="1745">
        <v>1170</v>
      </c>
      <c r="D384" s="1745">
        <v>1140</v>
      </c>
      <c r="E384" s="1745">
        <v>1120</v>
      </c>
      <c r="F384" s="1745">
        <v>400</v>
      </c>
      <c r="G384" s="1733">
        <v>710</v>
      </c>
      <c r="H384" s="1734"/>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9" t="s">
        <v>1890</v>
      </c>
      <c r="B1" s="3929"/>
      <c r="C1" s="3929"/>
      <c r="D1" s="3929"/>
      <c r="E1" s="3929"/>
      <c r="F1" s="3930"/>
    </row>
    <row r="2" spans="1:6">
      <c r="A2" s="1675" t="s">
        <v>1891</v>
      </c>
      <c r="B2" s="1676"/>
      <c r="C2" s="1676"/>
      <c r="D2" s="1676"/>
      <c r="E2" s="1676"/>
      <c r="F2" s="1676"/>
    </row>
    <row r="3" spans="1:6">
      <c r="A3" s="1675" t="s">
        <v>1892</v>
      </c>
      <c r="B3" s="1676"/>
      <c r="C3" s="1676"/>
      <c r="D3" s="1676"/>
      <c r="E3" s="1676"/>
      <c r="F3" s="1677" t="s">
        <v>1893</v>
      </c>
    </row>
    <row r="4" spans="1:6">
      <c r="A4" s="1678" t="s">
        <v>352</v>
      </c>
      <c r="B4" s="1678" t="s">
        <v>435</v>
      </c>
      <c r="C4" s="1678" t="s">
        <v>436</v>
      </c>
      <c r="D4" s="1678" t="s">
        <v>1894</v>
      </c>
      <c r="E4" s="1678" t="s">
        <v>164</v>
      </c>
      <c r="F4" s="1678" t="s">
        <v>297</v>
      </c>
    </row>
    <row r="5" spans="1:6">
      <c r="A5" s="1679" t="s">
        <v>215</v>
      </c>
      <c r="B5" s="1678"/>
      <c r="C5" s="1678"/>
      <c r="D5" s="1678"/>
      <c r="E5" s="1678"/>
      <c r="F5" s="1680"/>
    </row>
    <row r="6" spans="1:6">
      <c r="A6" s="1679" t="s">
        <v>238</v>
      </c>
      <c r="B6" s="1681">
        <v>35380</v>
      </c>
      <c r="C6" s="1681">
        <v>35180</v>
      </c>
      <c r="D6" s="1681">
        <v>35030</v>
      </c>
      <c r="E6" s="1681">
        <v>13780</v>
      </c>
      <c r="F6" s="1681">
        <v>25980</v>
      </c>
    </row>
    <row r="7" spans="1:6">
      <c r="A7" s="1679" t="s">
        <v>251</v>
      </c>
      <c r="B7" s="1681">
        <v>29960</v>
      </c>
      <c r="C7" s="1681">
        <v>29800</v>
      </c>
      <c r="D7" s="1681">
        <v>29690</v>
      </c>
      <c r="E7" s="1681">
        <v>10100</v>
      </c>
      <c r="F7" s="1681">
        <v>21690</v>
      </c>
    </row>
    <row r="8" spans="1:6">
      <c r="A8" s="1679" t="s">
        <v>263</v>
      </c>
      <c r="B8" s="1681">
        <v>24480</v>
      </c>
      <c r="C8" s="1681">
        <v>24380</v>
      </c>
      <c r="D8" s="1681">
        <v>25590</v>
      </c>
      <c r="E8" s="1681">
        <v>7010</v>
      </c>
      <c r="F8" s="1681">
        <v>17060</v>
      </c>
    </row>
    <row r="9" spans="1:6">
      <c r="A9" s="1679" t="s">
        <v>273</v>
      </c>
      <c r="B9" s="1681">
        <v>19370</v>
      </c>
      <c r="C9" s="1681">
        <v>19290</v>
      </c>
      <c r="D9" s="1681">
        <v>21280</v>
      </c>
      <c r="E9" s="1681">
        <v>4910</v>
      </c>
      <c r="F9" s="1681">
        <v>13090</v>
      </c>
    </row>
    <row r="10" spans="1:6">
      <c r="A10" s="1679" t="s">
        <v>282</v>
      </c>
      <c r="B10" s="1681">
        <v>15050</v>
      </c>
      <c r="C10" s="1681">
        <v>14980</v>
      </c>
      <c r="D10" s="1681">
        <v>17300</v>
      </c>
      <c r="E10" s="1681">
        <v>3450</v>
      </c>
      <c r="F10" s="1681">
        <v>9900</v>
      </c>
    </row>
    <row r="11" spans="1:6">
      <c r="A11" s="1679" t="s">
        <v>290</v>
      </c>
      <c r="B11" s="1681">
        <v>11550</v>
      </c>
      <c r="C11" s="1681">
        <v>11490</v>
      </c>
      <c r="D11" s="1681">
        <v>13850</v>
      </c>
      <c r="E11" s="1681">
        <v>2400</v>
      </c>
      <c r="F11" s="1681">
        <v>7390</v>
      </c>
    </row>
    <row r="12" spans="1:6">
      <c r="A12" s="1679" t="s">
        <v>295</v>
      </c>
      <c r="B12" s="1681">
        <v>8630</v>
      </c>
      <c r="C12" s="1681">
        <v>8580</v>
      </c>
      <c r="D12" s="1681">
        <v>10740</v>
      </c>
      <c r="E12" s="1681">
        <v>1720</v>
      </c>
      <c r="F12" s="1681">
        <v>5420</v>
      </c>
    </row>
    <row r="13" spans="1:6">
      <c r="A13" s="1679" t="s">
        <v>301</v>
      </c>
      <c r="B13" s="1681">
        <v>6620</v>
      </c>
      <c r="C13" s="1681">
        <v>6580</v>
      </c>
      <c r="D13" s="1681">
        <v>7830</v>
      </c>
      <c r="E13" s="1681">
        <v>1260</v>
      </c>
      <c r="F13" s="1681">
        <v>4040</v>
      </c>
    </row>
    <row r="14" spans="1:6">
      <c r="A14" s="1679" t="s">
        <v>305</v>
      </c>
      <c r="B14" s="1681">
        <v>4900</v>
      </c>
      <c r="C14" s="1681">
        <v>4860</v>
      </c>
      <c r="D14" s="1681">
        <v>5540</v>
      </c>
      <c r="E14" s="1681">
        <v>950</v>
      </c>
      <c r="F14" s="1681">
        <v>2930</v>
      </c>
    </row>
    <row r="15" spans="1:6">
      <c r="A15" s="1679" t="s">
        <v>309</v>
      </c>
      <c r="B15" s="1681">
        <v>3380</v>
      </c>
      <c r="C15" s="1681">
        <v>3340</v>
      </c>
      <c r="D15" s="1681">
        <v>3630</v>
      </c>
      <c r="E15" s="1681">
        <v>730</v>
      </c>
      <c r="F15" s="1681">
        <v>1990</v>
      </c>
    </row>
    <row r="16" spans="1:6">
      <c r="A16" s="1679" t="s">
        <v>313</v>
      </c>
      <c r="B16" s="1681">
        <v>2230</v>
      </c>
      <c r="C16" s="1681">
        <v>2200</v>
      </c>
      <c r="D16" s="1681">
        <v>2180</v>
      </c>
      <c r="E16" s="1681">
        <v>570</v>
      </c>
      <c r="F16" s="1681">
        <v>1330</v>
      </c>
    </row>
    <row r="17" spans="1:6">
      <c r="A17" s="1679" t="s">
        <v>317</v>
      </c>
      <c r="B17" s="1681">
        <v>1390</v>
      </c>
      <c r="C17" s="1681">
        <v>1360</v>
      </c>
      <c r="D17" s="1681">
        <v>1340</v>
      </c>
      <c r="E17" s="1681">
        <v>450</v>
      </c>
      <c r="F17" s="1681">
        <v>860</v>
      </c>
    </row>
  </sheetData>
  <sheetProtection password="CEE9" sheet="1" objects="1" scenarios="1"/>
  <mergeCells count="1">
    <mergeCell ref="A1:F1"/>
  </mergeCells>
  <phoneticPr fontId="24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4"/>
    <col min="2" max="16384" width="9" style="1665"/>
  </cols>
  <sheetData>
    <row r="1" spans="1:14" ht="14.25">
      <c r="A1" s="1666" t="s">
        <v>1895</v>
      </c>
      <c r="B1" s="1667"/>
      <c r="C1" s="1667"/>
      <c r="D1" s="1667"/>
      <c r="E1" s="1667"/>
      <c r="F1" s="1667"/>
      <c r="G1" s="1667"/>
      <c r="H1" s="1667"/>
      <c r="I1" s="1667"/>
      <c r="J1" s="1667"/>
      <c r="K1" s="1667"/>
      <c r="L1" s="1667"/>
      <c r="M1" s="1667"/>
      <c r="N1" s="1667"/>
    </row>
    <row r="2" spans="1:14">
      <c r="A2" s="1668" t="s">
        <v>105</v>
      </c>
      <c r="B2" s="1669" t="s">
        <v>238</v>
      </c>
      <c r="C2" s="1669" t="s">
        <v>251</v>
      </c>
      <c r="D2" s="1669" t="s">
        <v>263</v>
      </c>
      <c r="E2" s="1669" t="s">
        <v>273</v>
      </c>
      <c r="F2" s="1669" t="s">
        <v>282</v>
      </c>
      <c r="G2" s="1669" t="s">
        <v>290</v>
      </c>
      <c r="H2" s="1670" t="s">
        <v>295</v>
      </c>
      <c r="I2" s="1670" t="s">
        <v>301</v>
      </c>
      <c r="J2" s="1673" t="s">
        <v>305</v>
      </c>
      <c r="K2" s="1673" t="s">
        <v>309</v>
      </c>
      <c r="L2" s="1673" t="s">
        <v>313</v>
      </c>
      <c r="M2" s="1673" t="s">
        <v>317</v>
      </c>
    </row>
    <row r="3" spans="1:14">
      <c r="A3" s="1668">
        <v>1</v>
      </c>
      <c r="B3" s="1671">
        <v>1.2574000000000001</v>
      </c>
      <c r="C3" s="1671">
        <v>1.2574000000000001</v>
      </c>
      <c r="D3" s="1671">
        <v>1.2299</v>
      </c>
      <c r="E3" s="1671">
        <v>1.2299</v>
      </c>
      <c r="F3" s="1671">
        <v>1.2299</v>
      </c>
      <c r="G3" s="1671">
        <v>1.2299</v>
      </c>
      <c r="H3" s="1671">
        <v>1.2299</v>
      </c>
      <c r="I3" s="1671">
        <v>1.2333000000000001</v>
      </c>
      <c r="J3" s="1671">
        <v>1.2333000000000001</v>
      </c>
      <c r="K3" s="1671">
        <v>1.2333000000000001</v>
      </c>
      <c r="L3" s="1671">
        <v>1.2333000000000001</v>
      </c>
      <c r="M3" s="1671">
        <v>1.2333000000000001</v>
      </c>
      <c r="N3" s="1674"/>
    </row>
    <row r="4" spans="1:14">
      <c r="A4" s="1668">
        <v>1.1000000000000001</v>
      </c>
      <c r="B4" s="1671">
        <v>1.2283999999999999</v>
      </c>
      <c r="C4" s="1671">
        <v>1.2283999999999999</v>
      </c>
      <c r="D4" s="1671">
        <v>1.1984999999999999</v>
      </c>
      <c r="E4" s="1671">
        <v>1.1984999999999999</v>
      </c>
      <c r="F4" s="1671">
        <v>1.1984999999999999</v>
      </c>
      <c r="G4" s="1671">
        <v>1.1984999999999999</v>
      </c>
      <c r="H4" s="1671">
        <v>1.1984999999999999</v>
      </c>
      <c r="I4" s="1671">
        <v>1.1899</v>
      </c>
      <c r="J4" s="1671">
        <v>1.1899</v>
      </c>
      <c r="K4" s="1671">
        <v>1.1899</v>
      </c>
      <c r="L4" s="1671">
        <v>1.1899</v>
      </c>
      <c r="M4" s="1671">
        <v>1.1899</v>
      </c>
    </row>
    <row r="5" spans="1:14">
      <c r="A5" s="1668">
        <v>1.2</v>
      </c>
      <c r="B5" s="1671">
        <v>1.2031000000000001</v>
      </c>
      <c r="C5" s="1671">
        <v>1.2031000000000001</v>
      </c>
      <c r="D5" s="1671">
        <v>1.1711</v>
      </c>
      <c r="E5" s="1671">
        <v>1.1711</v>
      </c>
      <c r="F5" s="1671">
        <v>1.1711</v>
      </c>
      <c r="G5" s="1671">
        <v>1.1711</v>
      </c>
      <c r="H5" s="1671">
        <v>1.1711</v>
      </c>
      <c r="I5" s="1671">
        <v>1.1528</v>
      </c>
      <c r="J5" s="1671">
        <v>1.1528</v>
      </c>
      <c r="K5" s="1671">
        <v>1.1528</v>
      </c>
      <c r="L5" s="1671">
        <v>1.1528</v>
      </c>
      <c r="M5" s="1671">
        <v>1.1528</v>
      </c>
    </row>
    <row r="6" spans="1:14">
      <c r="A6" s="1668">
        <v>1.3</v>
      </c>
      <c r="B6" s="1671">
        <v>1.1811</v>
      </c>
      <c r="C6" s="1671">
        <v>1.1811</v>
      </c>
      <c r="D6" s="1671">
        <v>1.1472</v>
      </c>
      <c r="E6" s="1671">
        <v>1.1472</v>
      </c>
      <c r="F6" s="1671">
        <v>1.1472</v>
      </c>
      <c r="G6" s="1671">
        <v>1.1472</v>
      </c>
      <c r="H6" s="1671">
        <v>1.1472</v>
      </c>
      <c r="I6" s="1671">
        <v>1.1214</v>
      </c>
      <c r="J6" s="1671">
        <v>1.1214</v>
      </c>
      <c r="K6" s="1671">
        <v>1.1214</v>
      </c>
      <c r="L6" s="1671">
        <v>1.1214</v>
      </c>
      <c r="M6" s="1671">
        <v>1.1214</v>
      </c>
    </row>
    <row r="7" spans="1:14">
      <c r="A7" s="1668">
        <v>1.4</v>
      </c>
      <c r="B7" s="1671">
        <v>1.1619999999999999</v>
      </c>
      <c r="C7" s="1671">
        <v>1.1619999999999999</v>
      </c>
      <c r="D7" s="1671">
        <v>1.1265000000000001</v>
      </c>
      <c r="E7" s="1671">
        <v>1.1265000000000001</v>
      </c>
      <c r="F7" s="1671">
        <v>1.1265000000000001</v>
      </c>
      <c r="G7" s="1671">
        <v>1.1265000000000001</v>
      </c>
      <c r="H7" s="1671">
        <v>1.1265000000000001</v>
      </c>
      <c r="I7" s="1671">
        <v>1.0948</v>
      </c>
      <c r="J7" s="1671">
        <v>1.0948</v>
      </c>
      <c r="K7" s="1671">
        <v>1.0948</v>
      </c>
      <c r="L7" s="1671">
        <v>1.0948</v>
      </c>
      <c r="M7" s="1671">
        <v>1.0948</v>
      </c>
    </row>
    <row r="8" spans="1:14">
      <c r="A8" s="1668">
        <v>1.5</v>
      </c>
      <c r="B8" s="1671">
        <v>1.1453</v>
      </c>
      <c r="C8" s="1671">
        <v>1.1453</v>
      </c>
      <c r="D8" s="1671">
        <v>1.1084000000000001</v>
      </c>
      <c r="E8" s="1671">
        <v>1.1084000000000001</v>
      </c>
      <c r="F8" s="1671">
        <v>1.1084000000000001</v>
      </c>
      <c r="G8" s="1671">
        <v>1.1084000000000001</v>
      </c>
      <c r="H8" s="1671">
        <v>1.1084000000000001</v>
      </c>
      <c r="I8" s="1671">
        <v>1.0725</v>
      </c>
      <c r="J8" s="1671">
        <v>1.0725</v>
      </c>
      <c r="K8" s="1671">
        <v>1.0725</v>
      </c>
      <c r="L8" s="1671">
        <v>1.0725</v>
      </c>
      <c r="M8" s="1671">
        <v>1.0725</v>
      </c>
    </row>
    <row r="9" spans="1:14">
      <c r="A9" s="1668">
        <v>1.6</v>
      </c>
      <c r="B9" s="1671">
        <v>1.1306</v>
      </c>
      <c r="C9" s="1671">
        <v>1.1306</v>
      </c>
      <c r="D9" s="1671">
        <v>1.0924</v>
      </c>
      <c r="E9" s="1671">
        <v>1.0924</v>
      </c>
      <c r="F9" s="1671">
        <v>1.0924</v>
      </c>
      <c r="G9" s="1671">
        <v>1.0924</v>
      </c>
      <c r="H9" s="1671">
        <v>1.0924</v>
      </c>
      <c r="I9" s="1671">
        <v>1.0538000000000001</v>
      </c>
      <c r="J9" s="1671">
        <v>1.0538000000000001</v>
      </c>
      <c r="K9" s="1671">
        <v>1.0538000000000001</v>
      </c>
      <c r="L9" s="1671">
        <v>1.0538000000000001</v>
      </c>
      <c r="M9" s="1671">
        <v>1.0538000000000001</v>
      </c>
    </row>
    <row r="10" spans="1:14">
      <c r="A10" s="1668">
        <v>1.7</v>
      </c>
      <c r="B10" s="1671">
        <v>1.1175999999999999</v>
      </c>
      <c r="C10" s="1671">
        <v>1.1175999999999999</v>
      </c>
      <c r="D10" s="1671">
        <v>1.0783</v>
      </c>
      <c r="E10" s="1671">
        <v>1.0783</v>
      </c>
      <c r="F10" s="1671">
        <v>1.0783</v>
      </c>
      <c r="G10" s="1671">
        <v>1.0783</v>
      </c>
      <c r="H10" s="1671">
        <v>1.0783</v>
      </c>
      <c r="I10" s="1671">
        <v>1.0379</v>
      </c>
      <c r="J10" s="1671">
        <v>1.0379</v>
      </c>
      <c r="K10" s="1671">
        <v>1.0379</v>
      </c>
      <c r="L10" s="1671">
        <v>1.0379</v>
      </c>
      <c r="M10" s="1671">
        <v>1.0379</v>
      </c>
    </row>
    <row r="11" spans="1:14">
      <c r="A11" s="1668">
        <v>1.8</v>
      </c>
      <c r="B11" s="1671">
        <v>1.1057999999999999</v>
      </c>
      <c r="C11" s="1671">
        <v>1.1057999999999999</v>
      </c>
      <c r="D11" s="1671">
        <v>1.0653999999999999</v>
      </c>
      <c r="E11" s="1671">
        <v>1.0653999999999999</v>
      </c>
      <c r="F11" s="1671">
        <v>1.0653999999999999</v>
      </c>
      <c r="G11" s="1671">
        <v>1.0653999999999999</v>
      </c>
      <c r="H11" s="1671">
        <v>1.0653999999999999</v>
      </c>
      <c r="I11" s="1671">
        <v>1.0241</v>
      </c>
      <c r="J11" s="1671">
        <v>1.0241</v>
      </c>
      <c r="K11" s="1671">
        <v>1.0241</v>
      </c>
      <c r="L11" s="1671">
        <v>1.0241</v>
      </c>
      <c r="M11" s="1671">
        <v>1.0241</v>
      </c>
    </row>
    <row r="12" spans="1:14">
      <c r="A12" s="1668">
        <v>1.9</v>
      </c>
      <c r="B12" s="1671">
        <v>1.0949</v>
      </c>
      <c r="C12" s="1671">
        <v>1.0949</v>
      </c>
      <c r="D12" s="1671">
        <v>1.0537000000000001</v>
      </c>
      <c r="E12" s="1671">
        <v>1.0537000000000001</v>
      </c>
      <c r="F12" s="1671">
        <v>1.0537000000000001</v>
      </c>
      <c r="G12" s="1671">
        <v>1.0537000000000001</v>
      </c>
      <c r="H12" s="1671">
        <v>1.0537000000000001</v>
      </c>
      <c r="I12" s="1671">
        <v>1.0117</v>
      </c>
      <c r="J12" s="1671">
        <v>1.0117</v>
      </c>
      <c r="K12" s="1671">
        <v>1.0117</v>
      </c>
      <c r="L12" s="1671">
        <v>1.0117</v>
      </c>
      <c r="M12" s="1671">
        <v>1.0117</v>
      </c>
    </row>
    <row r="13" spans="1:14">
      <c r="A13" s="1668">
        <v>2</v>
      </c>
      <c r="B13" s="1671">
        <v>1.0847</v>
      </c>
      <c r="C13" s="1671">
        <v>1.0847</v>
      </c>
      <c r="D13" s="1671">
        <v>1.0427</v>
      </c>
      <c r="E13" s="1671">
        <v>1.0427</v>
      </c>
      <c r="F13" s="1671">
        <v>1.0427</v>
      </c>
      <c r="G13" s="1671">
        <v>1.0427</v>
      </c>
      <c r="H13" s="1671">
        <v>1.0427</v>
      </c>
      <c r="I13" s="1671">
        <v>1</v>
      </c>
      <c r="J13" s="1671">
        <v>1</v>
      </c>
      <c r="K13" s="1671">
        <v>1</v>
      </c>
      <c r="L13" s="1671">
        <v>1</v>
      </c>
      <c r="M13" s="1671">
        <v>1</v>
      </c>
    </row>
    <row r="14" spans="1:14">
      <c r="A14" s="1668">
        <v>2.1</v>
      </c>
      <c r="B14" s="1671">
        <v>1.0749</v>
      </c>
      <c r="C14" s="1671">
        <v>1.0749</v>
      </c>
      <c r="D14" s="1671">
        <v>1.0327999999999999</v>
      </c>
      <c r="E14" s="1671">
        <v>1.0327999999999999</v>
      </c>
      <c r="F14" s="1671">
        <v>1.0327999999999999</v>
      </c>
      <c r="G14" s="1671">
        <v>1.0327999999999999</v>
      </c>
      <c r="H14" s="1671">
        <v>1.0327999999999999</v>
      </c>
      <c r="I14" s="1671">
        <v>0.98819999999999997</v>
      </c>
      <c r="J14" s="1671">
        <v>0.98819999999999997</v>
      </c>
      <c r="K14" s="1671">
        <v>0.98819999999999997</v>
      </c>
      <c r="L14" s="1671">
        <v>0.98819999999999997</v>
      </c>
      <c r="M14" s="1671">
        <v>0.98819999999999997</v>
      </c>
    </row>
    <row r="15" spans="1:14">
      <c r="A15" s="1668">
        <v>2.2000000000000002</v>
      </c>
      <c r="B15" s="1671">
        <v>1.0663</v>
      </c>
      <c r="C15" s="1671">
        <v>1.0663</v>
      </c>
      <c r="D15" s="1671">
        <v>1.0237000000000001</v>
      </c>
      <c r="E15" s="1671">
        <v>1.0237000000000001</v>
      </c>
      <c r="F15" s="1671">
        <v>1.0237000000000001</v>
      </c>
      <c r="G15" s="1671">
        <v>1.0237000000000001</v>
      </c>
      <c r="H15" s="1671">
        <v>1.0237000000000001</v>
      </c>
      <c r="I15" s="1671">
        <v>0.9768</v>
      </c>
      <c r="J15" s="1671">
        <v>0.9768</v>
      </c>
      <c r="K15" s="1671">
        <v>0.9768</v>
      </c>
      <c r="L15" s="1671">
        <v>0.9768</v>
      </c>
      <c r="M15" s="1671">
        <v>0.9768</v>
      </c>
    </row>
    <row r="16" spans="1:14">
      <c r="A16" s="1668">
        <v>2.2999999999999998</v>
      </c>
      <c r="B16" s="1671">
        <v>1.0584</v>
      </c>
      <c r="C16" s="1671">
        <v>1.0584</v>
      </c>
      <c r="D16" s="1671">
        <v>1.0152000000000001</v>
      </c>
      <c r="E16" s="1671">
        <v>1.0152000000000001</v>
      </c>
      <c r="F16" s="1671">
        <v>1.0152000000000001</v>
      </c>
      <c r="G16" s="1671">
        <v>1.0152000000000001</v>
      </c>
      <c r="H16" s="1671">
        <v>1.0152000000000001</v>
      </c>
      <c r="I16" s="1671">
        <v>0.96609999999999996</v>
      </c>
      <c r="J16" s="1671">
        <v>0.96609999999999996</v>
      </c>
      <c r="K16" s="1671">
        <v>0.96609999999999996</v>
      </c>
      <c r="L16" s="1671">
        <v>0.96609999999999996</v>
      </c>
      <c r="M16" s="1671">
        <v>0.96609999999999996</v>
      </c>
      <c r="N16" s="1674"/>
    </row>
    <row r="17" spans="1:14">
      <c r="A17" s="1668">
        <v>2.4</v>
      </c>
      <c r="B17" s="1671">
        <v>1.0511999999999999</v>
      </c>
      <c r="C17" s="1671">
        <v>1.0511999999999999</v>
      </c>
      <c r="D17" s="1671">
        <v>1.0074000000000001</v>
      </c>
      <c r="E17" s="1671">
        <v>1.0074000000000001</v>
      </c>
      <c r="F17" s="1671">
        <v>1.0074000000000001</v>
      </c>
      <c r="G17" s="1671">
        <v>1.0074000000000001</v>
      </c>
      <c r="H17" s="1671">
        <v>1.0074000000000001</v>
      </c>
      <c r="I17" s="1671">
        <v>0.95579999999999998</v>
      </c>
      <c r="J17" s="1671">
        <v>0.95579999999999998</v>
      </c>
      <c r="K17" s="1671">
        <v>0.95579999999999998</v>
      </c>
      <c r="L17" s="1671">
        <v>0.95579999999999998</v>
      </c>
      <c r="M17" s="1671">
        <v>0.95579999999999998</v>
      </c>
      <c r="N17" s="1674"/>
    </row>
    <row r="18" spans="1:14">
      <c r="A18" s="1668">
        <v>2.5</v>
      </c>
      <c r="B18" s="1671">
        <v>1.0445</v>
      </c>
      <c r="C18" s="1671">
        <v>1.0445</v>
      </c>
      <c r="D18" s="1671">
        <v>1</v>
      </c>
      <c r="E18" s="1671">
        <v>1</v>
      </c>
      <c r="F18" s="1671">
        <v>1</v>
      </c>
      <c r="G18" s="1671">
        <v>1</v>
      </c>
      <c r="H18" s="1671">
        <v>1</v>
      </c>
      <c r="I18" s="1671">
        <v>0.94620000000000004</v>
      </c>
      <c r="J18" s="1671">
        <v>0.94620000000000004</v>
      </c>
      <c r="K18" s="1671">
        <v>0.94620000000000004</v>
      </c>
      <c r="L18" s="1671">
        <v>0.94620000000000004</v>
      </c>
      <c r="M18" s="1671">
        <v>0.94620000000000004</v>
      </c>
    </row>
    <row r="19" spans="1:14">
      <c r="A19" s="1668">
        <v>2.6</v>
      </c>
      <c r="B19" s="1671">
        <v>1.0386</v>
      </c>
      <c r="C19" s="1671">
        <v>1.0386</v>
      </c>
      <c r="D19" s="1671">
        <v>0.99350000000000005</v>
      </c>
      <c r="E19" s="1671">
        <v>0.99350000000000005</v>
      </c>
      <c r="F19" s="1671">
        <v>0.99350000000000005</v>
      </c>
      <c r="G19" s="1671">
        <v>0.99350000000000005</v>
      </c>
      <c r="H19" s="1671">
        <v>0.99350000000000005</v>
      </c>
      <c r="I19" s="1671">
        <v>0.93710000000000004</v>
      </c>
      <c r="J19" s="1671">
        <v>0.93710000000000004</v>
      </c>
      <c r="K19" s="1671">
        <v>0.93710000000000004</v>
      </c>
      <c r="L19" s="1671">
        <v>0.93710000000000004</v>
      </c>
      <c r="M19" s="1671">
        <v>0.93710000000000004</v>
      </c>
    </row>
    <row r="20" spans="1:14">
      <c r="A20" s="1668">
        <v>2.7</v>
      </c>
      <c r="B20" s="1671">
        <v>1.0331999999999999</v>
      </c>
      <c r="C20" s="1671">
        <v>1.0331999999999999</v>
      </c>
      <c r="D20" s="1671">
        <v>0.98770000000000002</v>
      </c>
      <c r="E20" s="1671">
        <v>0.98770000000000002</v>
      </c>
      <c r="F20" s="1671">
        <v>0.98770000000000002</v>
      </c>
      <c r="G20" s="1671">
        <v>0.98770000000000002</v>
      </c>
      <c r="H20" s="1671">
        <v>0.98770000000000002</v>
      </c>
      <c r="I20" s="1671">
        <v>0.92859999999999998</v>
      </c>
      <c r="J20" s="1671">
        <v>0.92859999999999998</v>
      </c>
      <c r="K20" s="1671">
        <v>0.92859999999999998</v>
      </c>
      <c r="L20" s="1671">
        <v>0.92859999999999998</v>
      </c>
      <c r="M20" s="1671">
        <v>0.92859999999999998</v>
      </c>
    </row>
    <row r="21" spans="1:14">
      <c r="A21" s="1668">
        <v>2.8</v>
      </c>
      <c r="B21" s="1671">
        <v>1.0282</v>
      </c>
      <c r="C21" s="1671">
        <v>1.0282</v>
      </c>
      <c r="D21" s="1671">
        <v>0.98260000000000003</v>
      </c>
      <c r="E21" s="1671">
        <v>0.98260000000000003</v>
      </c>
      <c r="F21" s="1671">
        <v>0.98260000000000003</v>
      </c>
      <c r="G21" s="1671">
        <v>0.98260000000000003</v>
      </c>
      <c r="H21" s="1671">
        <v>0.98260000000000003</v>
      </c>
      <c r="I21" s="1671">
        <v>0.92069999999999996</v>
      </c>
      <c r="J21" s="1671">
        <v>0.92069999999999996</v>
      </c>
      <c r="K21" s="1671">
        <v>0.92069999999999996</v>
      </c>
      <c r="L21" s="1671">
        <v>0.92069999999999996</v>
      </c>
      <c r="M21" s="1671">
        <v>0.92069999999999996</v>
      </c>
    </row>
    <row r="22" spans="1:14">
      <c r="A22" s="1668">
        <v>2.9</v>
      </c>
      <c r="B22" s="1671">
        <v>1.0235000000000001</v>
      </c>
      <c r="C22" s="1671">
        <v>1.0235000000000001</v>
      </c>
      <c r="D22" s="1671">
        <v>0.97770000000000001</v>
      </c>
      <c r="E22" s="1671">
        <v>0.97770000000000001</v>
      </c>
      <c r="F22" s="1671">
        <v>0.97770000000000001</v>
      </c>
      <c r="G22" s="1671">
        <v>0.97770000000000001</v>
      </c>
      <c r="H22" s="1671">
        <v>0.97770000000000001</v>
      </c>
      <c r="I22" s="1671">
        <v>0.9133</v>
      </c>
      <c r="J22" s="1671">
        <v>0.9133</v>
      </c>
      <c r="K22" s="1671">
        <v>0.9133</v>
      </c>
      <c r="L22" s="1671">
        <v>0.9133</v>
      </c>
      <c r="M22" s="1671">
        <v>0.9133</v>
      </c>
    </row>
    <row r="23" spans="1:14">
      <c r="A23" s="1672">
        <v>3</v>
      </c>
      <c r="B23" s="1671">
        <v>1.0190999999999999</v>
      </c>
      <c r="C23" s="1671">
        <v>1.0190999999999999</v>
      </c>
      <c r="D23" s="1671">
        <v>0.97299999999999998</v>
      </c>
      <c r="E23" s="1671">
        <v>0.97299999999999998</v>
      </c>
      <c r="F23" s="1671">
        <v>0.97299999999999998</v>
      </c>
      <c r="G23" s="1671">
        <v>0.97299999999999998</v>
      </c>
      <c r="H23" s="1671">
        <v>0.97299999999999998</v>
      </c>
      <c r="I23" s="1671">
        <v>0.90629999999999999</v>
      </c>
      <c r="J23" s="1671">
        <v>0.90629999999999999</v>
      </c>
      <c r="K23" s="1671">
        <v>0.90629999999999999</v>
      </c>
      <c r="L23" s="1671">
        <v>0.90629999999999999</v>
      </c>
      <c r="M23" s="1671">
        <v>0.90629999999999999</v>
      </c>
    </row>
    <row r="24" spans="1:14">
      <c r="A24" s="1672">
        <v>3.1</v>
      </c>
      <c r="B24" s="1671">
        <v>1.0148999999999999</v>
      </c>
      <c r="C24" s="1671">
        <v>1.0148999999999999</v>
      </c>
      <c r="D24" s="1671">
        <v>0.96840000000000004</v>
      </c>
      <c r="E24" s="1671">
        <v>0.96840000000000004</v>
      </c>
      <c r="F24" s="1671">
        <v>0.96840000000000004</v>
      </c>
      <c r="G24" s="1671">
        <v>0.96840000000000004</v>
      </c>
      <c r="H24" s="1671">
        <v>0.96840000000000004</v>
      </c>
      <c r="I24" s="1671">
        <v>0.89959999999999996</v>
      </c>
      <c r="J24" s="1671">
        <v>0.89959999999999996</v>
      </c>
      <c r="K24" s="1671">
        <v>0.89959999999999996</v>
      </c>
      <c r="L24" s="1671">
        <v>0.89959999999999996</v>
      </c>
      <c r="M24" s="1671">
        <v>0.89959999999999996</v>
      </c>
    </row>
    <row r="25" spans="1:14">
      <c r="A25" s="1672">
        <v>3.2</v>
      </c>
      <c r="B25" s="1671">
        <v>1.0108999999999999</v>
      </c>
      <c r="C25" s="1671">
        <v>1.0108999999999999</v>
      </c>
      <c r="D25" s="1671">
        <v>0.96399999999999997</v>
      </c>
      <c r="E25" s="1671">
        <v>0.96399999999999997</v>
      </c>
      <c r="F25" s="1671">
        <v>0.96399999999999997</v>
      </c>
      <c r="G25" s="1671">
        <v>0.96399999999999997</v>
      </c>
      <c r="H25" s="1671">
        <v>0.96399999999999997</v>
      </c>
      <c r="I25" s="1671">
        <v>0.89319999999999999</v>
      </c>
      <c r="J25" s="1671">
        <v>0.89319999999999999</v>
      </c>
      <c r="K25" s="1671">
        <v>0.89319999999999999</v>
      </c>
      <c r="L25" s="1671">
        <v>0.89319999999999999</v>
      </c>
      <c r="M25" s="1671">
        <v>0.89319999999999999</v>
      </c>
    </row>
    <row r="26" spans="1:14">
      <c r="A26" s="1672">
        <v>3.3</v>
      </c>
      <c r="B26" s="1671">
        <v>1.0071000000000001</v>
      </c>
      <c r="C26" s="1671">
        <v>1.0071000000000001</v>
      </c>
      <c r="D26" s="1671">
        <v>0.95979999999999999</v>
      </c>
      <c r="E26" s="1671">
        <v>0.95979999999999999</v>
      </c>
      <c r="F26" s="1671">
        <v>0.95979999999999999</v>
      </c>
      <c r="G26" s="1671">
        <v>0.95979999999999999</v>
      </c>
      <c r="H26" s="1671">
        <v>0.95979999999999999</v>
      </c>
      <c r="I26" s="1671">
        <v>0.8871</v>
      </c>
      <c r="J26" s="1671">
        <v>0.8871</v>
      </c>
      <c r="K26" s="1671">
        <v>0.8871</v>
      </c>
      <c r="L26" s="1671">
        <v>0.8871</v>
      </c>
      <c r="M26" s="1671">
        <v>0.8871</v>
      </c>
    </row>
    <row r="27" spans="1:14">
      <c r="A27" s="1672">
        <v>3.4</v>
      </c>
      <c r="B27" s="1671">
        <v>1.0035000000000001</v>
      </c>
      <c r="C27" s="1671">
        <v>1.0035000000000001</v>
      </c>
      <c r="D27" s="1671">
        <v>0.95579999999999998</v>
      </c>
      <c r="E27" s="1671">
        <v>0.95579999999999998</v>
      </c>
      <c r="F27" s="1671">
        <v>0.95579999999999998</v>
      </c>
      <c r="G27" s="1671">
        <v>0.95579999999999998</v>
      </c>
      <c r="H27" s="1671">
        <v>0.95579999999999998</v>
      </c>
      <c r="I27" s="1671">
        <v>0.88119999999999998</v>
      </c>
      <c r="J27" s="1671">
        <v>0.88119999999999998</v>
      </c>
      <c r="K27" s="1671">
        <v>0.88119999999999998</v>
      </c>
      <c r="L27" s="1671">
        <v>0.88119999999999998</v>
      </c>
      <c r="M27" s="1671">
        <v>0.88119999999999998</v>
      </c>
    </row>
    <row r="28" spans="1:14">
      <c r="A28" s="1672">
        <v>3.5</v>
      </c>
      <c r="B28" s="1671">
        <v>1</v>
      </c>
      <c r="C28" s="1671">
        <v>1</v>
      </c>
      <c r="D28" s="1671">
        <v>0.95199999999999996</v>
      </c>
      <c r="E28" s="1671">
        <v>0.95199999999999996</v>
      </c>
      <c r="F28" s="1671">
        <v>0.95199999999999996</v>
      </c>
      <c r="G28" s="1671">
        <v>0.95199999999999996</v>
      </c>
      <c r="H28" s="1671">
        <v>0.95199999999999996</v>
      </c>
      <c r="I28" s="1671">
        <v>0.87549999999999994</v>
      </c>
      <c r="J28" s="1671">
        <v>0.87549999999999994</v>
      </c>
      <c r="K28" s="1671">
        <v>0.87549999999999994</v>
      </c>
      <c r="L28" s="1671">
        <v>0.87549999999999994</v>
      </c>
      <c r="M28" s="1671">
        <v>0.87549999999999994</v>
      </c>
    </row>
    <row r="29" spans="1:14">
      <c r="A29" s="1672">
        <v>3.6</v>
      </c>
      <c r="B29" s="1671">
        <v>0.99660000000000004</v>
      </c>
      <c r="C29" s="1671">
        <v>0.99660000000000004</v>
      </c>
      <c r="D29" s="1671">
        <v>0.94840000000000002</v>
      </c>
      <c r="E29" s="1671">
        <v>0.94840000000000002</v>
      </c>
      <c r="F29" s="1671">
        <v>0.94840000000000002</v>
      </c>
      <c r="G29" s="1671">
        <v>0.94840000000000002</v>
      </c>
      <c r="H29" s="1671">
        <v>0.94840000000000002</v>
      </c>
      <c r="I29" s="1671">
        <v>0.87</v>
      </c>
      <c r="J29" s="1671">
        <v>0.87</v>
      </c>
      <c r="K29" s="1671">
        <v>0.87</v>
      </c>
      <c r="L29" s="1671">
        <v>0.87</v>
      </c>
      <c r="M29" s="1671">
        <v>0.87</v>
      </c>
    </row>
    <row r="30" spans="1:14">
      <c r="A30" s="1672">
        <v>3.7</v>
      </c>
      <c r="B30" s="1671">
        <v>0.99329999999999996</v>
      </c>
      <c r="C30" s="1671">
        <v>0.99329999999999996</v>
      </c>
      <c r="D30" s="1671">
        <v>0.94499999999999995</v>
      </c>
      <c r="E30" s="1671">
        <v>0.94499999999999995</v>
      </c>
      <c r="F30" s="1671">
        <v>0.94499999999999995</v>
      </c>
      <c r="G30" s="1671">
        <v>0.94499999999999995</v>
      </c>
      <c r="H30" s="1671">
        <v>0.94499999999999995</v>
      </c>
      <c r="I30" s="1671">
        <v>0.86470000000000002</v>
      </c>
      <c r="J30" s="1671">
        <v>0.86470000000000002</v>
      </c>
      <c r="K30" s="1671">
        <v>0.86470000000000002</v>
      </c>
      <c r="L30" s="1671">
        <v>0.86470000000000002</v>
      </c>
      <c r="M30" s="1671">
        <v>0.86470000000000002</v>
      </c>
    </row>
    <row r="31" spans="1:14">
      <c r="A31" s="1672">
        <v>3.8</v>
      </c>
      <c r="B31" s="1671">
        <v>0.99009999999999998</v>
      </c>
      <c r="C31" s="1671">
        <v>0.99009999999999998</v>
      </c>
      <c r="D31" s="1671">
        <v>0.94169999999999998</v>
      </c>
      <c r="E31" s="1671">
        <v>0.94169999999999998</v>
      </c>
      <c r="F31" s="1671">
        <v>0.94169999999999998</v>
      </c>
      <c r="G31" s="1671">
        <v>0.94169999999999998</v>
      </c>
      <c r="H31" s="1671">
        <v>0.94169999999999998</v>
      </c>
      <c r="I31" s="1671">
        <v>0.85960000000000003</v>
      </c>
      <c r="J31" s="1671">
        <v>0.85960000000000003</v>
      </c>
      <c r="K31" s="1671">
        <v>0.85960000000000003</v>
      </c>
      <c r="L31" s="1671">
        <v>0.85960000000000003</v>
      </c>
      <c r="M31" s="1671">
        <v>0.85960000000000003</v>
      </c>
    </row>
    <row r="32" spans="1:14">
      <c r="A32" s="1672">
        <v>3.9</v>
      </c>
      <c r="B32" s="1671">
        <v>0.98699999999999999</v>
      </c>
      <c r="C32" s="1671">
        <v>0.98699999999999999</v>
      </c>
      <c r="D32" s="1671">
        <v>0.9385</v>
      </c>
      <c r="E32" s="1671">
        <v>0.9385</v>
      </c>
      <c r="F32" s="1671">
        <v>0.9385</v>
      </c>
      <c r="G32" s="1671">
        <v>0.9385</v>
      </c>
      <c r="H32" s="1671">
        <v>0.9385</v>
      </c>
      <c r="I32" s="1671">
        <v>0.85470000000000002</v>
      </c>
      <c r="J32" s="1671">
        <v>0.85470000000000002</v>
      </c>
      <c r="K32" s="1671">
        <v>0.85470000000000002</v>
      </c>
      <c r="L32" s="1671">
        <v>0.85470000000000002</v>
      </c>
      <c r="M32" s="1671">
        <v>0.85470000000000002</v>
      </c>
    </row>
    <row r="33" spans="1:13">
      <c r="A33" s="1672">
        <v>4</v>
      </c>
      <c r="B33" s="1671">
        <v>0.98399999999999999</v>
      </c>
      <c r="C33" s="1671">
        <v>0.98399999999999999</v>
      </c>
      <c r="D33" s="1671">
        <v>0.93540000000000001</v>
      </c>
      <c r="E33" s="1671">
        <v>0.93540000000000001</v>
      </c>
      <c r="F33" s="1671">
        <v>0.93540000000000001</v>
      </c>
      <c r="G33" s="1671">
        <v>0.93540000000000001</v>
      </c>
      <c r="H33" s="1671">
        <v>0.93540000000000001</v>
      </c>
      <c r="I33" s="1671">
        <v>0.84989999999999999</v>
      </c>
      <c r="J33" s="1671">
        <v>0.84989999999999999</v>
      </c>
      <c r="K33" s="1671">
        <v>0.84989999999999999</v>
      </c>
      <c r="L33" s="1671">
        <v>0.84989999999999999</v>
      </c>
      <c r="M33" s="1671">
        <v>0.84989999999999999</v>
      </c>
    </row>
    <row r="34" spans="1:13">
      <c r="A34" s="1672">
        <v>4.0999999999999996</v>
      </c>
      <c r="B34" s="1671">
        <v>0.98109999999999997</v>
      </c>
      <c r="C34" s="1671">
        <v>0.98109999999999997</v>
      </c>
      <c r="D34" s="1671">
        <v>0.93240000000000001</v>
      </c>
      <c r="E34" s="1671">
        <v>0.93240000000000001</v>
      </c>
      <c r="F34" s="1671">
        <v>0.93240000000000001</v>
      </c>
      <c r="G34" s="1671">
        <v>0.93240000000000001</v>
      </c>
      <c r="H34" s="1671">
        <v>0.93240000000000001</v>
      </c>
      <c r="I34" s="1671">
        <v>0.84519999999999995</v>
      </c>
      <c r="J34" s="1671">
        <v>0.84519999999999995</v>
      </c>
      <c r="K34" s="1671">
        <v>0.84519999999999995</v>
      </c>
      <c r="L34" s="1671">
        <v>0.84519999999999995</v>
      </c>
      <c r="M34" s="1671">
        <v>0.84519999999999995</v>
      </c>
    </row>
    <row r="35" spans="1:13">
      <c r="A35" s="1672">
        <v>4.2</v>
      </c>
      <c r="B35" s="1671">
        <v>0.97829999999999995</v>
      </c>
      <c r="C35" s="1671">
        <v>0.97829999999999995</v>
      </c>
      <c r="D35" s="1671">
        <v>0.92949999999999999</v>
      </c>
      <c r="E35" s="1671">
        <v>0.92949999999999999</v>
      </c>
      <c r="F35" s="1671">
        <v>0.92949999999999999</v>
      </c>
      <c r="G35" s="1671">
        <v>0.92949999999999999</v>
      </c>
      <c r="H35" s="1671">
        <v>0.92949999999999999</v>
      </c>
      <c r="I35" s="1671">
        <v>0.84060000000000001</v>
      </c>
      <c r="J35" s="1671">
        <v>0.84060000000000001</v>
      </c>
      <c r="K35" s="1671">
        <v>0.84060000000000001</v>
      </c>
      <c r="L35" s="1671">
        <v>0.84060000000000001</v>
      </c>
      <c r="M35" s="1671">
        <v>0.84060000000000001</v>
      </c>
    </row>
    <row r="36" spans="1:13">
      <c r="A36" s="1672">
        <v>4.3</v>
      </c>
      <c r="B36" s="1671">
        <v>0.97560000000000002</v>
      </c>
      <c r="C36" s="1671">
        <v>0.97560000000000002</v>
      </c>
      <c r="D36" s="1671">
        <v>0.92669999999999997</v>
      </c>
      <c r="E36" s="1671">
        <v>0.92669999999999997</v>
      </c>
      <c r="F36" s="1671">
        <v>0.92669999999999997</v>
      </c>
      <c r="G36" s="1671">
        <v>0.92669999999999997</v>
      </c>
      <c r="H36" s="1671">
        <v>0.92669999999999997</v>
      </c>
      <c r="I36" s="1671">
        <v>0.83609999999999995</v>
      </c>
      <c r="J36" s="1671">
        <v>0.83609999999999995</v>
      </c>
      <c r="K36" s="1671">
        <v>0.83609999999999995</v>
      </c>
      <c r="L36" s="1671">
        <v>0.83609999999999995</v>
      </c>
      <c r="M36" s="1671">
        <v>0.83609999999999995</v>
      </c>
    </row>
    <row r="37" spans="1:13">
      <c r="A37" s="1672">
        <v>4.4000000000000004</v>
      </c>
      <c r="B37" s="1671">
        <v>0.97299999999999998</v>
      </c>
      <c r="C37" s="1671">
        <v>0.97299999999999998</v>
      </c>
      <c r="D37" s="1671">
        <v>0.92400000000000004</v>
      </c>
      <c r="E37" s="1671">
        <v>0.92400000000000004</v>
      </c>
      <c r="F37" s="1671">
        <v>0.92400000000000004</v>
      </c>
      <c r="G37" s="1671">
        <v>0.92400000000000004</v>
      </c>
      <c r="H37" s="1671">
        <v>0.92400000000000004</v>
      </c>
      <c r="I37" s="1671">
        <v>0.83169999999999999</v>
      </c>
      <c r="J37" s="1671">
        <v>0.83169999999999999</v>
      </c>
      <c r="K37" s="1671">
        <v>0.83169999999999999</v>
      </c>
      <c r="L37" s="1671">
        <v>0.83169999999999999</v>
      </c>
      <c r="M37" s="1671">
        <v>0.83169999999999999</v>
      </c>
    </row>
    <row r="38" spans="1:13">
      <c r="A38" s="1672">
        <v>4.5</v>
      </c>
      <c r="B38" s="1671">
        <v>0.97050000000000003</v>
      </c>
      <c r="C38" s="1671">
        <v>0.97050000000000003</v>
      </c>
      <c r="D38" s="1671">
        <v>0.92130000000000001</v>
      </c>
      <c r="E38" s="1671">
        <v>0.92130000000000001</v>
      </c>
      <c r="F38" s="1671">
        <v>0.92130000000000001</v>
      </c>
      <c r="G38" s="1671">
        <v>0.92130000000000001</v>
      </c>
      <c r="H38" s="1671">
        <v>0.92130000000000001</v>
      </c>
      <c r="I38" s="1671">
        <v>0.82740000000000002</v>
      </c>
      <c r="J38" s="1671">
        <v>0.82740000000000002</v>
      </c>
      <c r="K38" s="1671">
        <v>0.82740000000000002</v>
      </c>
      <c r="L38" s="1671">
        <v>0.82740000000000002</v>
      </c>
      <c r="M38" s="1671">
        <v>0.82740000000000002</v>
      </c>
    </row>
    <row r="39" spans="1:13">
      <c r="A39" s="1672">
        <v>4.5999999999999996</v>
      </c>
      <c r="B39" s="1671">
        <v>0.96809999999999996</v>
      </c>
      <c r="C39" s="1671">
        <v>0.96809999999999996</v>
      </c>
      <c r="D39" s="1671">
        <v>0.91869999999999996</v>
      </c>
      <c r="E39" s="1671">
        <v>0.91869999999999996</v>
      </c>
      <c r="F39" s="1671">
        <v>0.91869999999999996</v>
      </c>
      <c r="G39" s="1671">
        <v>0.91869999999999996</v>
      </c>
      <c r="H39" s="1671">
        <v>0.91869999999999996</v>
      </c>
      <c r="I39" s="1671">
        <v>0.82320000000000004</v>
      </c>
      <c r="J39" s="1671">
        <v>0.82320000000000004</v>
      </c>
      <c r="K39" s="1671">
        <v>0.82320000000000004</v>
      </c>
      <c r="L39" s="1671">
        <v>0.82320000000000004</v>
      </c>
      <c r="M39" s="1671">
        <v>0.82320000000000004</v>
      </c>
    </row>
    <row r="40" spans="1:13">
      <c r="A40" s="1672">
        <v>4.7</v>
      </c>
      <c r="B40" s="1671">
        <v>0.96579999999999999</v>
      </c>
      <c r="C40" s="1671">
        <v>0.96579999999999999</v>
      </c>
      <c r="D40" s="1671">
        <v>0.91610000000000003</v>
      </c>
      <c r="E40" s="1671">
        <v>0.91610000000000003</v>
      </c>
      <c r="F40" s="1671">
        <v>0.91610000000000003</v>
      </c>
      <c r="G40" s="1671">
        <v>0.91610000000000003</v>
      </c>
      <c r="H40" s="1671">
        <v>0.91610000000000003</v>
      </c>
      <c r="I40" s="1671">
        <v>0.81910000000000005</v>
      </c>
      <c r="J40" s="1671">
        <v>0.81910000000000005</v>
      </c>
      <c r="K40" s="1671">
        <v>0.81910000000000005</v>
      </c>
      <c r="L40" s="1671">
        <v>0.81910000000000005</v>
      </c>
      <c r="M40" s="1671">
        <v>0.81910000000000005</v>
      </c>
    </row>
    <row r="41" spans="1:13">
      <c r="A41" s="1672">
        <v>4.8</v>
      </c>
      <c r="B41" s="1671">
        <v>0.96360000000000001</v>
      </c>
      <c r="C41" s="1671">
        <v>0.96360000000000001</v>
      </c>
      <c r="D41" s="1671">
        <v>0.91349999999999998</v>
      </c>
      <c r="E41" s="1671">
        <v>0.91349999999999998</v>
      </c>
      <c r="F41" s="1671">
        <v>0.91349999999999998</v>
      </c>
      <c r="G41" s="1671">
        <v>0.91349999999999998</v>
      </c>
      <c r="H41" s="1671">
        <v>0.91349999999999998</v>
      </c>
      <c r="I41" s="1671">
        <v>0.81510000000000005</v>
      </c>
      <c r="J41" s="1671">
        <v>0.81510000000000005</v>
      </c>
      <c r="K41" s="1671">
        <v>0.81510000000000005</v>
      </c>
      <c r="L41" s="1671">
        <v>0.81510000000000005</v>
      </c>
      <c r="M41" s="1671">
        <v>0.81510000000000005</v>
      </c>
    </row>
    <row r="42" spans="1:13">
      <c r="A42" s="1672">
        <v>4.9000000000000004</v>
      </c>
      <c r="B42" s="1671">
        <v>0.96150000000000002</v>
      </c>
      <c r="C42" s="1671">
        <v>0.96150000000000002</v>
      </c>
      <c r="D42" s="1671">
        <v>0.91100000000000003</v>
      </c>
      <c r="E42" s="1671">
        <v>0.91100000000000003</v>
      </c>
      <c r="F42" s="1671">
        <v>0.91100000000000003</v>
      </c>
      <c r="G42" s="1671">
        <v>0.91100000000000003</v>
      </c>
      <c r="H42" s="1671">
        <v>0.91100000000000003</v>
      </c>
      <c r="I42" s="1671">
        <v>0.81110000000000004</v>
      </c>
      <c r="J42" s="1671">
        <v>0.81110000000000004</v>
      </c>
      <c r="K42" s="1671">
        <v>0.81110000000000004</v>
      </c>
      <c r="L42" s="1671">
        <v>0.81110000000000004</v>
      </c>
      <c r="M42" s="1671">
        <v>0.81110000000000004</v>
      </c>
    </row>
    <row r="43" spans="1:13">
      <c r="A43" s="1672">
        <v>5</v>
      </c>
      <c r="B43" s="1671">
        <v>0.95940000000000003</v>
      </c>
      <c r="C43" s="1671">
        <v>0.95940000000000003</v>
      </c>
      <c r="D43" s="1671">
        <v>0.90849999999999997</v>
      </c>
      <c r="E43" s="1671">
        <v>0.90849999999999997</v>
      </c>
      <c r="F43" s="1671">
        <v>0.90849999999999997</v>
      </c>
      <c r="G43" s="1671">
        <v>0.90849999999999997</v>
      </c>
      <c r="H43" s="1671">
        <v>0.90849999999999997</v>
      </c>
      <c r="I43" s="1671">
        <v>0.80720000000000003</v>
      </c>
      <c r="J43" s="1671">
        <v>0.80720000000000003</v>
      </c>
      <c r="K43" s="1671">
        <v>0.80720000000000003</v>
      </c>
      <c r="L43" s="1671">
        <v>0.80720000000000003</v>
      </c>
      <c r="M43" s="1671">
        <v>0.80720000000000003</v>
      </c>
    </row>
    <row r="44" spans="1:13">
      <c r="A44" s="1672">
        <v>5.0999999999999996</v>
      </c>
      <c r="B44" s="1671">
        <v>0.95740000000000003</v>
      </c>
      <c r="C44" s="1671">
        <v>0.95740000000000003</v>
      </c>
      <c r="D44" s="1671">
        <v>0.90600000000000003</v>
      </c>
      <c r="E44" s="1671">
        <v>0.90600000000000003</v>
      </c>
      <c r="F44" s="1671">
        <v>0.90600000000000003</v>
      </c>
      <c r="G44" s="1671">
        <v>0.90600000000000003</v>
      </c>
      <c r="H44" s="1671">
        <v>0.90600000000000003</v>
      </c>
      <c r="I44" s="1671">
        <v>0.80330000000000001</v>
      </c>
      <c r="J44" s="1671">
        <v>0.80330000000000001</v>
      </c>
      <c r="K44" s="1671">
        <v>0.80330000000000001</v>
      </c>
      <c r="L44" s="1671">
        <v>0.80330000000000001</v>
      </c>
      <c r="M44" s="1671">
        <v>0.80330000000000001</v>
      </c>
    </row>
    <row r="45" spans="1:13">
      <c r="A45" s="1672">
        <v>5.2</v>
      </c>
      <c r="B45" s="1671">
        <v>0.95540000000000003</v>
      </c>
      <c r="C45" s="1671">
        <v>0.95540000000000003</v>
      </c>
      <c r="D45" s="1671">
        <v>0.90349999999999997</v>
      </c>
      <c r="E45" s="1671">
        <v>0.90349999999999997</v>
      </c>
      <c r="F45" s="1671">
        <v>0.90349999999999997</v>
      </c>
      <c r="G45" s="1671">
        <v>0.90349999999999997</v>
      </c>
      <c r="H45" s="1671">
        <v>0.90349999999999997</v>
      </c>
      <c r="I45" s="1671">
        <v>0.79949999999999999</v>
      </c>
      <c r="J45" s="1671">
        <v>0.79949999999999999</v>
      </c>
      <c r="K45" s="1671">
        <v>0.79949999999999999</v>
      </c>
      <c r="L45" s="1671">
        <v>0.79949999999999999</v>
      </c>
      <c r="M45" s="1671">
        <v>0.79949999999999999</v>
      </c>
    </row>
    <row r="46" spans="1:13">
      <c r="A46" s="1672">
        <v>5.3</v>
      </c>
      <c r="B46" s="1671">
        <v>0.95350000000000001</v>
      </c>
      <c r="C46" s="1671">
        <v>0.95350000000000001</v>
      </c>
      <c r="D46" s="1671">
        <v>0.90110000000000001</v>
      </c>
      <c r="E46" s="1671">
        <v>0.90110000000000001</v>
      </c>
      <c r="F46" s="1671">
        <v>0.90110000000000001</v>
      </c>
      <c r="G46" s="1671">
        <v>0.90110000000000001</v>
      </c>
      <c r="H46" s="1671">
        <v>0.90110000000000001</v>
      </c>
      <c r="I46" s="1671">
        <v>0.79569999999999996</v>
      </c>
      <c r="J46" s="1671">
        <v>0.79569999999999996</v>
      </c>
      <c r="K46" s="1671">
        <v>0.79569999999999996</v>
      </c>
      <c r="L46" s="1671">
        <v>0.79569999999999996</v>
      </c>
      <c r="M46" s="1671">
        <v>0.79569999999999996</v>
      </c>
    </row>
    <row r="47" spans="1:13">
      <c r="A47" s="1672">
        <v>5.4</v>
      </c>
      <c r="B47" s="1671">
        <v>0.9516</v>
      </c>
      <c r="C47" s="1671">
        <v>0.9516</v>
      </c>
      <c r="D47" s="1671">
        <v>0.89870000000000005</v>
      </c>
      <c r="E47" s="1671">
        <v>0.89870000000000005</v>
      </c>
      <c r="F47" s="1671">
        <v>0.89870000000000005</v>
      </c>
      <c r="G47" s="1671">
        <v>0.89870000000000005</v>
      </c>
      <c r="H47" s="1671">
        <v>0.89870000000000005</v>
      </c>
      <c r="I47" s="1671">
        <v>0.79200000000000004</v>
      </c>
      <c r="J47" s="1671">
        <v>0.79200000000000004</v>
      </c>
      <c r="K47" s="1671">
        <v>0.79200000000000004</v>
      </c>
      <c r="L47" s="1671">
        <v>0.79200000000000004</v>
      </c>
      <c r="M47" s="1671">
        <v>0.79200000000000004</v>
      </c>
    </row>
    <row r="48" spans="1:13">
      <c r="A48" s="1672">
        <v>5.5</v>
      </c>
      <c r="B48" s="1671">
        <v>0.94979999999999998</v>
      </c>
      <c r="C48" s="1671">
        <v>0.94979999999999998</v>
      </c>
      <c r="D48" s="1671">
        <v>0.89629999999999999</v>
      </c>
      <c r="E48" s="1671">
        <v>0.89629999999999999</v>
      </c>
      <c r="F48" s="1671">
        <v>0.89629999999999999</v>
      </c>
      <c r="G48" s="1671">
        <v>0.89629999999999999</v>
      </c>
      <c r="H48" s="1671">
        <v>0.89629999999999999</v>
      </c>
      <c r="I48" s="1671">
        <v>0.7883</v>
      </c>
      <c r="J48" s="1671">
        <v>0.7883</v>
      </c>
      <c r="K48" s="1671">
        <v>0.7883</v>
      </c>
      <c r="L48" s="1671">
        <v>0.7883</v>
      </c>
      <c r="M48" s="1671">
        <v>0.7883</v>
      </c>
    </row>
    <row r="49" spans="1:13">
      <c r="A49" s="1672">
        <v>5.6</v>
      </c>
      <c r="B49" s="1671">
        <v>0.94799999999999995</v>
      </c>
      <c r="C49" s="1671">
        <v>0.94799999999999995</v>
      </c>
      <c r="D49" s="1671">
        <v>0.89390000000000003</v>
      </c>
      <c r="E49" s="1671">
        <v>0.89390000000000003</v>
      </c>
      <c r="F49" s="1671">
        <v>0.89390000000000003</v>
      </c>
      <c r="G49" s="1671">
        <v>0.89390000000000003</v>
      </c>
      <c r="H49" s="1671">
        <v>0.89390000000000003</v>
      </c>
      <c r="I49" s="1671">
        <v>0.78469999999999995</v>
      </c>
      <c r="J49" s="1671">
        <v>0.78469999999999995</v>
      </c>
      <c r="K49" s="1671">
        <v>0.78469999999999995</v>
      </c>
      <c r="L49" s="1671">
        <v>0.78469999999999995</v>
      </c>
      <c r="M49" s="1671">
        <v>0.78469999999999995</v>
      </c>
    </row>
    <row r="50" spans="1:13">
      <c r="A50" s="1672">
        <v>5.7</v>
      </c>
      <c r="B50" s="1671">
        <v>0.94620000000000004</v>
      </c>
      <c r="C50" s="1671">
        <v>0.94620000000000004</v>
      </c>
      <c r="D50" s="1671">
        <v>0.89149999999999996</v>
      </c>
      <c r="E50" s="1671">
        <v>0.89149999999999996</v>
      </c>
      <c r="F50" s="1671">
        <v>0.89149999999999996</v>
      </c>
      <c r="G50" s="1671">
        <v>0.89149999999999996</v>
      </c>
      <c r="H50" s="1671">
        <v>0.89149999999999996</v>
      </c>
      <c r="I50" s="1671">
        <v>0.78110000000000002</v>
      </c>
      <c r="J50" s="1671">
        <v>0.78110000000000002</v>
      </c>
      <c r="K50" s="1671">
        <v>0.78110000000000002</v>
      </c>
      <c r="L50" s="1671">
        <v>0.78110000000000002</v>
      </c>
      <c r="M50" s="1671">
        <v>0.78110000000000002</v>
      </c>
    </row>
    <row r="51" spans="1:13">
      <c r="A51" s="1672">
        <v>5.8</v>
      </c>
      <c r="B51" s="1671">
        <v>0.94450000000000001</v>
      </c>
      <c r="C51" s="1671">
        <v>0.94450000000000001</v>
      </c>
      <c r="D51" s="1671">
        <v>0.88919999999999999</v>
      </c>
      <c r="E51" s="1671">
        <v>0.88919999999999999</v>
      </c>
      <c r="F51" s="1671">
        <v>0.88919999999999999</v>
      </c>
      <c r="G51" s="1671">
        <v>0.88919999999999999</v>
      </c>
      <c r="H51" s="1671">
        <v>0.88919999999999999</v>
      </c>
      <c r="I51" s="1671">
        <v>0.77759999999999996</v>
      </c>
      <c r="J51" s="1671">
        <v>0.77759999999999996</v>
      </c>
      <c r="K51" s="1671">
        <v>0.77759999999999996</v>
      </c>
      <c r="L51" s="1671">
        <v>0.77759999999999996</v>
      </c>
      <c r="M51" s="1671">
        <v>0.77759999999999996</v>
      </c>
    </row>
    <row r="52" spans="1:13">
      <c r="A52" s="1672">
        <v>5.9</v>
      </c>
      <c r="B52" s="1671">
        <v>0.94279999999999997</v>
      </c>
      <c r="C52" s="1671">
        <v>0.94279999999999997</v>
      </c>
      <c r="D52" s="1671">
        <v>0.88690000000000002</v>
      </c>
      <c r="E52" s="1671">
        <v>0.88690000000000002</v>
      </c>
      <c r="F52" s="1671">
        <v>0.88690000000000002</v>
      </c>
      <c r="G52" s="1671">
        <v>0.88690000000000002</v>
      </c>
      <c r="H52" s="1671">
        <v>0.88690000000000002</v>
      </c>
      <c r="I52" s="1671">
        <v>0.77410000000000001</v>
      </c>
      <c r="J52" s="1671">
        <v>0.77410000000000001</v>
      </c>
      <c r="K52" s="1671">
        <v>0.77410000000000001</v>
      </c>
      <c r="L52" s="1671">
        <v>0.77410000000000001</v>
      </c>
      <c r="M52" s="1671">
        <v>0.77410000000000001</v>
      </c>
    </row>
    <row r="53" spans="1:13">
      <c r="A53" s="1668">
        <v>6</v>
      </c>
      <c r="B53" s="1671">
        <v>0.94110000000000005</v>
      </c>
      <c r="C53" s="1671">
        <v>0.94110000000000005</v>
      </c>
      <c r="D53" s="1671">
        <v>0.88460000000000005</v>
      </c>
      <c r="E53" s="1671">
        <v>0.88460000000000005</v>
      </c>
      <c r="F53" s="1671">
        <v>0.88460000000000005</v>
      </c>
      <c r="G53" s="1671">
        <v>0.88460000000000005</v>
      </c>
      <c r="H53" s="1671">
        <v>0.88460000000000005</v>
      </c>
      <c r="I53" s="1671">
        <v>0.77070000000000005</v>
      </c>
      <c r="J53" s="1671">
        <v>0.77070000000000005</v>
      </c>
      <c r="K53" s="1671">
        <v>0.77070000000000005</v>
      </c>
      <c r="L53" s="1671">
        <v>0.77070000000000005</v>
      </c>
      <c r="M53" s="1671">
        <v>0.77070000000000005</v>
      </c>
    </row>
    <row r="54" spans="1:13">
      <c r="A54" s="1668">
        <v>6.1</v>
      </c>
      <c r="B54" s="1671">
        <v>0.93940000000000001</v>
      </c>
      <c r="C54" s="1671">
        <v>0.93940000000000001</v>
      </c>
      <c r="D54" s="1671">
        <v>0.88229999999999997</v>
      </c>
      <c r="E54" s="1671">
        <v>0.88229999999999997</v>
      </c>
      <c r="F54" s="1671">
        <v>0.88229999999999997</v>
      </c>
      <c r="G54" s="1671">
        <v>0.88229999999999997</v>
      </c>
      <c r="H54" s="1671">
        <v>0.88229999999999997</v>
      </c>
      <c r="I54" s="1671">
        <v>0.76729999999999998</v>
      </c>
      <c r="J54" s="1671">
        <v>0.76729999999999998</v>
      </c>
      <c r="K54" s="1671">
        <v>0.76729999999999998</v>
      </c>
      <c r="L54" s="1671">
        <v>0.76729999999999998</v>
      </c>
      <c r="M54" s="1671">
        <v>0.76729999999999998</v>
      </c>
    </row>
    <row r="55" spans="1:13">
      <c r="A55" s="1668">
        <v>6.2</v>
      </c>
      <c r="B55" s="1671">
        <v>0.93769999999999998</v>
      </c>
      <c r="C55" s="1671">
        <v>0.93769999999999998</v>
      </c>
      <c r="D55" s="1671">
        <v>0.88</v>
      </c>
      <c r="E55" s="1671">
        <v>0.88</v>
      </c>
      <c r="F55" s="1671">
        <v>0.88</v>
      </c>
      <c r="G55" s="1671">
        <v>0.88</v>
      </c>
      <c r="H55" s="1671">
        <v>0.88</v>
      </c>
      <c r="I55" s="1671">
        <v>0.76400000000000001</v>
      </c>
      <c r="J55" s="1671">
        <v>0.76400000000000001</v>
      </c>
      <c r="K55" s="1671">
        <v>0.76400000000000001</v>
      </c>
      <c r="L55" s="1671">
        <v>0.76400000000000001</v>
      </c>
      <c r="M55" s="1671">
        <v>0.76400000000000001</v>
      </c>
    </row>
    <row r="56" spans="1:13">
      <c r="A56" s="1668">
        <v>6.3</v>
      </c>
      <c r="B56" s="1671">
        <v>0.93610000000000004</v>
      </c>
      <c r="C56" s="1671">
        <v>0.93610000000000004</v>
      </c>
      <c r="D56" s="1671">
        <v>0.87780000000000002</v>
      </c>
      <c r="E56" s="1671">
        <v>0.87780000000000002</v>
      </c>
      <c r="F56" s="1671">
        <v>0.87780000000000002</v>
      </c>
      <c r="G56" s="1671">
        <v>0.87780000000000002</v>
      </c>
      <c r="H56" s="1671">
        <v>0.87780000000000002</v>
      </c>
      <c r="I56" s="1671">
        <v>0.76070000000000004</v>
      </c>
      <c r="J56" s="1671">
        <v>0.76070000000000004</v>
      </c>
      <c r="K56" s="1671">
        <v>0.76070000000000004</v>
      </c>
      <c r="L56" s="1671">
        <v>0.76070000000000004</v>
      </c>
      <c r="M56" s="1671">
        <v>0.76070000000000004</v>
      </c>
    </row>
    <row r="57" spans="1:13">
      <c r="A57" s="1668">
        <v>6.4</v>
      </c>
      <c r="B57" s="1671">
        <v>0.9345</v>
      </c>
      <c r="C57" s="1671">
        <v>0.9345</v>
      </c>
      <c r="D57" s="1671">
        <v>0.87560000000000004</v>
      </c>
      <c r="E57" s="1671">
        <v>0.87560000000000004</v>
      </c>
      <c r="F57" s="1671">
        <v>0.87560000000000004</v>
      </c>
      <c r="G57" s="1671">
        <v>0.87560000000000004</v>
      </c>
      <c r="H57" s="1671">
        <v>0.87560000000000004</v>
      </c>
      <c r="I57" s="1671">
        <v>0.75749999999999995</v>
      </c>
      <c r="J57" s="1671">
        <v>0.75749999999999995</v>
      </c>
      <c r="K57" s="1671">
        <v>0.75749999999999995</v>
      </c>
      <c r="L57" s="1671">
        <v>0.75749999999999995</v>
      </c>
      <c r="M57" s="1671">
        <v>0.75749999999999995</v>
      </c>
    </row>
    <row r="58" spans="1:13">
      <c r="A58" s="1668">
        <v>6.5</v>
      </c>
      <c r="B58" s="1671">
        <v>0.93289999999999995</v>
      </c>
      <c r="C58" s="1671">
        <v>0.93289999999999995</v>
      </c>
      <c r="D58" s="1671">
        <v>0.87339999999999995</v>
      </c>
      <c r="E58" s="1671">
        <v>0.87339999999999995</v>
      </c>
      <c r="F58" s="1671">
        <v>0.87339999999999995</v>
      </c>
      <c r="G58" s="1671">
        <v>0.87339999999999995</v>
      </c>
      <c r="H58" s="1671">
        <v>0.87339999999999995</v>
      </c>
      <c r="I58" s="1671">
        <v>0.75429999999999997</v>
      </c>
      <c r="J58" s="1671">
        <v>0.75429999999999997</v>
      </c>
      <c r="K58" s="1671">
        <v>0.75429999999999997</v>
      </c>
      <c r="L58" s="1671">
        <v>0.75429999999999997</v>
      </c>
      <c r="M58" s="1671">
        <v>0.75429999999999997</v>
      </c>
    </row>
    <row r="59" spans="1:13">
      <c r="A59" s="1672">
        <v>6.6</v>
      </c>
      <c r="B59" s="1671">
        <v>0.93130000000000002</v>
      </c>
      <c r="C59" s="1671">
        <v>0.93130000000000002</v>
      </c>
      <c r="D59" s="1671">
        <v>0.87119999999999997</v>
      </c>
      <c r="E59" s="1671">
        <v>0.87119999999999997</v>
      </c>
      <c r="F59" s="1671">
        <v>0.87119999999999997</v>
      </c>
      <c r="G59" s="1671">
        <v>0.87119999999999997</v>
      </c>
      <c r="H59" s="1671">
        <v>0.87119999999999997</v>
      </c>
      <c r="I59" s="1671">
        <v>0.75119999999999998</v>
      </c>
      <c r="J59" s="1671">
        <v>0.75119999999999998</v>
      </c>
      <c r="K59" s="1671">
        <v>0.75119999999999998</v>
      </c>
      <c r="L59" s="1671">
        <v>0.75119999999999998</v>
      </c>
      <c r="M59" s="1671">
        <v>0.75119999999999998</v>
      </c>
    </row>
    <row r="60" spans="1:13">
      <c r="A60" s="1668">
        <v>6.7</v>
      </c>
      <c r="B60" s="1671">
        <v>0.92969999999999997</v>
      </c>
      <c r="C60" s="1671">
        <v>0.92969999999999997</v>
      </c>
      <c r="D60" s="1671">
        <v>0.86899999999999999</v>
      </c>
      <c r="E60" s="1671">
        <v>0.86899999999999999</v>
      </c>
      <c r="F60" s="1671">
        <v>0.86899999999999999</v>
      </c>
      <c r="G60" s="1671">
        <v>0.86899999999999999</v>
      </c>
      <c r="H60" s="1671">
        <v>0.86899999999999999</v>
      </c>
      <c r="I60" s="1671">
        <v>0.74809999999999999</v>
      </c>
      <c r="J60" s="1671">
        <v>0.74809999999999999</v>
      </c>
      <c r="K60" s="1671">
        <v>0.74809999999999999</v>
      </c>
      <c r="L60" s="1671">
        <v>0.74809999999999999</v>
      </c>
      <c r="M60" s="1671">
        <v>0.74809999999999999</v>
      </c>
    </row>
    <row r="61" spans="1:13">
      <c r="A61" s="1668">
        <v>6.8</v>
      </c>
      <c r="B61" s="1671">
        <v>0.92820000000000003</v>
      </c>
      <c r="C61" s="1671">
        <v>0.92820000000000003</v>
      </c>
      <c r="D61" s="1671">
        <v>0.8669</v>
      </c>
      <c r="E61" s="1671">
        <v>0.8669</v>
      </c>
      <c r="F61" s="1671">
        <v>0.8669</v>
      </c>
      <c r="G61" s="1671">
        <v>0.8669</v>
      </c>
      <c r="H61" s="1671">
        <v>0.8669</v>
      </c>
      <c r="I61" s="1671">
        <v>0.74509999999999998</v>
      </c>
      <c r="J61" s="1671">
        <v>0.74509999999999998</v>
      </c>
      <c r="K61" s="1671">
        <v>0.74509999999999998</v>
      </c>
      <c r="L61" s="1671">
        <v>0.74509999999999998</v>
      </c>
      <c r="M61" s="1671">
        <v>0.74509999999999998</v>
      </c>
    </row>
    <row r="62" spans="1:13">
      <c r="A62" s="1668">
        <v>6.9</v>
      </c>
      <c r="B62" s="1671">
        <v>0.92669999999999997</v>
      </c>
      <c r="C62" s="1671">
        <v>0.92669999999999997</v>
      </c>
      <c r="D62" s="1671">
        <v>0.86480000000000001</v>
      </c>
      <c r="E62" s="1671">
        <v>0.86480000000000001</v>
      </c>
      <c r="F62" s="1671">
        <v>0.86480000000000001</v>
      </c>
      <c r="G62" s="1671">
        <v>0.86480000000000001</v>
      </c>
      <c r="H62" s="1671">
        <v>0.86480000000000001</v>
      </c>
      <c r="I62" s="1671">
        <v>0.74209999999999998</v>
      </c>
      <c r="J62" s="1671">
        <v>0.74209999999999998</v>
      </c>
      <c r="K62" s="1671">
        <v>0.74209999999999998</v>
      </c>
      <c r="L62" s="1671">
        <v>0.74209999999999998</v>
      </c>
      <c r="M62" s="1671">
        <v>0.74209999999999998</v>
      </c>
    </row>
    <row r="63" spans="1:13">
      <c r="A63" s="1668">
        <v>7</v>
      </c>
      <c r="B63" s="1671">
        <v>0.92520000000000002</v>
      </c>
      <c r="C63" s="1671">
        <v>0.92520000000000002</v>
      </c>
      <c r="D63" s="1671">
        <v>0.86270000000000002</v>
      </c>
      <c r="E63" s="1671">
        <v>0.86270000000000002</v>
      </c>
      <c r="F63" s="1671">
        <v>0.86270000000000002</v>
      </c>
      <c r="G63" s="1671">
        <v>0.86270000000000002</v>
      </c>
      <c r="H63" s="1671">
        <v>0.86270000000000002</v>
      </c>
      <c r="I63" s="1671">
        <v>0.73919999999999997</v>
      </c>
      <c r="J63" s="1671">
        <v>0.73919999999999997</v>
      </c>
      <c r="K63" s="1671">
        <v>0.73919999999999997</v>
      </c>
      <c r="L63" s="1671">
        <v>0.73919999999999997</v>
      </c>
      <c r="M63" s="1671">
        <v>0.73919999999999997</v>
      </c>
    </row>
    <row r="64" spans="1:13">
      <c r="A64" s="1668">
        <v>7.1</v>
      </c>
      <c r="B64" s="1671">
        <v>0.92369999999999997</v>
      </c>
      <c r="C64" s="1671">
        <v>0.92369999999999997</v>
      </c>
      <c r="D64" s="1671">
        <v>0.86060000000000003</v>
      </c>
      <c r="E64" s="1671">
        <v>0.86060000000000003</v>
      </c>
      <c r="F64" s="1671">
        <v>0.86060000000000003</v>
      </c>
      <c r="G64" s="1671">
        <v>0.86060000000000003</v>
      </c>
      <c r="H64" s="1671">
        <v>0.86060000000000003</v>
      </c>
      <c r="I64" s="1671">
        <v>0.73629999999999995</v>
      </c>
      <c r="J64" s="1671">
        <v>0.73629999999999995</v>
      </c>
      <c r="K64" s="1671">
        <v>0.73629999999999995</v>
      </c>
      <c r="L64" s="1671">
        <v>0.73629999999999995</v>
      </c>
      <c r="M64" s="1671">
        <v>0.73629999999999995</v>
      </c>
    </row>
    <row r="65" spans="1:13">
      <c r="A65" s="1668">
        <v>7.2</v>
      </c>
      <c r="B65" s="1671">
        <v>0.92220000000000002</v>
      </c>
      <c r="C65" s="1671">
        <v>0.92220000000000002</v>
      </c>
      <c r="D65" s="1671">
        <v>0.85850000000000004</v>
      </c>
      <c r="E65" s="1671">
        <v>0.85850000000000004</v>
      </c>
      <c r="F65" s="1671">
        <v>0.85850000000000004</v>
      </c>
      <c r="G65" s="1671">
        <v>0.85850000000000004</v>
      </c>
      <c r="H65" s="1671">
        <v>0.85850000000000004</v>
      </c>
      <c r="I65" s="1671">
        <v>0.73350000000000004</v>
      </c>
      <c r="J65" s="1671">
        <v>0.73350000000000004</v>
      </c>
      <c r="K65" s="1671">
        <v>0.73350000000000004</v>
      </c>
      <c r="L65" s="1671">
        <v>0.73350000000000004</v>
      </c>
      <c r="M65" s="1671">
        <v>0.73350000000000004</v>
      </c>
    </row>
    <row r="66" spans="1:13">
      <c r="A66" s="1668">
        <v>7.3</v>
      </c>
      <c r="B66" s="1671">
        <v>0.92069999999999996</v>
      </c>
      <c r="C66" s="1671">
        <v>0.92069999999999996</v>
      </c>
      <c r="D66" s="1671">
        <v>0.85650000000000004</v>
      </c>
      <c r="E66" s="1671">
        <v>0.85650000000000004</v>
      </c>
      <c r="F66" s="1671">
        <v>0.85650000000000004</v>
      </c>
      <c r="G66" s="1671">
        <v>0.85650000000000004</v>
      </c>
      <c r="H66" s="1671">
        <v>0.85650000000000004</v>
      </c>
      <c r="I66" s="1671">
        <v>0.73070000000000002</v>
      </c>
      <c r="J66" s="1671">
        <v>0.73070000000000002</v>
      </c>
      <c r="K66" s="1671">
        <v>0.73070000000000002</v>
      </c>
      <c r="L66" s="1671">
        <v>0.73070000000000002</v>
      </c>
      <c r="M66" s="1671">
        <v>0.73070000000000002</v>
      </c>
    </row>
    <row r="67" spans="1:13">
      <c r="A67" s="1668">
        <v>7.4</v>
      </c>
      <c r="B67" s="1671">
        <v>0.91930000000000001</v>
      </c>
      <c r="C67" s="1671">
        <v>0.91930000000000001</v>
      </c>
      <c r="D67" s="1671">
        <v>0.85450000000000004</v>
      </c>
      <c r="E67" s="1671">
        <v>0.85450000000000004</v>
      </c>
      <c r="F67" s="1671">
        <v>0.85450000000000004</v>
      </c>
      <c r="G67" s="1671">
        <v>0.85450000000000004</v>
      </c>
      <c r="H67" s="1671">
        <v>0.85450000000000004</v>
      </c>
      <c r="I67" s="1671">
        <v>0.72799999999999998</v>
      </c>
      <c r="J67" s="1671">
        <v>0.72799999999999998</v>
      </c>
      <c r="K67" s="1671">
        <v>0.72799999999999998</v>
      </c>
      <c r="L67" s="1671">
        <v>0.72799999999999998</v>
      </c>
      <c r="M67" s="1671">
        <v>0.72799999999999998</v>
      </c>
    </row>
    <row r="68" spans="1:13">
      <c r="A68" s="1668">
        <v>7.5</v>
      </c>
      <c r="B68" s="1671">
        <v>0.91790000000000005</v>
      </c>
      <c r="C68" s="1671">
        <v>0.91790000000000005</v>
      </c>
      <c r="D68" s="1671">
        <v>0.85250000000000004</v>
      </c>
      <c r="E68" s="1671">
        <v>0.85250000000000004</v>
      </c>
      <c r="F68" s="1671">
        <v>0.85250000000000004</v>
      </c>
      <c r="G68" s="1671">
        <v>0.85250000000000004</v>
      </c>
      <c r="H68" s="1671">
        <v>0.85250000000000004</v>
      </c>
      <c r="I68" s="1671">
        <v>0.72529999999999994</v>
      </c>
      <c r="J68" s="1671">
        <v>0.72529999999999994</v>
      </c>
      <c r="K68" s="1671">
        <v>0.72529999999999994</v>
      </c>
      <c r="L68" s="1671">
        <v>0.72529999999999994</v>
      </c>
      <c r="M68" s="1671">
        <v>0.72529999999999994</v>
      </c>
    </row>
    <row r="69" spans="1:13">
      <c r="A69" s="1668">
        <v>7.6</v>
      </c>
      <c r="B69" s="1671">
        <v>0.91649999999999998</v>
      </c>
      <c r="C69" s="1671">
        <v>0.91649999999999998</v>
      </c>
      <c r="D69" s="1671">
        <v>0.85050000000000003</v>
      </c>
      <c r="E69" s="1671">
        <v>0.85050000000000003</v>
      </c>
      <c r="F69" s="1671">
        <v>0.85050000000000003</v>
      </c>
      <c r="G69" s="1671">
        <v>0.85050000000000003</v>
      </c>
      <c r="H69" s="1671">
        <v>0.85050000000000003</v>
      </c>
      <c r="I69" s="1671">
        <v>0.72260000000000002</v>
      </c>
      <c r="J69" s="1671">
        <v>0.72260000000000002</v>
      </c>
      <c r="K69" s="1671">
        <v>0.72260000000000002</v>
      </c>
      <c r="L69" s="1671">
        <v>0.72260000000000002</v>
      </c>
      <c r="M69" s="1671">
        <v>0.72260000000000002</v>
      </c>
    </row>
    <row r="70" spans="1:13">
      <c r="A70" s="1668">
        <v>7.7</v>
      </c>
      <c r="B70" s="1671">
        <v>0.91510000000000002</v>
      </c>
      <c r="C70" s="1671">
        <v>0.91510000000000002</v>
      </c>
      <c r="D70" s="1671">
        <v>0.84850000000000003</v>
      </c>
      <c r="E70" s="1671">
        <v>0.84850000000000003</v>
      </c>
      <c r="F70" s="1671">
        <v>0.84850000000000003</v>
      </c>
      <c r="G70" s="1671">
        <v>0.84850000000000003</v>
      </c>
      <c r="H70" s="1671">
        <v>0.84850000000000003</v>
      </c>
      <c r="I70" s="1671">
        <v>0.72</v>
      </c>
      <c r="J70" s="1671">
        <v>0.72</v>
      </c>
      <c r="K70" s="1671">
        <v>0.72</v>
      </c>
      <c r="L70" s="1671">
        <v>0.72</v>
      </c>
      <c r="M70" s="1671">
        <v>0.72</v>
      </c>
    </row>
    <row r="71" spans="1:13">
      <c r="A71" s="1668">
        <v>7.8</v>
      </c>
      <c r="B71" s="1671">
        <v>0.91369999999999996</v>
      </c>
      <c r="C71" s="1671">
        <v>0.91369999999999996</v>
      </c>
      <c r="D71" s="1671">
        <v>0.84660000000000002</v>
      </c>
      <c r="E71" s="1671">
        <v>0.84660000000000002</v>
      </c>
      <c r="F71" s="1671">
        <v>0.84660000000000002</v>
      </c>
      <c r="G71" s="1671">
        <v>0.84660000000000002</v>
      </c>
      <c r="H71" s="1671">
        <v>0.84660000000000002</v>
      </c>
      <c r="I71" s="1671">
        <v>0.71740000000000004</v>
      </c>
      <c r="J71" s="1671">
        <v>0.71740000000000004</v>
      </c>
      <c r="K71" s="1671">
        <v>0.71740000000000004</v>
      </c>
      <c r="L71" s="1671">
        <v>0.71740000000000004</v>
      </c>
      <c r="M71" s="1671">
        <v>0.71740000000000004</v>
      </c>
    </row>
    <row r="72" spans="1:13">
      <c r="A72" s="1668">
        <v>7.9</v>
      </c>
      <c r="B72" s="1671">
        <v>0.9123</v>
      </c>
      <c r="C72" s="1671">
        <v>0.9123</v>
      </c>
      <c r="D72" s="1671">
        <v>0.84470000000000001</v>
      </c>
      <c r="E72" s="1671">
        <v>0.84470000000000001</v>
      </c>
      <c r="F72" s="1671">
        <v>0.84470000000000001</v>
      </c>
      <c r="G72" s="1671">
        <v>0.84470000000000001</v>
      </c>
      <c r="H72" s="1671">
        <v>0.84470000000000001</v>
      </c>
      <c r="I72" s="1671">
        <v>0.71479999999999999</v>
      </c>
      <c r="J72" s="1671">
        <v>0.71479999999999999</v>
      </c>
      <c r="K72" s="1671">
        <v>0.71479999999999999</v>
      </c>
      <c r="L72" s="1671">
        <v>0.71479999999999999</v>
      </c>
      <c r="M72" s="1671">
        <v>0.71479999999999999</v>
      </c>
    </row>
    <row r="73" spans="1:13">
      <c r="A73" s="1668">
        <v>8</v>
      </c>
      <c r="B73" s="1671">
        <v>0.91090000000000004</v>
      </c>
      <c r="C73" s="1671">
        <v>0.91090000000000004</v>
      </c>
      <c r="D73" s="1671">
        <v>0.84279999999999999</v>
      </c>
      <c r="E73" s="1671">
        <v>0.84279999999999999</v>
      </c>
      <c r="F73" s="1671">
        <v>0.84279999999999999</v>
      </c>
      <c r="G73" s="1671">
        <v>0.84279999999999999</v>
      </c>
      <c r="H73" s="1671">
        <v>0.84279999999999999</v>
      </c>
      <c r="I73" s="1671">
        <v>0.71230000000000004</v>
      </c>
      <c r="J73" s="1671">
        <v>0.71230000000000004</v>
      </c>
      <c r="K73" s="1671">
        <v>0.71230000000000004</v>
      </c>
      <c r="L73" s="1671">
        <v>0.71230000000000004</v>
      </c>
      <c r="M73" s="1671">
        <v>0.71230000000000004</v>
      </c>
    </row>
    <row r="74" spans="1:13">
      <c r="A74" s="1668">
        <v>8.1</v>
      </c>
      <c r="B74" s="1671">
        <v>0.90959999999999996</v>
      </c>
      <c r="C74" s="1671">
        <v>0.90959999999999996</v>
      </c>
      <c r="D74" s="1671">
        <v>0.84089999999999998</v>
      </c>
      <c r="E74" s="1671">
        <v>0.84089999999999998</v>
      </c>
      <c r="F74" s="1671">
        <v>0.84089999999999998</v>
      </c>
      <c r="G74" s="1671">
        <v>0.84089999999999998</v>
      </c>
      <c r="H74" s="1671">
        <v>0.84089999999999998</v>
      </c>
      <c r="I74" s="1671">
        <v>0.70979999999999999</v>
      </c>
      <c r="J74" s="1671">
        <v>0.70979999999999999</v>
      </c>
      <c r="K74" s="1671">
        <v>0.70979999999999999</v>
      </c>
      <c r="L74" s="1671">
        <v>0.70979999999999999</v>
      </c>
      <c r="M74" s="1671">
        <v>0.70979999999999999</v>
      </c>
    </row>
    <row r="75" spans="1:13">
      <c r="A75" s="1668">
        <v>8.1999999999999993</v>
      </c>
      <c r="B75" s="1671">
        <v>0.9083</v>
      </c>
      <c r="C75" s="1671">
        <v>0.9083</v>
      </c>
      <c r="D75" s="1671">
        <v>0.83899999999999997</v>
      </c>
      <c r="E75" s="1671">
        <v>0.83899999999999997</v>
      </c>
      <c r="F75" s="1671">
        <v>0.83899999999999997</v>
      </c>
      <c r="G75" s="1671">
        <v>0.83899999999999997</v>
      </c>
      <c r="H75" s="1671">
        <v>0.83899999999999997</v>
      </c>
      <c r="I75" s="1671">
        <v>0.70730000000000004</v>
      </c>
      <c r="J75" s="1671">
        <v>0.70730000000000004</v>
      </c>
      <c r="K75" s="1671">
        <v>0.70730000000000004</v>
      </c>
      <c r="L75" s="1671">
        <v>0.70730000000000004</v>
      </c>
      <c r="M75" s="1671">
        <v>0.70730000000000004</v>
      </c>
    </row>
    <row r="76" spans="1:13">
      <c r="A76" s="1668">
        <v>8.3000000000000007</v>
      </c>
      <c r="B76" s="1671">
        <v>0.90700000000000003</v>
      </c>
      <c r="C76" s="1671">
        <v>0.90700000000000003</v>
      </c>
      <c r="D76" s="1671">
        <v>0.83720000000000006</v>
      </c>
      <c r="E76" s="1671">
        <v>0.83720000000000006</v>
      </c>
      <c r="F76" s="1671">
        <v>0.83720000000000006</v>
      </c>
      <c r="G76" s="1671">
        <v>0.83720000000000006</v>
      </c>
      <c r="H76" s="1671">
        <v>0.83720000000000006</v>
      </c>
      <c r="I76" s="1671">
        <v>0.70489999999999997</v>
      </c>
      <c r="J76" s="1671">
        <v>0.70489999999999997</v>
      </c>
      <c r="K76" s="1671">
        <v>0.70489999999999997</v>
      </c>
      <c r="L76" s="1671">
        <v>0.70489999999999997</v>
      </c>
      <c r="M76" s="1671">
        <v>0.70489999999999997</v>
      </c>
    </row>
    <row r="77" spans="1:13">
      <c r="A77" s="1668">
        <v>8.4</v>
      </c>
      <c r="B77" s="1671">
        <v>0.90569999999999995</v>
      </c>
      <c r="C77" s="1671">
        <v>0.90569999999999995</v>
      </c>
      <c r="D77" s="1671">
        <v>0.83540000000000003</v>
      </c>
      <c r="E77" s="1671">
        <v>0.83540000000000003</v>
      </c>
      <c r="F77" s="1671">
        <v>0.83540000000000003</v>
      </c>
      <c r="G77" s="1671">
        <v>0.83540000000000003</v>
      </c>
      <c r="H77" s="1671">
        <v>0.83540000000000003</v>
      </c>
      <c r="I77" s="1671">
        <v>0.70250000000000001</v>
      </c>
      <c r="J77" s="1671">
        <v>0.70250000000000001</v>
      </c>
      <c r="K77" s="1671">
        <v>0.70250000000000001</v>
      </c>
      <c r="L77" s="1671">
        <v>0.70250000000000001</v>
      </c>
      <c r="M77" s="1671">
        <v>0.70250000000000001</v>
      </c>
    </row>
    <row r="78" spans="1:13">
      <c r="A78" s="1668">
        <v>8.5</v>
      </c>
      <c r="B78" s="1671">
        <v>0.90439999999999998</v>
      </c>
      <c r="C78" s="1671">
        <v>0.90439999999999998</v>
      </c>
      <c r="D78" s="1671">
        <v>0.83360000000000001</v>
      </c>
      <c r="E78" s="1671">
        <v>0.83360000000000001</v>
      </c>
      <c r="F78" s="1671">
        <v>0.83360000000000001</v>
      </c>
      <c r="G78" s="1671">
        <v>0.83360000000000001</v>
      </c>
      <c r="H78" s="1671">
        <v>0.83360000000000001</v>
      </c>
      <c r="I78" s="1671">
        <v>0.70009999999999994</v>
      </c>
      <c r="J78" s="1671">
        <v>0.70009999999999994</v>
      </c>
      <c r="K78" s="1671">
        <v>0.70009999999999994</v>
      </c>
      <c r="L78" s="1671">
        <v>0.70009999999999994</v>
      </c>
      <c r="M78" s="1671">
        <v>0.70009999999999994</v>
      </c>
    </row>
    <row r="79" spans="1:13">
      <c r="A79" s="1668">
        <v>8.6</v>
      </c>
      <c r="B79" s="1671">
        <v>0.90310000000000001</v>
      </c>
      <c r="C79" s="1671">
        <v>0.90310000000000001</v>
      </c>
      <c r="D79" s="1671">
        <v>0.83179999999999998</v>
      </c>
      <c r="E79" s="1671">
        <v>0.83179999999999998</v>
      </c>
      <c r="F79" s="1671">
        <v>0.83179999999999998</v>
      </c>
      <c r="G79" s="1671">
        <v>0.83179999999999998</v>
      </c>
      <c r="H79" s="1671">
        <v>0.83179999999999998</v>
      </c>
      <c r="I79" s="1671">
        <v>0.69779999999999998</v>
      </c>
      <c r="J79" s="1671">
        <v>0.69779999999999998</v>
      </c>
      <c r="K79" s="1671">
        <v>0.69779999999999998</v>
      </c>
      <c r="L79" s="1671">
        <v>0.69779999999999998</v>
      </c>
      <c r="M79" s="1671">
        <v>0.69779999999999998</v>
      </c>
    </row>
    <row r="80" spans="1:13">
      <c r="A80" s="1668">
        <v>8.6999999999999993</v>
      </c>
      <c r="B80" s="1671">
        <v>0.90180000000000005</v>
      </c>
      <c r="C80" s="1671">
        <v>0.90180000000000005</v>
      </c>
      <c r="D80" s="1671">
        <v>0.83</v>
      </c>
      <c r="E80" s="1671">
        <v>0.83</v>
      </c>
      <c r="F80" s="1671">
        <v>0.83</v>
      </c>
      <c r="G80" s="1671">
        <v>0.83</v>
      </c>
      <c r="H80" s="1671">
        <v>0.83</v>
      </c>
      <c r="I80" s="1671">
        <v>0.69550000000000001</v>
      </c>
      <c r="J80" s="1671">
        <v>0.69550000000000001</v>
      </c>
      <c r="K80" s="1671">
        <v>0.69550000000000001</v>
      </c>
      <c r="L80" s="1671">
        <v>0.69550000000000001</v>
      </c>
      <c r="M80" s="1671">
        <v>0.69550000000000001</v>
      </c>
    </row>
    <row r="81" spans="1:14">
      <c r="A81" s="1668">
        <v>8.8000000000000007</v>
      </c>
      <c r="B81" s="1671">
        <v>0.90059999999999996</v>
      </c>
      <c r="C81" s="1671">
        <v>0.90059999999999996</v>
      </c>
      <c r="D81" s="1671">
        <v>0.82830000000000004</v>
      </c>
      <c r="E81" s="1671">
        <v>0.82830000000000004</v>
      </c>
      <c r="F81" s="1671">
        <v>0.82830000000000004</v>
      </c>
      <c r="G81" s="1671">
        <v>0.82830000000000004</v>
      </c>
      <c r="H81" s="1671">
        <v>0.82830000000000004</v>
      </c>
      <c r="I81" s="1671">
        <v>0.69320000000000004</v>
      </c>
      <c r="J81" s="1671">
        <v>0.69320000000000004</v>
      </c>
      <c r="K81" s="1671">
        <v>0.69320000000000004</v>
      </c>
      <c r="L81" s="1671">
        <v>0.69320000000000004</v>
      </c>
      <c r="M81" s="1671">
        <v>0.69320000000000004</v>
      </c>
    </row>
    <row r="82" spans="1:14">
      <c r="A82" s="1668">
        <v>8.9</v>
      </c>
      <c r="B82" s="1671">
        <v>0.89939999999999998</v>
      </c>
      <c r="C82" s="1671">
        <v>0.89939999999999998</v>
      </c>
      <c r="D82" s="1671">
        <v>0.8266</v>
      </c>
      <c r="E82" s="1671">
        <v>0.8266</v>
      </c>
      <c r="F82" s="1671">
        <v>0.8266</v>
      </c>
      <c r="G82" s="1671">
        <v>0.8266</v>
      </c>
      <c r="H82" s="1671">
        <v>0.8266</v>
      </c>
      <c r="I82" s="1671">
        <v>0.69099999999999995</v>
      </c>
      <c r="J82" s="1671">
        <v>0.69099999999999995</v>
      </c>
      <c r="K82" s="1671">
        <v>0.69099999999999995</v>
      </c>
      <c r="L82" s="1671">
        <v>0.69099999999999995</v>
      </c>
      <c r="M82" s="1671">
        <v>0.69099999999999995</v>
      </c>
    </row>
    <row r="83" spans="1:14">
      <c r="A83" s="1668">
        <v>9</v>
      </c>
      <c r="B83" s="1671">
        <v>0.8982</v>
      </c>
      <c r="C83" s="1671">
        <v>0.8982</v>
      </c>
      <c r="D83" s="1671">
        <v>0.82489999999999997</v>
      </c>
      <c r="E83" s="1671">
        <v>0.82489999999999997</v>
      </c>
      <c r="F83" s="1671">
        <v>0.82489999999999997</v>
      </c>
      <c r="G83" s="1671">
        <v>0.82489999999999997</v>
      </c>
      <c r="H83" s="1671">
        <v>0.82489999999999997</v>
      </c>
      <c r="I83" s="1671">
        <v>0.68879999999999997</v>
      </c>
      <c r="J83" s="1671">
        <v>0.68879999999999997</v>
      </c>
      <c r="K83" s="1671">
        <v>0.68879999999999997</v>
      </c>
      <c r="L83" s="1671">
        <v>0.68879999999999997</v>
      </c>
      <c r="M83" s="1671">
        <v>0.68879999999999997</v>
      </c>
    </row>
    <row r="84" spans="1:14">
      <c r="A84" s="1668">
        <v>9.1</v>
      </c>
      <c r="B84" s="1671">
        <v>0.89700000000000002</v>
      </c>
      <c r="C84" s="1671">
        <v>0.89700000000000002</v>
      </c>
      <c r="D84" s="1671">
        <v>0.82320000000000004</v>
      </c>
      <c r="E84" s="1671">
        <v>0.82320000000000004</v>
      </c>
      <c r="F84" s="1671">
        <v>0.82320000000000004</v>
      </c>
      <c r="G84" s="1671">
        <v>0.82320000000000004</v>
      </c>
      <c r="H84" s="1671">
        <v>0.82320000000000004</v>
      </c>
      <c r="I84" s="1671">
        <v>0.68659999999999999</v>
      </c>
      <c r="J84" s="1671">
        <v>0.68659999999999999</v>
      </c>
      <c r="K84" s="1671">
        <v>0.68659999999999999</v>
      </c>
      <c r="L84" s="1671">
        <v>0.68659999999999999</v>
      </c>
      <c r="M84" s="1671">
        <v>0.68659999999999999</v>
      </c>
    </row>
    <row r="85" spans="1:14">
      <c r="A85" s="1668">
        <v>9.1999999999999993</v>
      </c>
      <c r="B85" s="1671">
        <v>0.89580000000000004</v>
      </c>
      <c r="C85" s="1671">
        <v>0.89580000000000004</v>
      </c>
      <c r="D85" s="1671">
        <v>0.82150000000000001</v>
      </c>
      <c r="E85" s="1671">
        <v>0.82150000000000001</v>
      </c>
      <c r="F85" s="1671">
        <v>0.82150000000000001</v>
      </c>
      <c r="G85" s="1671">
        <v>0.82150000000000001</v>
      </c>
      <c r="H85" s="1671">
        <v>0.82150000000000001</v>
      </c>
      <c r="I85" s="1671">
        <v>0.6845</v>
      </c>
      <c r="J85" s="1671">
        <v>0.6845</v>
      </c>
      <c r="K85" s="1671">
        <v>0.6845</v>
      </c>
      <c r="L85" s="1671">
        <v>0.6845</v>
      </c>
      <c r="M85" s="1671">
        <v>0.6845</v>
      </c>
    </row>
    <row r="86" spans="1:14">
      <c r="A86" s="1668">
        <v>9.3000000000000007</v>
      </c>
      <c r="B86" s="1671">
        <v>0.89459999999999995</v>
      </c>
      <c r="C86" s="1671">
        <v>0.89459999999999995</v>
      </c>
      <c r="D86" s="1671">
        <v>0.81989999999999996</v>
      </c>
      <c r="E86" s="1671">
        <v>0.81989999999999996</v>
      </c>
      <c r="F86" s="1671">
        <v>0.81989999999999996</v>
      </c>
      <c r="G86" s="1671">
        <v>0.81989999999999996</v>
      </c>
      <c r="H86" s="1671">
        <v>0.81989999999999996</v>
      </c>
      <c r="I86" s="1671">
        <v>0.68240000000000001</v>
      </c>
      <c r="J86" s="1671">
        <v>0.68240000000000001</v>
      </c>
      <c r="K86" s="1671">
        <v>0.68240000000000001</v>
      </c>
      <c r="L86" s="1671">
        <v>0.68240000000000001</v>
      </c>
      <c r="M86" s="1671">
        <v>0.68240000000000001</v>
      </c>
    </row>
    <row r="87" spans="1:14">
      <c r="A87" s="1668">
        <v>9.4</v>
      </c>
      <c r="B87" s="1671">
        <v>0.89339999999999997</v>
      </c>
      <c r="C87" s="1671">
        <v>0.89339999999999997</v>
      </c>
      <c r="D87" s="1671">
        <v>0.81830000000000003</v>
      </c>
      <c r="E87" s="1671">
        <v>0.81830000000000003</v>
      </c>
      <c r="F87" s="1671">
        <v>0.81830000000000003</v>
      </c>
      <c r="G87" s="1671">
        <v>0.81830000000000003</v>
      </c>
      <c r="H87" s="1671">
        <v>0.81830000000000003</v>
      </c>
      <c r="I87" s="1671">
        <v>0.68030000000000002</v>
      </c>
      <c r="J87" s="1671">
        <v>0.68030000000000002</v>
      </c>
      <c r="K87" s="1671">
        <v>0.68030000000000002</v>
      </c>
      <c r="L87" s="1671">
        <v>0.68030000000000002</v>
      </c>
      <c r="M87" s="1671">
        <v>0.68030000000000002</v>
      </c>
    </row>
    <row r="88" spans="1:14">
      <c r="A88" s="1668">
        <v>9.5</v>
      </c>
      <c r="B88" s="1671">
        <v>0.89229999999999998</v>
      </c>
      <c r="C88" s="1671">
        <v>0.89229999999999998</v>
      </c>
      <c r="D88" s="1671">
        <v>0.81669999999999998</v>
      </c>
      <c r="E88" s="1671">
        <v>0.81669999999999998</v>
      </c>
      <c r="F88" s="1671">
        <v>0.81669999999999998</v>
      </c>
      <c r="G88" s="1671">
        <v>0.81669999999999998</v>
      </c>
      <c r="H88" s="1671">
        <v>0.81669999999999998</v>
      </c>
      <c r="I88" s="1671">
        <v>0.67830000000000001</v>
      </c>
      <c r="J88" s="1671">
        <v>0.67830000000000001</v>
      </c>
      <c r="K88" s="1671">
        <v>0.67830000000000001</v>
      </c>
      <c r="L88" s="1671">
        <v>0.67830000000000001</v>
      </c>
      <c r="M88" s="1671">
        <v>0.67830000000000001</v>
      </c>
    </row>
    <row r="89" spans="1:14">
      <c r="A89" s="1668">
        <v>9.6</v>
      </c>
      <c r="B89" s="1671">
        <v>0.89119999999999999</v>
      </c>
      <c r="C89" s="1671">
        <v>0.89119999999999999</v>
      </c>
      <c r="D89" s="1671">
        <v>0.81510000000000005</v>
      </c>
      <c r="E89" s="1671">
        <v>0.81510000000000005</v>
      </c>
      <c r="F89" s="1671">
        <v>0.81510000000000005</v>
      </c>
      <c r="G89" s="1671">
        <v>0.81510000000000005</v>
      </c>
      <c r="H89" s="1671">
        <v>0.81510000000000005</v>
      </c>
      <c r="I89" s="1671">
        <v>0.67630000000000001</v>
      </c>
      <c r="J89" s="1671">
        <v>0.67630000000000001</v>
      </c>
      <c r="K89" s="1671">
        <v>0.67630000000000001</v>
      </c>
      <c r="L89" s="1671">
        <v>0.67630000000000001</v>
      </c>
      <c r="M89" s="1671">
        <v>0.67630000000000001</v>
      </c>
    </row>
    <row r="90" spans="1:14">
      <c r="A90" s="1668">
        <v>9.6999999999999993</v>
      </c>
      <c r="B90" s="1671">
        <v>0.8901</v>
      </c>
      <c r="C90" s="1671">
        <v>0.8901</v>
      </c>
      <c r="D90" s="1671">
        <v>0.8135</v>
      </c>
      <c r="E90" s="1671">
        <v>0.8135</v>
      </c>
      <c r="F90" s="1671">
        <v>0.8135</v>
      </c>
      <c r="G90" s="1671">
        <v>0.8135</v>
      </c>
      <c r="H90" s="1671">
        <v>0.8135</v>
      </c>
      <c r="I90" s="1671">
        <v>0.67430000000000001</v>
      </c>
      <c r="J90" s="1671">
        <v>0.67430000000000001</v>
      </c>
      <c r="K90" s="1671">
        <v>0.67430000000000001</v>
      </c>
      <c r="L90" s="1671">
        <v>0.67430000000000001</v>
      </c>
      <c r="M90" s="1671">
        <v>0.67430000000000001</v>
      </c>
    </row>
    <row r="91" spans="1:14">
      <c r="A91" s="1668">
        <v>9.8000000000000007</v>
      </c>
      <c r="B91" s="1671">
        <v>0.88900000000000001</v>
      </c>
      <c r="C91" s="1671">
        <v>0.88900000000000001</v>
      </c>
      <c r="D91" s="1671">
        <v>0.81200000000000006</v>
      </c>
      <c r="E91" s="1671">
        <v>0.81200000000000006</v>
      </c>
      <c r="F91" s="1671">
        <v>0.81200000000000006</v>
      </c>
      <c r="G91" s="1671">
        <v>0.81200000000000006</v>
      </c>
      <c r="H91" s="1671">
        <v>0.81200000000000006</v>
      </c>
      <c r="I91" s="1671">
        <v>0.6724</v>
      </c>
      <c r="J91" s="1671">
        <v>0.6724</v>
      </c>
      <c r="K91" s="1671">
        <v>0.6724</v>
      </c>
      <c r="L91" s="1671">
        <v>0.6724</v>
      </c>
      <c r="M91" s="1671">
        <v>0.6724</v>
      </c>
    </row>
    <row r="92" spans="1:14">
      <c r="A92" s="1672">
        <v>9.9</v>
      </c>
      <c r="B92" s="1671">
        <v>0.88790000000000002</v>
      </c>
      <c r="C92" s="1671">
        <v>0.88790000000000002</v>
      </c>
      <c r="D92" s="1671">
        <v>0.8105</v>
      </c>
      <c r="E92" s="1671">
        <v>0.8105</v>
      </c>
      <c r="F92" s="1671">
        <v>0.8105</v>
      </c>
      <c r="G92" s="1671">
        <v>0.8105</v>
      </c>
      <c r="H92" s="1671">
        <v>0.8105</v>
      </c>
      <c r="I92" s="1671">
        <v>0.67049999999999998</v>
      </c>
      <c r="J92" s="1671">
        <v>0.67049999999999998</v>
      </c>
      <c r="K92" s="1671">
        <v>0.67049999999999998</v>
      </c>
      <c r="L92" s="1671">
        <v>0.67049999999999998</v>
      </c>
      <c r="M92" s="1671">
        <v>0.67049999999999998</v>
      </c>
    </row>
    <row r="93" spans="1:14" ht="14.25">
      <c r="A93" s="1666" t="s">
        <v>1896</v>
      </c>
      <c r="B93" s="1671"/>
      <c r="C93" s="1671"/>
      <c r="D93" s="1671"/>
      <c r="E93" s="1671"/>
      <c r="F93" s="1671"/>
      <c r="G93" s="1671"/>
      <c r="H93" s="1671"/>
      <c r="I93" s="1671"/>
      <c r="J93" s="1671"/>
      <c r="K93" s="1671"/>
      <c r="L93" s="1671"/>
      <c r="M93" s="1671"/>
    </row>
    <row r="94" spans="1:14">
      <c r="A94" s="1672" t="s">
        <v>105</v>
      </c>
      <c r="B94" s="1671" t="s">
        <v>238</v>
      </c>
      <c r="C94" s="1671" t="s">
        <v>251</v>
      </c>
      <c r="D94" s="1671" t="s">
        <v>263</v>
      </c>
      <c r="E94" s="1671" t="s">
        <v>273</v>
      </c>
      <c r="F94" s="1671" t="s">
        <v>282</v>
      </c>
      <c r="G94" s="1671" t="s">
        <v>290</v>
      </c>
      <c r="H94" s="1671" t="s">
        <v>295</v>
      </c>
      <c r="I94" s="1671" t="s">
        <v>301</v>
      </c>
      <c r="J94" s="1671" t="s">
        <v>305</v>
      </c>
      <c r="K94" s="1671" t="s">
        <v>309</v>
      </c>
      <c r="L94" s="1671" t="s">
        <v>313</v>
      </c>
      <c r="M94" s="1671" t="s">
        <v>317</v>
      </c>
      <c r="N94" s="1665" t="e">
        <f>SUMPRODUCT((A95:A184=ROUNDDOWN([2]基准地价修正!G3,1))*(B94:M94=[2]基准地价修正!G2)*(B95:M184))</f>
        <v>#REF!</v>
      </c>
    </row>
    <row r="95" spans="1:14">
      <c r="A95" s="1672">
        <v>1</v>
      </c>
      <c r="B95" s="1671">
        <v>1.2501</v>
      </c>
      <c r="C95" s="1671">
        <v>1.2501</v>
      </c>
      <c r="D95" s="1671">
        <v>1.2158</v>
      </c>
      <c r="E95" s="1671">
        <v>1.2158</v>
      </c>
      <c r="F95" s="1671">
        <v>1.2158</v>
      </c>
      <c r="G95" s="1671">
        <v>1.2158</v>
      </c>
      <c r="H95" s="1671">
        <v>1.2158</v>
      </c>
      <c r="I95" s="1671">
        <v>1.2302</v>
      </c>
      <c r="J95" s="1671">
        <v>1.2302</v>
      </c>
      <c r="K95" s="1671">
        <v>1.2302</v>
      </c>
      <c r="L95" s="1671">
        <v>1.2302</v>
      </c>
      <c r="M95" s="1671">
        <v>1.2302</v>
      </c>
    </row>
    <row r="96" spans="1:14">
      <c r="A96" s="1672">
        <v>1.1000000000000001</v>
      </c>
      <c r="B96" s="1671">
        <v>1.2310000000000001</v>
      </c>
      <c r="C96" s="1671">
        <v>1.2310000000000001</v>
      </c>
      <c r="D96" s="1671">
        <v>1.1947000000000001</v>
      </c>
      <c r="E96" s="1671">
        <v>1.1947000000000001</v>
      </c>
      <c r="F96" s="1671">
        <v>1.1947000000000001</v>
      </c>
      <c r="G96" s="1671">
        <v>1.1947000000000001</v>
      </c>
      <c r="H96" s="1671">
        <v>1.1947000000000001</v>
      </c>
      <c r="I96" s="1671">
        <v>1.2008000000000001</v>
      </c>
      <c r="J96" s="1671">
        <v>1.2008000000000001</v>
      </c>
      <c r="K96" s="1671">
        <v>1.2008000000000001</v>
      </c>
      <c r="L96" s="1671">
        <v>1.2008000000000001</v>
      </c>
      <c r="M96" s="1671">
        <v>1.2008000000000001</v>
      </c>
    </row>
    <row r="97" spans="1:14">
      <c r="A97" s="1672">
        <v>1.2</v>
      </c>
      <c r="B97" s="1671">
        <v>1.2130000000000001</v>
      </c>
      <c r="C97" s="1671">
        <v>1.2130000000000001</v>
      </c>
      <c r="D97" s="1671">
        <v>1.1748000000000001</v>
      </c>
      <c r="E97" s="1671">
        <v>1.1748000000000001</v>
      </c>
      <c r="F97" s="1671">
        <v>1.1748000000000001</v>
      </c>
      <c r="G97" s="1671">
        <v>1.1748000000000001</v>
      </c>
      <c r="H97" s="1671">
        <v>1.1748000000000001</v>
      </c>
      <c r="I97" s="1671">
        <v>1.173</v>
      </c>
      <c r="J97" s="1671">
        <v>1.173</v>
      </c>
      <c r="K97" s="1671">
        <v>1.173</v>
      </c>
      <c r="L97" s="1671">
        <v>1.173</v>
      </c>
      <c r="M97" s="1671">
        <v>1.173</v>
      </c>
    </row>
    <row r="98" spans="1:14">
      <c r="A98" s="1672">
        <v>1.3</v>
      </c>
      <c r="B98" s="1671">
        <v>1.196</v>
      </c>
      <c r="C98" s="1671">
        <v>1.196</v>
      </c>
      <c r="D98" s="1671">
        <v>1.1559999999999999</v>
      </c>
      <c r="E98" s="1671">
        <v>1.1559999999999999</v>
      </c>
      <c r="F98" s="1671">
        <v>1.1559999999999999</v>
      </c>
      <c r="G98" s="1671">
        <v>1.1559999999999999</v>
      </c>
      <c r="H98" s="1671">
        <v>1.1559999999999999</v>
      </c>
      <c r="I98" s="1671">
        <v>1.1468</v>
      </c>
      <c r="J98" s="1671">
        <v>1.1468</v>
      </c>
      <c r="K98" s="1671">
        <v>1.1468</v>
      </c>
      <c r="L98" s="1671">
        <v>1.1468</v>
      </c>
      <c r="M98" s="1671">
        <v>1.1468</v>
      </c>
    </row>
    <row r="99" spans="1:14">
      <c r="A99" s="1672">
        <v>1.4</v>
      </c>
      <c r="B99" s="1671">
        <v>1.18</v>
      </c>
      <c r="C99" s="1671">
        <v>1.18</v>
      </c>
      <c r="D99" s="1671">
        <v>1.1382000000000001</v>
      </c>
      <c r="E99" s="1671">
        <v>1.1382000000000001</v>
      </c>
      <c r="F99" s="1671">
        <v>1.1382000000000001</v>
      </c>
      <c r="G99" s="1671">
        <v>1.1382000000000001</v>
      </c>
      <c r="H99" s="1671">
        <v>1.1382000000000001</v>
      </c>
      <c r="I99" s="1671">
        <v>1.1220000000000001</v>
      </c>
      <c r="J99" s="1671">
        <v>1.1220000000000001</v>
      </c>
      <c r="K99" s="1671">
        <v>1.1220000000000001</v>
      </c>
      <c r="L99" s="1671">
        <v>1.1220000000000001</v>
      </c>
      <c r="M99" s="1671">
        <v>1.1220000000000001</v>
      </c>
    </row>
    <row r="100" spans="1:14">
      <c r="A100" s="1672">
        <v>1.5</v>
      </c>
      <c r="B100" s="1671">
        <v>1.1649</v>
      </c>
      <c r="C100" s="1671">
        <v>1.1649</v>
      </c>
      <c r="D100" s="1671">
        <v>1.1214999999999999</v>
      </c>
      <c r="E100" s="1671">
        <v>1.1214999999999999</v>
      </c>
      <c r="F100" s="1671">
        <v>1.1214999999999999</v>
      </c>
      <c r="G100" s="1671">
        <v>1.1214999999999999</v>
      </c>
      <c r="H100" s="1671">
        <v>1.1214999999999999</v>
      </c>
      <c r="I100" s="1671">
        <v>1.0985</v>
      </c>
      <c r="J100" s="1671">
        <v>1.0985</v>
      </c>
      <c r="K100" s="1671">
        <v>1.0985</v>
      </c>
      <c r="L100" s="1671">
        <v>1.0985</v>
      </c>
      <c r="M100" s="1671">
        <v>1.0985</v>
      </c>
    </row>
    <row r="101" spans="1:14">
      <c r="A101" s="1672">
        <v>1.6</v>
      </c>
      <c r="B101" s="1671">
        <v>1.1507000000000001</v>
      </c>
      <c r="C101" s="1671">
        <v>1.1507000000000001</v>
      </c>
      <c r="D101" s="1671">
        <v>1.1056999999999999</v>
      </c>
      <c r="E101" s="1671">
        <v>1.1056999999999999</v>
      </c>
      <c r="F101" s="1671">
        <v>1.1056999999999999</v>
      </c>
      <c r="G101" s="1671">
        <v>1.1056999999999999</v>
      </c>
      <c r="H101" s="1671">
        <v>1.1056999999999999</v>
      </c>
      <c r="I101" s="1671">
        <v>1.0764</v>
      </c>
      <c r="J101" s="1671">
        <v>1.0764</v>
      </c>
      <c r="K101" s="1671">
        <v>1.0764</v>
      </c>
      <c r="L101" s="1671">
        <v>1.0764</v>
      </c>
      <c r="M101" s="1671">
        <v>1.0764</v>
      </c>
    </row>
    <row r="102" spans="1:14">
      <c r="A102" s="1672">
        <v>1.7</v>
      </c>
      <c r="B102" s="1671">
        <v>1.1373</v>
      </c>
      <c r="C102" s="1671">
        <v>1.1373</v>
      </c>
      <c r="D102" s="1671">
        <v>1.0908</v>
      </c>
      <c r="E102" s="1671">
        <v>1.0908</v>
      </c>
      <c r="F102" s="1671">
        <v>1.0908</v>
      </c>
      <c r="G102" s="1671">
        <v>1.0908</v>
      </c>
      <c r="H102" s="1671">
        <v>1.0908</v>
      </c>
      <c r="I102" s="1671">
        <v>1.0556000000000001</v>
      </c>
      <c r="J102" s="1671">
        <v>1.0556000000000001</v>
      </c>
      <c r="K102" s="1671">
        <v>1.0556000000000001</v>
      </c>
      <c r="L102" s="1671">
        <v>1.0556000000000001</v>
      </c>
      <c r="M102" s="1671">
        <v>1.0556000000000001</v>
      </c>
    </row>
    <row r="103" spans="1:14">
      <c r="A103" s="1672">
        <v>1.8</v>
      </c>
      <c r="B103" s="1671">
        <v>1.1247</v>
      </c>
      <c r="C103" s="1671">
        <v>1.1247</v>
      </c>
      <c r="D103" s="1671">
        <v>1.0768</v>
      </c>
      <c r="E103" s="1671">
        <v>1.0768</v>
      </c>
      <c r="F103" s="1671">
        <v>1.0768</v>
      </c>
      <c r="G103" s="1671">
        <v>1.0768</v>
      </c>
      <c r="H103" s="1671">
        <v>1.0768</v>
      </c>
      <c r="I103" s="1671">
        <v>1.0359</v>
      </c>
      <c r="J103" s="1671">
        <v>1.0359</v>
      </c>
      <c r="K103" s="1671">
        <v>1.0359</v>
      </c>
      <c r="L103" s="1671">
        <v>1.0359</v>
      </c>
      <c r="M103" s="1671">
        <v>1.0359</v>
      </c>
    </row>
    <row r="104" spans="1:14" ht="14.25">
      <c r="A104" s="1668">
        <v>1.9</v>
      </c>
      <c r="B104" s="1669">
        <v>1.1128</v>
      </c>
      <c r="C104" s="1669">
        <v>1.1128</v>
      </c>
      <c r="D104" s="1669">
        <v>1.0637000000000001</v>
      </c>
      <c r="E104" s="1669">
        <v>1.0637000000000001</v>
      </c>
      <c r="F104" s="1669">
        <v>1.0637000000000001</v>
      </c>
      <c r="G104" s="1669">
        <v>1.0637000000000001</v>
      </c>
      <c r="H104" s="1670">
        <v>1.0637000000000001</v>
      </c>
      <c r="I104" s="1670">
        <v>1.0174000000000001</v>
      </c>
      <c r="J104" s="1673">
        <v>1.0174000000000001</v>
      </c>
      <c r="K104" s="1673">
        <v>1.0174000000000001</v>
      </c>
      <c r="L104" s="1673">
        <v>1.0174000000000001</v>
      </c>
      <c r="M104" s="1673">
        <v>1.0174000000000001</v>
      </c>
      <c r="N104" s="1667"/>
    </row>
    <row r="105" spans="1:14">
      <c r="A105" s="1668">
        <v>2</v>
      </c>
      <c r="B105" s="1671">
        <v>1.1016999999999999</v>
      </c>
      <c r="C105" s="1671">
        <v>1.1016999999999999</v>
      </c>
      <c r="D105" s="1671">
        <v>1.0512999999999999</v>
      </c>
      <c r="E105" s="1671">
        <v>1.0512999999999999</v>
      </c>
      <c r="F105" s="1671">
        <v>1.0512999999999999</v>
      </c>
      <c r="G105" s="1671">
        <v>1.0512999999999999</v>
      </c>
      <c r="H105" s="1671">
        <v>1.0512999999999999</v>
      </c>
      <c r="I105" s="1671">
        <v>1</v>
      </c>
      <c r="J105" s="1671">
        <v>1</v>
      </c>
      <c r="K105" s="1671">
        <v>1</v>
      </c>
      <c r="L105" s="1671">
        <v>1</v>
      </c>
      <c r="M105" s="1671">
        <v>1</v>
      </c>
    </row>
    <row r="106" spans="1:14">
      <c r="A106" s="1668">
        <v>2.1</v>
      </c>
      <c r="B106" s="1671">
        <v>1.0912999999999999</v>
      </c>
      <c r="C106" s="1671">
        <v>1.0912999999999999</v>
      </c>
      <c r="D106" s="1671">
        <v>1.0397000000000001</v>
      </c>
      <c r="E106" s="1671">
        <v>1.0397000000000001</v>
      </c>
      <c r="F106" s="1671">
        <v>1.0397000000000001</v>
      </c>
      <c r="G106" s="1671">
        <v>1.0397000000000001</v>
      </c>
      <c r="H106" s="1671">
        <v>1.0397000000000001</v>
      </c>
      <c r="I106" s="1671">
        <v>0.98360000000000003</v>
      </c>
      <c r="J106" s="1671">
        <v>0.98360000000000003</v>
      </c>
      <c r="K106" s="1671">
        <v>0.98360000000000003</v>
      </c>
      <c r="L106" s="1671">
        <v>0.98360000000000003</v>
      </c>
      <c r="M106" s="1671">
        <v>0.98360000000000003</v>
      </c>
    </row>
    <row r="107" spans="1:14">
      <c r="A107" s="1668">
        <v>2.2000000000000002</v>
      </c>
      <c r="B107" s="1671">
        <v>1.0814999999999999</v>
      </c>
      <c r="C107" s="1671">
        <v>1.0814999999999999</v>
      </c>
      <c r="D107" s="1671">
        <v>1.0287999999999999</v>
      </c>
      <c r="E107" s="1671">
        <v>1.0287999999999999</v>
      </c>
      <c r="F107" s="1671">
        <v>1.0287999999999999</v>
      </c>
      <c r="G107" s="1671">
        <v>1.0287999999999999</v>
      </c>
      <c r="H107" s="1671">
        <v>1.0287999999999999</v>
      </c>
      <c r="I107" s="1671">
        <v>0.96819999999999995</v>
      </c>
      <c r="J107" s="1671">
        <v>0.96819999999999995</v>
      </c>
      <c r="K107" s="1671">
        <v>0.96819999999999995</v>
      </c>
      <c r="L107" s="1671">
        <v>0.96819999999999995</v>
      </c>
      <c r="M107" s="1671">
        <v>0.96819999999999995</v>
      </c>
    </row>
    <row r="108" spans="1:14">
      <c r="A108" s="1668">
        <v>2.2999999999999998</v>
      </c>
      <c r="B108" s="1671">
        <v>1.0724</v>
      </c>
      <c r="C108" s="1671">
        <v>1.0724</v>
      </c>
      <c r="D108" s="1671">
        <v>1.0185999999999999</v>
      </c>
      <c r="E108" s="1671">
        <v>1.0185999999999999</v>
      </c>
      <c r="F108" s="1671">
        <v>1.0185999999999999</v>
      </c>
      <c r="G108" s="1671">
        <v>1.0185999999999999</v>
      </c>
      <c r="H108" s="1671">
        <v>1.0185999999999999</v>
      </c>
      <c r="I108" s="1671">
        <v>0.95369999999999999</v>
      </c>
      <c r="J108" s="1671">
        <v>0.95369999999999999</v>
      </c>
      <c r="K108" s="1671">
        <v>0.95369999999999999</v>
      </c>
      <c r="L108" s="1671">
        <v>0.95369999999999999</v>
      </c>
      <c r="M108" s="1671">
        <v>0.95369999999999999</v>
      </c>
    </row>
    <row r="109" spans="1:14">
      <c r="A109" s="1668">
        <v>2.4</v>
      </c>
      <c r="B109" s="1671">
        <v>1.0638000000000001</v>
      </c>
      <c r="C109" s="1671">
        <v>1.0638000000000001</v>
      </c>
      <c r="D109" s="1671">
        <v>1.0089999999999999</v>
      </c>
      <c r="E109" s="1671">
        <v>1.0089999999999999</v>
      </c>
      <c r="F109" s="1671">
        <v>1.0089999999999999</v>
      </c>
      <c r="G109" s="1671">
        <v>1.0089999999999999</v>
      </c>
      <c r="H109" s="1671">
        <v>1.0089999999999999</v>
      </c>
      <c r="I109" s="1671">
        <v>0.94010000000000005</v>
      </c>
      <c r="J109" s="1671">
        <v>0.94010000000000005</v>
      </c>
      <c r="K109" s="1671">
        <v>0.94010000000000005</v>
      </c>
      <c r="L109" s="1671">
        <v>0.94010000000000005</v>
      </c>
      <c r="M109" s="1671">
        <v>0.94010000000000005</v>
      </c>
    </row>
    <row r="110" spans="1:14">
      <c r="A110" s="1668">
        <v>2.5</v>
      </c>
      <c r="B110" s="1671">
        <v>1.0558000000000001</v>
      </c>
      <c r="C110" s="1671">
        <v>1.0558000000000001</v>
      </c>
      <c r="D110" s="1671">
        <v>1</v>
      </c>
      <c r="E110" s="1671">
        <v>1</v>
      </c>
      <c r="F110" s="1671">
        <v>1</v>
      </c>
      <c r="G110" s="1671">
        <v>1</v>
      </c>
      <c r="H110" s="1671">
        <v>1</v>
      </c>
      <c r="I110" s="1671">
        <v>0.9274</v>
      </c>
      <c r="J110" s="1671">
        <v>0.9274</v>
      </c>
      <c r="K110" s="1671">
        <v>0.9274</v>
      </c>
      <c r="L110" s="1671">
        <v>0.9274</v>
      </c>
      <c r="M110" s="1671">
        <v>0.9274</v>
      </c>
    </row>
    <row r="111" spans="1:14">
      <c r="A111" s="1668">
        <v>2.6</v>
      </c>
      <c r="B111" s="1671">
        <v>1.0483</v>
      </c>
      <c r="C111" s="1671">
        <v>1.0483</v>
      </c>
      <c r="D111" s="1671">
        <v>0.99160000000000004</v>
      </c>
      <c r="E111" s="1671">
        <v>0.99160000000000004</v>
      </c>
      <c r="F111" s="1671">
        <v>0.99160000000000004</v>
      </c>
      <c r="G111" s="1671">
        <v>0.99160000000000004</v>
      </c>
      <c r="H111" s="1671">
        <v>0.99160000000000004</v>
      </c>
      <c r="I111" s="1671">
        <v>0.91539999999999999</v>
      </c>
      <c r="J111" s="1671">
        <v>0.91539999999999999</v>
      </c>
      <c r="K111" s="1671">
        <v>0.91539999999999999</v>
      </c>
      <c r="L111" s="1671">
        <v>0.91539999999999999</v>
      </c>
      <c r="M111" s="1671">
        <v>0.91539999999999999</v>
      </c>
    </row>
    <row r="112" spans="1:14">
      <c r="A112" s="1668">
        <v>2.7</v>
      </c>
      <c r="B112" s="1671">
        <v>1.0412999999999999</v>
      </c>
      <c r="C112" s="1671">
        <v>1.0412999999999999</v>
      </c>
      <c r="D112" s="1671">
        <v>0.98370000000000002</v>
      </c>
      <c r="E112" s="1671">
        <v>0.98370000000000002</v>
      </c>
      <c r="F112" s="1671">
        <v>0.98370000000000002</v>
      </c>
      <c r="G112" s="1671">
        <v>0.98370000000000002</v>
      </c>
      <c r="H112" s="1671">
        <v>0.98370000000000002</v>
      </c>
      <c r="I112" s="1671">
        <v>0.90429999999999999</v>
      </c>
      <c r="J112" s="1671">
        <v>0.90429999999999999</v>
      </c>
      <c r="K112" s="1671">
        <v>0.90429999999999999</v>
      </c>
      <c r="L112" s="1671">
        <v>0.90429999999999999</v>
      </c>
      <c r="M112" s="1671">
        <v>0.90429999999999999</v>
      </c>
    </row>
    <row r="113" spans="1:13">
      <c r="A113" s="1668">
        <v>2.8</v>
      </c>
      <c r="B113" s="1671">
        <v>1.0347999999999999</v>
      </c>
      <c r="C113" s="1671">
        <v>1.0347999999999999</v>
      </c>
      <c r="D113" s="1671">
        <v>0.97640000000000005</v>
      </c>
      <c r="E113" s="1671">
        <v>0.97640000000000005</v>
      </c>
      <c r="F113" s="1671">
        <v>0.97640000000000005</v>
      </c>
      <c r="G113" s="1671">
        <v>0.97640000000000005</v>
      </c>
      <c r="H113" s="1671">
        <v>0.97640000000000005</v>
      </c>
      <c r="I113" s="1671">
        <v>0.89370000000000005</v>
      </c>
      <c r="J113" s="1671">
        <v>0.89370000000000005</v>
      </c>
      <c r="K113" s="1671">
        <v>0.89370000000000005</v>
      </c>
      <c r="L113" s="1671">
        <v>0.89370000000000005</v>
      </c>
      <c r="M113" s="1671">
        <v>0.89370000000000005</v>
      </c>
    </row>
    <row r="114" spans="1:13">
      <c r="A114" s="1668">
        <v>2.9</v>
      </c>
      <c r="B114" s="1671">
        <v>1.0286999999999999</v>
      </c>
      <c r="C114" s="1671">
        <v>1.0286999999999999</v>
      </c>
      <c r="D114" s="1671">
        <v>0.96950000000000003</v>
      </c>
      <c r="E114" s="1671">
        <v>0.96950000000000003</v>
      </c>
      <c r="F114" s="1671">
        <v>0.96950000000000003</v>
      </c>
      <c r="G114" s="1671">
        <v>0.96950000000000003</v>
      </c>
      <c r="H114" s="1671">
        <v>0.96950000000000003</v>
      </c>
      <c r="I114" s="1671">
        <v>0.88390000000000002</v>
      </c>
      <c r="J114" s="1671">
        <v>0.88390000000000002</v>
      </c>
      <c r="K114" s="1671">
        <v>0.88390000000000002</v>
      </c>
      <c r="L114" s="1671">
        <v>0.88390000000000002</v>
      </c>
      <c r="M114" s="1671">
        <v>0.88390000000000002</v>
      </c>
    </row>
    <row r="115" spans="1:13">
      <c r="A115" s="1668">
        <v>3</v>
      </c>
      <c r="B115" s="1671">
        <v>1.0229999999999999</v>
      </c>
      <c r="C115" s="1671">
        <v>1.0229999999999999</v>
      </c>
      <c r="D115" s="1671">
        <v>0.96309999999999996</v>
      </c>
      <c r="E115" s="1671">
        <v>0.96309999999999996</v>
      </c>
      <c r="F115" s="1671">
        <v>0.96309999999999996</v>
      </c>
      <c r="G115" s="1671">
        <v>0.96309999999999996</v>
      </c>
      <c r="H115" s="1671">
        <v>0.96309999999999996</v>
      </c>
      <c r="I115" s="1671">
        <v>0.87460000000000004</v>
      </c>
      <c r="J115" s="1671">
        <v>0.87460000000000004</v>
      </c>
      <c r="K115" s="1671">
        <v>0.87460000000000004</v>
      </c>
      <c r="L115" s="1671">
        <v>0.87460000000000004</v>
      </c>
      <c r="M115" s="1671">
        <v>0.87460000000000004</v>
      </c>
    </row>
    <row r="116" spans="1:13">
      <c r="A116" s="1668">
        <v>3.1</v>
      </c>
      <c r="B116" s="1671">
        <v>1.0177</v>
      </c>
      <c r="C116" s="1671">
        <v>1.0177</v>
      </c>
      <c r="D116" s="1671">
        <v>0.95709999999999995</v>
      </c>
      <c r="E116" s="1671">
        <v>0.95709999999999995</v>
      </c>
      <c r="F116" s="1671">
        <v>0.95709999999999995</v>
      </c>
      <c r="G116" s="1671">
        <v>0.95709999999999995</v>
      </c>
      <c r="H116" s="1671">
        <v>0.95709999999999995</v>
      </c>
      <c r="I116" s="1671">
        <v>0.8659</v>
      </c>
      <c r="J116" s="1671">
        <v>0.8659</v>
      </c>
      <c r="K116" s="1671">
        <v>0.8659</v>
      </c>
      <c r="L116" s="1671">
        <v>0.8659</v>
      </c>
      <c r="M116" s="1671">
        <v>0.8659</v>
      </c>
    </row>
    <row r="117" spans="1:13">
      <c r="A117" s="1668">
        <v>3.2</v>
      </c>
      <c r="B117" s="1671">
        <v>1.0127999999999999</v>
      </c>
      <c r="C117" s="1671">
        <v>1.0127999999999999</v>
      </c>
      <c r="D117" s="1671">
        <v>0.9516</v>
      </c>
      <c r="E117" s="1671">
        <v>0.9516</v>
      </c>
      <c r="F117" s="1671">
        <v>0.9516</v>
      </c>
      <c r="G117" s="1671">
        <v>0.9516</v>
      </c>
      <c r="H117" s="1671">
        <v>0.9516</v>
      </c>
      <c r="I117" s="1671">
        <v>0.85780000000000001</v>
      </c>
      <c r="J117" s="1671">
        <v>0.85780000000000001</v>
      </c>
      <c r="K117" s="1671">
        <v>0.85780000000000001</v>
      </c>
      <c r="L117" s="1671">
        <v>0.85780000000000001</v>
      </c>
      <c r="M117" s="1671">
        <v>0.85780000000000001</v>
      </c>
    </row>
    <row r="118" spans="1:13">
      <c r="A118" s="1668">
        <v>3.3</v>
      </c>
      <c r="B118" s="1671">
        <v>1.0082</v>
      </c>
      <c r="C118" s="1671">
        <v>1.0082</v>
      </c>
      <c r="D118" s="1671">
        <v>0.94640000000000002</v>
      </c>
      <c r="E118" s="1671">
        <v>0.94640000000000002</v>
      </c>
      <c r="F118" s="1671">
        <v>0.94640000000000002</v>
      </c>
      <c r="G118" s="1671">
        <v>0.94640000000000002</v>
      </c>
      <c r="H118" s="1671">
        <v>0.94640000000000002</v>
      </c>
      <c r="I118" s="1671">
        <v>0.85029999999999994</v>
      </c>
      <c r="J118" s="1671">
        <v>0.85029999999999994</v>
      </c>
      <c r="K118" s="1671">
        <v>0.85029999999999994</v>
      </c>
      <c r="L118" s="1671">
        <v>0.85029999999999994</v>
      </c>
      <c r="M118" s="1671">
        <v>0.85029999999999994</v>
      </c>
    </row>
    <row r="119" spans="1:13">
      <c r="A119" s="1668">
        <v>3.4</v>
      </c>
      <c r="B119" s="1671">
        <v>1.004</v>
      </c>
      <c r="C119" s="1671">
        <v>1.004</v>
      </c>
      <c r="D119" s="1671">
        <v>0.9415</v>
      </c>
      <c r="E119" s="1671">
        <v>0.9415</v>
      </c>
      <c r="F119" s="1671">
        <v>0.9415</v>
      </c>
      <c r="G119" s="1671">
        <v>0.9415</v>
      </c>
      <c r="H119" s="1671">
        <v>0.9415</v>
      </c>
      <c r="I119" s="1671">
        <v>0.84319999999999995</v>
      </c>
      <c r="J119" s="1671">
        <v>0.84319999999999995</v>
      </c>
      <c r="K119" s="1671">
        <v>0.84319999999999995</v>
      </c>
      <c r="L119" s="1671">
        <v>0.84319999999999995</v>
      </c>
      <c r="M119" s="1671">
        <v>0.84319999999999995</v>
      </c>
    </row>
    <row r="120" spans="1:13">
      <c r="A120" s="1668">
        <v>3.5</v>
      </c>
      <c r="B120" s="1671">
        <v>1</v>
      </c>
      <c r="C120" s="1671">
        <v>1</v>
      </c>
      <c r="D120" s="1671">
        <v>0.93700000000000006</v>
      </c>
      <c r="E120" s="1671">
        <v>0.93700000000000006</v>
      </c>
      <c r="F120" s="1671">
        <v>0.93700000000000006</v>
      </c>
      <c r="G120" s="1671">
        <v>0.93700000000000006</v>
      </c>
      <c r="H120" s="1671">
        <v>0.93700000000000006</v>
      </c>
      <c r="I120" s="1671">
        <v>0.83660000000000001</v>
      </c>
      <c r="J120" s="1671">
        <v>0.83660000000000001</v>
      </c>
      <c r="K120" s="1671">
        <v>0.83660000000000001</v>
      </c>
      <c r="L120" s="1671">
        <v>0.83660000000000001</v>
      </c>
      <c r="M120" s="1671">
        <v>0.83660000000000001</v>
      </c>
    </row>
    <row r="121" spans="1:13">
      <c r="A121" s="1668">
        <v>3.6</v>
      </c>
      <c r="B121" s="1671">
        <v>0.99629999999999996</v>
      </c>
      <c r="C121" s="1671">
        <v>0.99629999999999996</v>
      </c>
      <c r="D121" s="1671">
        <v>0.93279999999999996</v>
      </c>
      <c r="E121" s="1671">
        <v>0.93279999999999996</v>
      </c>
      <c r="F121" s="1671">
        <v>0.93279999999999996</v>
      </c>
      <c r="G121" s="1671">
        <v>0.93279999999999996</v>
      </c>
      <c r="H121" s="1671">
        <v>0.93279999999999996</v>
      </c>
      <c r="I121" s="1671">
        <v>0.83040000000000003</v>
      </c>
      <c r="J121" s="1671">
        <v>0.83040000000000003</v>
      </c>
      <c r="K121" s="1671">
        <v>0.83040000000000003</v>
      </c>
      <c r="L121" s="1671">
        <v>0.83040000000000003</v>
      </c>
      <c r="M121" s="1671">
        <v>0.83040000000000003</v>
      </c>
    </row>
    <row r="122" spans="1:13">
      <c r="A122" s="1668">
        <v>3.7</v>
      </c>
      <c r="B122" s="1671">
        <v>0.9929</v>
      </c>
      <c r="C122" s="1671">
        <v>0.9929</v>
      </c>
      <c r="D122" s="1671">
        <v>0.92879999999999996</v>
      </c>
      <c r="E122" s="1671">
        <v>0.92879999999999996</v>
      </c>
      <c r="F122" s="1671">
        <v>0.92879999999999996</v>
      </c>
      <c r="G122" s="1671">
        <v>0.92879999999999996</v>
      </c>
      <c r="H122" s="1671">
        <v>0.92879999999999996</v>
      </c>
      <c r="I122" s="1671">
        <v>0.8246</v>
      </c>
      <c r="J122" s="1671">
        <v>0.8246</v>
      </c>
      <c r="K122" s="1671">
        <v>0.8246</v>
      </c>
      <c r="L122" s="1671">
        <v>0.8246</v>
      </c>
      <c r="M122" s="1671">
        <v>0.8246</v>
      </c>
    </row>
    <row r="123" spans="1:13">
      <c r="A123" s="1668">
        <v>3.8</v>
      </c>
      <c r="B123" s="1671">
        <v>0.98970000000000002</v>
      </c>
      <c r="C123" s="1671">
        <v>0.98970000000000002</v>
      </c>
      <c r="D123" s="1671">
        <v>0.92520000000000002</v>
      </c>
      <c r="E123" s="1671">
        <v>0.92520000000000002</v>
      </c>
      <c r="F123" s="1671">
        <v>0.92520000000000002</v>
      </c>
      <c r="G123" s="1671">
        <v>0.92520000000000002</v>
      </c>
      <c r="H123" s="1671">
        <v>0.92520000000000002</v>
      </c>
      <c r="I123" s="1671">
        <v>0.81920000000000004</v>
      </c>
      <c r="J123" s="1671">
        <v>0.81920000000000004</v>
      </c>
      <c r="K123" s="1671">
        <v>0.81920000000000004</v>
      </c>
      <c r="L123" s="1671">
        <v>0.81920000000000004</v>
      </c>
      <c r="M123" s="1671">
        <v>0.81920000000000004</v>
      </c>
    </row>
    <row r="124" spans="1:13">
      <c r="A124" s="1668">
        <v>3.9</v>
      </c>
      <c r="B124" s="1671">
        <v>0.98670000000000002</v>
      </c>
      <c r="C124" s="1671">
        <v>0.98670000000000002</v>
      </c>
      <c r="D124" s="1671">
        <v>0.92179999999999995</v>
      </c>
      <c r="E124" s="1671">
        <v>0.92179999999999995</v>
      </c>
      <c r="F124" s="1671">
        <v>0.92179999999999995</v>
      </c>
      <c r="G124" s="1671">
        <v>0.92179999999999995</v>
      </c>
      <c r="H124" s="1671">
        <v>0.92179999999999995</v>
      </c>
      <c r="I124" s="1671">
        <v>0.81410000000000005</v>
      </c>
      <c r="J124" s="1671">
        <v>0.81410000000000005</v>
      </c>
      <c r="K124" s="1671">
        <v>0.81410000000000005</v>
      </c>
      <c r="L124" s="1671">
        <v>0.81410000000000005</v>
      </c>
      <c r="M124" s="1671">
        <v>0.81410000000000005</v>
      </c>
    </row>
    <row r="125" spans="1:13">
      <c r="A125" s="1672">
        <v>4</v>
      </c>
      <c r="B125" s="1671">
        <v>0.98380000000000001</v>
      </c>
      <c r="C125" s="1671">
        <v>0.98380000000000001</v>
      </c>
      <c r="D125" s="1671">
        <v>0.91859999999999997</v>
      </c>
      <c r="E125" s="1671">
        <v>0.91859999999999997</v>
      </c>
      <c r="F125" s="1671">
        <v>0.91859999999999997</v>
      </c>
      <c r="G125" s="1671">
        <v>0.91859999999999997</v>
      </c>
      <c r="H125" s="1671">
        <v>0.91859999999999997</v>
      </c>
      <c r="I125" s="1671">
        <v>0.80940000000000001</v>
      </c>
      <c r="J125" s="1671">
        <v>0.80940000000000001</v>
      </c>
      <c r="K125" s="1671">
        <v>0.80940000000000001</v>
      </c>
      <c r="L125" s="1671">
        <v>0.80940000000000001</v>
      </c>
      <c r="M125" s="1671">
        <v>0.80940000000000001</v>
      </c>
    </row>
    <row r="126" spans="1:13">
      <c r="A126" s="1672">
        <v>4.0999999999999996</v>
      </c>
      <c r="B126" s="1671">
        <v>0.98099999999999998</v>
      </c>
      <c r="C126" s="1671">
        <v>0.98099999999999998</v>
      </c>
      <c r="D126" s="1671">
        <v>0.91559999999999997</v>
      </c>
      <c r="E126" s="1671">
        <v>0.91559999999999997</v>
      </c>
      <c r="F126" s="1671">
        <v>0.91559999999999997</v>
      </c>
      <c r="G126" s="1671">
        <v>0.91559999999999997</v>
      </c>
      <c r="H126" s="1671">
        <v>0.91559999999999997</v>
      </c>
      <c r="I126" s="1671">
        <v>0.80489999999999995</v>
      </c>
      <c r="J126" s="1671">
        <v>0.80489999999999995</v>
      </c>
      <c r="K126" s="1671">
        <v>0.80489999999999995</v>
      </c>
      <c r="L126" s="1671">
        <v>0.80489999999999995</v>
      </c>
      <c r="M126" s="1671">
        <v>0.80489999999999995</v>
      </c>
    </row>
    <row r="127" spans="1:13">
      <c r="A127" s="1672">
        <v>4.2</v>
      </c>
      <c r="B127" s="1671">
        <v>0.97829999999999995</v>
      </c>
      <c r="C127" s="1671">
        <v>0.97829999999999995</v>
      </c>
      <c r="D127" s="1671">
        <v>0.91269999999999996</v>
      </c>
      <c r="E127" s="1671">
        <v>0.91269999999999996</v>
      </c>
      <c r="F127" s="1671">
        <v>0.91269999999999996</v>
      </c>
      <c r="G127" s="1671">
        <v>0.91269999999999996</v>
      </c>
      <c r="H127" s="1671">
        <v>0.91269999999999996</v>
      </c>
      <c r="I127" s="1671">
        <v>0.80059999999999998</v>
      </c>
      <c r="J127" s="1671">
        <v>0.80059999999999998</v>
      </c>
      <c r="K127" s="1671">
        <v>0.80059999999999998</v>
      </c>
      <c r="L127" s="1671">
        <v>0.80059999999999998</v>
      </c>
      <c r="M127" s="1671">
        <v>0.80059999999999998</v>
      </c>
    </row>
    <row r="128" spans="1:13">
      <c r="A128" s="1672">
        <v>4.3</v>
      </c>
      <c r="B128" s="1671">
        <v>0.97570000000000001</v>
      </c>
      <c r="C128" s="1671">
        <v>0.97570000000000001</v>
      </c>
      <c r="D128" s="1671">
        <v>0.90990000000000004</v>
      </c>
      <c r="E128" s="1671">
        <v>0.90990000000000004</v>
      </c>
      <c r="F128" s="1671">
        <v>0.90990000000000004</v>
      </c>
      <c r="G128" s="1671">
        <v>0.90990000000000004</v>
      </c>
      <c r="H128" s="1671">
        <v>0.90990000000000004</v>
      </c>
      <c r="I128" s="1671">
        <v>0.79649999999999999</v>
      </c>
      <c r="J128" s="1671">
        <v>0.79649999999999999</v>
      </c>
      <c r="K128" s="1671">
        <v>0.79649999999999999</v>
      </c>
      <c r="L128" s="1671">
        <v>0.79649999999999999</v>
      </c>
      <c r="M128" s="1671">
        <v>0.79649999999999999</v>
      </c>
    </row>
    <row r="129" spans="1:13">
      <c r="A129" s="1672">
        <v>4.4000000000000004</v>
      </c>
      <c r="B129" s="1671">
        <v>0.97319999999999995</v>
      </c>
      <c r="C129" s="1671">
        <v>0.97319999999999995</v>
      </c>
      <c r="D129" s="1671">
        <v>0.90720000000000001</v>
      </c>
      <c r="E129" s="1671">
        <v>0.90720000000000001</v>
      </c>
      <c r="F129" s="1671">
        <v>0.90720000000000001</v>
      </c>
      <c r="G129" s="1671">
        <v>0.90720000000000001</v>
      </c>
      <c r="H129" s="1671">
        <v>0.90720000000000001</v>
      </c>
      <c r="I129" s="1671">
        <v>0.79259999999999997</v>
      </c>
      <c r="J129" s="1671">
        <v>0.79259999999999997</v>
      </c>
      <c r="K129" s="1671">
        <v>0.79259999999999997</v>
      </c>
      <c r="L129" s="1671">
        <v>0.79259999999999997</v>
      </c>
      <c r="M129" s="1671">
        <v>0.79259999999999997</v>
      </c>
    </row>
    <row r="130" spans="1:13">
      <c r="A130" s="1672">
        <v>4.5</v>
      </c>
      <c r="B130" s="1671">
        <v>0.9708</v>
      </c>
      <c r="C130" s="1671">
        <v>0.9708</v>
      </c>
      <c r="D130" s="1671">
        <v>0.90459999999999996</v>
      </c>
      <c r="E130" s="1671">
        <v>0.90459999999999996</v>
      </c>
      <c r="F130" s="1671">
        <v>0.90459999999999996</v>
      </c>
      <c r="G130" s="1671">
        <v>0.90459999999999996</v>
      </c>
      <c r="H130" s="1671">
        <v>0.90459999999999996</v>
      </c>
      <c r="I130" s="1671">
        <v>0.78890000000000005</v>
      </c>
      <c r="J130" s="1671">
        <v>0.78890000000000005</v>
      </c>
      <c r="K130" s="1671">
        <v>0.78890000000000005</v>
      </c>
      <c r="L130" s="1671">
        <v>0.78890000000000005</v>
      </c>
      <c r="M130" s="1671">
        <v>0.78890000000000005</v>
      </c>
    </row>
    <row r="131" spans="1:13">
      <c r="A131" s="1672">
        <v>4.5999999999999996</v>
      </c>
      <c r="B131" s="1671">
        <v>0.96850000000000003</v>
      </c>
      <c r="C131" s="1671">
        <v>0.96850000000000003</v>
      </c>
      <c r="D131" s="1671">
        <v>0.90210000000000001</v>
      </c>
      <c r="E131" s="1671">
        <v>0.90210000000000001</v>
      </c>
      <c r="F131" s="1671">
        <v>0.90210000000000001</v>
      </c>
      <c r="G131" s="1671">
        <v>0.90210000000000001</v>
      </c>
      <c r="H131" s="1671">
        <v>0.90210000000000001</v>
      </c>
      <c r="I131" s="1671">
        <v>0.78539999999999999</v>
      </c>
      <c r="J131" s="1671">
        <v>0.78539999999999999</v>
      </c>
      <c r="K131" s="1671">
        <v>0.78539999999999999</v>
      </c>
      <c r="L131" s="1671">
        <v>0.78539999999999999</v>
      </c>
      <c r="M131" s="1671">
        <v>0.78539999999999999</v>
      </c>
    </row>
    <row r="132" spans="1:13">
      <c r="A132" s="1672">
        <v>4.7</v>
      </c>
      <c r="B132" s="1671">
        <v>0.96630000000000005</v>
      </c>
      <c r="C132" s="1671">
        <v>0.96630000000000005</v>
      </c>
      <c r="D132" s="1671">
        <v>0.89959999999999996</v>
      </c>
      <c r="E132" s="1671">
        <v>0.89959999999999996</v>
      </c>
      <c r="F132" s="1671">
        <v>0.89959999999999996</v>
      </c>
      <c r="G132" s="1671">
        <v>0.89959999999999996</v>
      </c>
      <c r="H132" s="1671">
        <v>0.89959999999999996</v>
      </c>
      <c r="I132" s="1671">
        <v>0.78210000000000002</v>
      </c>
      <c r="J132" s="1671">
        <v>0.78210000000000002</v>
      </c>
      <c r="K132" s="1671">
        <v>0.78210000000000002</v>
      </c>
      <c r="L132" s="1671">
        <v>0.78210000000000002</v>
      </c>
      <c r="M132" s="1671">
        <v>0.78210000000000002</v>
      </c>
    </row>
    <row r="133" spans="1:13">
      <c r="A133" s="1672">
        <v>4.8</v>
      </c>
      <c r="B133" s="1671">
        <v>0.96409999999999996</v>
      </c>
      <c r="C133" s="1671">
        <v>0.96409999999999996</v>
      </c>
      <c r="D133" s="1671">
        <v>0.8972</v>
      </c>
      <c r="E133" s="1671">
        <v>0.8972</v>
      </c>
      <c r="F133" s="1671">
        <v>0.8972</v>
      </c>
      <c r="G133" s="1671">
        <v>0.8972</v>
      </c>
      <c r="H133" s="1671">
        <v>0.8972</v>
      </c>
      <c r="I133" s="1671">
        <v>0.77890000000000004</v>
      </c>
      <c r="J133" s="1671">
        <v>0.77890000000000004</v>
      </c>
      <c r="K133" s="1671">
        <v>0.77890000000000004</v>
      </c>
      <c r="L133" s="1671">
        <v>0.77890000000000004</v>
      </c>
      <c r="M133" s="1671">
        <v>0.77890000000000004</v>
      </c>
    </row>
    <row r="134" spans="1:13">
      <c r="A134" s="1672">
        <v>4.9000000000000004</v>
      </c>
      <c r="B134" s="1671">
        <v>0.96199999999999997</v>
      </c>
      <c r="C134" s="1671">
        <v>0.96199999999999997</v>
      </c>
      <c r="D134" s="1671">
        <v>0.89480000000000004</v>
      </c>
      <c r="E134" s="1671">
        <v>0.89480000000000004</v>
      </c>
      <c r="F134" s="1671">
        <v>0.89480000000000004</v>
      </c>
      <c r="G134" s="1671">
        <v>0.89480000000000004</v>
      </c>
      <c r="H134" s="1671">
        <v>0.89480000000000004</v>
      </c>
      <c r="I134" s="1671">
        <v>0.77580000000000005</v>
      </c>
      <c r="J134" s="1671">
        <v>0.77580000000000005</v>
      </c>
      <c r="K134" s="1671">
        <v>0.77580000000000005</v>
      </c>
      <c r="L134" s="1671">
        <v>0.77580000000000005</v>
      </c>
      <c r="M134" s="1671">
        <v>0.77580000000000005</v>
      </c>
    </row>
    <row r="135" spans="1:13">
      <c r="A135" s="1672">
        <v>5</v>
      </c>
      <c r="B135" s="1671">
        <v>0.95989999999999998</v>
      </c>
      <c r="C135" s="1671">
        <v>0.95989999999999998</v>
      </c>
      <c r="D135" s="1671">
        <v>0.89239999999999997</v>
      </c>
      <c r="E135" s="1671">
        <v>0.89239999999999997</v>
      </c>
      <c r="F135" s="1671">
        <v>0.89239999999999997</v>
      </c>
      <c r="G135" s="1671">
        <v>0.89239999999999997</v>
      </c>
      <c r="H135" s="1671">
        <v>0.89239999999999997</v>
      </c>
      <c r="I135" s="1671">
        <v>0.77280000000000004</v>
      </c>
      <c r="J135" s="1671">
        <v>0.77280000000000004</v>
      </c>
      <c r="K135" s="1671">
        <v>0.77280000000000004</v>
      </c>
      <c r="L135" s="1671">
        <v>0.77280000000000004</v>
      </c>
      <c r="M135" s="1671">
        <v>0.77280000000000004</v>
      </c>
    </row>
    <row r="136" spans="1:13">
      <c r="A136" s="1672">
        <v>5.0999999999999996</v>
      </c>
      <c r="B136" s="1671">
        <v>0.95779999999999998</v>
      </c>
      <c r="C136" s="1671">
        <v>0.95779999999999998</v>
      </c>
      <c r="D136" s="1671">
        <v>0.8901</v>
      </c>
      <c r="E136" s="1671">
        <v>0.8901</v>
      </c>
      <c r="F136" s="1671">
        <v>0.8901</v>
      </c>
      <c r="G136" s="1671">
        <v>0.8901</v>
      </c>
      <c r="H136" s="1671">
        <v>0.8901</v>
      </c>
      <c r="I136" s="1671">
        <v>0.76990000000000003</v>
      </c>
      <c r="J136" s="1671">
        <v>0.76990000000000003</v>
      </c>
      <c r="K136" s="1671">
        <v>0.76990000000000003</v>
      </c>
      <c r="L136" s="1671">
        <v>0.76990000000000003</v>
      </c>
      <c r="M136" s="1671">
        <v>0.76990000000000003</v>
      </c>
    </row>
    <row r="137" spans="1:13">
      <c r="A137" s="1672">
        <v>5.2</v>
      </c>
      <c r="B137" s="1671">
        <v>0.95579999999999998</v>
      </c>
      <c r="C137" s="1671">
        <v>0.95579999999999998</v>
      </c>
      <c r="D137" s="1671">
        <v>0.88780000000000003</v>
      </c>
      <c r="E137" s="1671">
        <v>0.88780000000000003</v>
      </c>
      <c r="F137" s="1671">
        <v>0.88780000000000003</v>
      </c>
      <c r="G137" s="1671">
        <v>0.88780000000000003</v>
      </c>
      <c r="H137" s="1671">
        <v>0.88780000000000003</v>
      </c>
      <c r="I137" s="1671">
        <v>0.76700000000000002</v>
      </c>
      <c r="J137" s="1671">
        <v>0.76700000000000002</v>
      </c>
      <c r="K137" s="1671">
        <v>0.76700000000000002</v>
      </c>
      <c r="L137" s="1671">
        <v>0.76700000000000002</v>
      </c>
      <c r="M137" s="1671">
        <v>0.76700000000000002</v>
      </c>
    </row>
    <row r="138" spans="1:13">
      <c r="A138" s="1672">
        <v>5.3</v>
      </c>
      <c r="B138" s="1671">
        <v>0.95379999999999998</v>
      </c>
      <c r="C138" s="1671">
        <v>0.95379999999999998</v>
      </c>
      <c r="D138" s="1671">
        <v>0.88549999999999995</v>
      </c>
      <c r="E138" s="1671">
        <v>0.88549999999999995</v>
      </c>
      <c r="F138" s="1671">
        <v>0.88549999999999995</v>
      </c>
      <c r="G138" s="1671">
        <v>0.88549999999999995</v>
      </c>
      <c r="H138" s="1671">
        <v>0.88549999999999995</v>
      </c>
      <c r="I138" s="1671">
        <v>0.76419999999999999</v>
      </c>
      <c r="J138" s="1671">
        <v>0.76419999999999999</v>
      </c>
      <c r="K138" s="1671">
        <v>0.76419999999999999</v>
      </c>
      <c r="L138" s="1671">
        <v>0.76419999999999999</v>
      </c>
      <c r="M138" s="1671">
        <v>0.76419999999999999</v>
      </c>
    </row>
    <row r="139" spans="1:13">
      <c r="A139" s="1672">
        <v>5.4</v>
      </c>
      <c r="B139" s="1671">
        <v>0.95179999999999998</v>
      </c>
      <c r="C139" s="1671">
        <v>0.95179999999999998</v>
      </c>
      <c r="D139" s="1671">
        <v>0.88329999999999997</v>
      </c>
      <c r="E139" s="1671">
        <v>0.88329999999999997</v>
      </c>
      <c r="F139" s="1671">
        <v>0.88329999999999997</v>
      </c>
      <c r="G139" s="1671">
        <v>0.88329999999999997</v>
      </c>
      <c r="H139" s="1671">
        <v>0.88329999999999997</v>
      </c>
      <c r="I139" s="1671">
        <v>0.76139999999999997</v>
      </c>
      <c r="J139" s="1671">
        <v>0.76139999999999997</v>
      </c>
      <c r="K139" s="1671">
        <v>0.76139999999999997</v>
      </c>
      <c r="L139" s="1671">
        <v>0.76139999999999997</v>
      </c>
      <c r="M139" s="1671">
        <v>0.76139999999999997</v>
      </c>
    </row>
    <row r="140" spans="1:13">
      <c r="A140" s="1672">
        <v>5.5</v>
      </c>
      <c r="B140" s="1671">
        <v>0.94979999999999998</v>
      </c>
      <c r="C140" s="1671">
        <v>0.94979999999999998</v>
      </c>
      <c r="D140" s="1671">
        <v>0.88109999999999999</v>
      </c>
      <c r="E140" s="1671">
        <v>0.88109999999999999</v>
      </c>
      <c r="F140" s="1671">
        <v>0.88109999999999999</v>
      </c>
      <c r="G140" s="1671">
        <v>0.88109999999999999</v>
      </c>
      <c r="H140" s="1671">
        <v>0.88109999999999999</v>
      </c>
      <c r="I140" s="1671">
        <v>0.75860000000000005</v>
      </c>
      <c r="J140" s="1671">
        <v>0.75860000000000005</v>
      </c>
      <c r="K140" s="1671">
        <v>0.75860000000000005</v>
      </c>
      <c r="L140" s="1671">
        <v>0.75860000000000005</v>
      </c>
      <c r="M140" s="1671">
        <v>0.75860000000000005</v>
      </c>
    </row>
    <row r="141" spans="1:13">
      <c r="A141" s="1672">
        <v>5.6</v>
      </c>
      <c r="B141" s="1671">
        <v>0.94789999999999996</v>
      </c>
      <c r="C141" s="1671">
        <v>0.94789999999999996</v>
      </c>
      <c r="D141" s="1671">
        <v>0.87890000000000001</v>
      </c>
      <c r="E141" s="1671">
        <v>0.87890000000000001</v>
      </c>
      <c r="F141" s="1671">
        <v>0.87890000000000001</v>
      </c>
      <c r="G141" s="1671">
        <v>0.87890000000000001</v>
      </c>
      <c r="H141" s="1671">
        <v>0.87890000000000001</v>
      </c>
      <c r="I141" s="1671">
        <v>0.75590000000000002</v>
      </c>
      <c r="J141" s="1671">
        <v>0.75590000000000002</v>
      </c>
      <c r="K141" s="1671">
        <v>0.75590000000000002</v>
      </c>
      <c r="L141" s="1671">
        <v>0.75590000000000002</v>
      </c>
      <c r="M141" s="1671">
        <v>0.75590000000000002</v>
      </c>
    </row>
    <row r="142" spans="1:13">
      <c r="A142" s="1672">
        <v>5.7</v>
      </c>
      <c r="B142" s="1671">
        <v>0.94599999999999995</v>
      </c>
      <c r="C142" s="1671">
        <v>0.94599999999999995</v>
      </c>
      <c r="D142" s="1671">
        <v>0.87670000000000003</v>
      </c>
      <c r="E142" s="1671">
        <v>0.87670000000000003</v>
      </c>
      <c r="F142" s="1671">
        <v>0.87670000000000003</v>
      </c>
      <c r="G142" s="1671">
        <v>0.87670000000000003</v>
      </c>
      <c r="H142" s="1671">
        <v>0.87670000000000003</v>
      </c>
      <c r="I142" s="1671">
        <v>0.75319999999999998</v>
      </c>
      <c r="J142" s="1671">
        <v>0.75319999999999998</v>
      </c>
      <c r="K142" s="1671">
        <v>0.75319999999999998</v>
      </c>
      <c r="L142" s="1671">
        <v>0.75319999999999998</v>
      </c>
      <c r="M142" s="1671">
        <v>0.75319999999999998</v>
      </c>
    </row>
    <row r="143" spans="1:13">
      <c r="A143" s="1672">
        <v>5.8</v>
      </c>
      <c r="B143" s="1671">
        <v>0.94410000000000005</v>
      </c>
      <c r="C143" s="1671">
        <v>0.94410000000000005</v>
      </c>
      <c r="D143" s="1671">
        <v>0.87460000000000004</v>
      </c>
      <c r="E143" s="1671">
        <v>0.87460000000000004</v>
      </c>
      <c r="F143" s="1671">
        <v>0.87460000000000004</v>
      </c>
      <c r="G143" s="1671">
        <v>0.87460000000000004</v>
      </c>
      <c r="H143" s="1671">
        <v>0.87460000000000004</v>
      </c>
      <c r="I143" s="1671">
        <v>0.75049999999999994</v>
      </c>
      <c r="J143" s="1671">
        <v>0.75049999999999994</v>
      </c>
      <c r="K143" s="1671">
        <v>0.75049999999999994</v>
      </c>
      <c r="L143" s="1671">
        <v>0.75049999999999994</v>
      </c>
      <c r="M143" s="1671">
        <v>0.75049999999999994</v>
      </c>
    </row>
    <row r="144" spans="1:13">
      <c r="A144" s="1672">
        <v>5.9</v>
      </c>
      <c r="B144" s="1671">
        <v>0.94220000000000004</v>
      </c>
      <c r="C144" s="1671">
        <v>0.94220000000000004</v>
      </c>
      <c r="D144" s="1671">
        <v>0.87250000000000005</v>
      </c>
      <c r="E144" s="1671">
        <v>0.87250000000000005</v>
      </c>
      <c r="F144" s="1671">
        <v>0.87250000000000005</v>
      </c>
      <c r="G144" s="1671">
        <v>0.87250000000000005</v>
      </c>
      <c r="H144" s="1671">
        <v>0.87250000000000005</v>
      </c>
      <c r="I144" s="1671">
        <v>0.74780000000000002</v>
      </c>
      <c r="J144" s="1671">
        <v>0.74780000000000002</v>
      </c>
      <c r="K144" s="1671">
        <v>0.74780000000000002</v>
      </c>
      <c r="L144" s="1671">
        <v>0.74780000000000002</v>
      </c>
      <c r="M144" s="1671">
        <v>0.74780000000000002</v>
      </c>
    </row>
    <row r="145" spans="1:13">
      <c r="A145" s="1672">
        <v>6</v>
      </c>
      <c r="B145" s="1671">
        <v>0.94040000000000001</v>
      </c>
      <c r="C145" s="1671">
        <v>0.94040000000000001</v>
      </c>
      <c r="D145" s="1671">
        <v>0.87039999999999995</v>
      </c>
      <c r="E145" s="1671">
        <v>0.87039999999999995</v>
      </c>
      <c r="F145" s="1671">
        <v>0.87039999999999995</v>
      </c>
      <c r="G145" s="1671">
        <v>0.87039999999999995</v>
      </c>
      <c r="H145" s="1671">
        <v>0.87039999999999995</v>
      </c>
      <c r="I145" s="1671">
        <v>0.74519999999999997</v>
      </c>
      <c r="J145" s="1671">
        <v>0.74519999999999997</v>
      </c>
      <c r="K145" s="1671">
        <v>0.74519999999999997</v>
      </c>
      <c r="L145" s="1671">
        <v>0.74519999999999997</v>
      </c>
      <c r="M145" s="1671">
        <v>0.74519999999999997</v>
      </c>
    </row>
    <row r="146" spans="1:13">
      <c r="A146" s="1672">
        <v>6.1</v>
      </c>
      <c r="B146" s="1671">
        <v>0.93859999999999999</v>
      </c>
      <c r="C146" s="1671">
        <v>0.93859999999999999</v>
      </c>
      <c r="D146" s="1671">
        <v>0.86829999999999996</v>
      </c>
      <c r="E146" s="1671">
        <v>0.86829999999999996</v>
      </c>
      <c r="F146" s="1671">
        <v>0.86829999999999996</v>
      </c>
      <c r="G146" s="1671">
        <v>0.86829999999999996</v>
      </c>
      <c r="H146" s="1671">
        <v>0.86829999999999996</v>
      </c>
      <c r="I146" s="1671">
        <v>0.74260000000000004</v>
      </c>
      <c r="J146" s="1671">
        <v>0.74260000000000004</v>
      </c>
      <c r="K146" s="1671">
        <v>0.74260000000000004</v>
      </c>
      <c r="L146" s="1671">
        <v>0.74260000000000004</v>
      </c>
      <c r="M146" s="1671">
        <v>0.74260000000000004</v>
      </c>
    </row>
    <row r="147" spans="1:13">
      <c r="A147" s="1672">
        <v>6.2</v>
      </c>
      <c r="B147" s="1671">
        <v>0.93679999999999997</v>
      </c>
      <c r="C147" s="1671">
        <v>0.93679999999999997</v>
      </c>
      <c r="D147" s="1671">
        <v>0.86619999999999997</v>
      </c>
      <c r="E147" s="1671">
        <v>0.86619999999999997</v>
      </c>
      <c r="F147" s="1671">
        <v>0.86619999999999997</v>
      </c>
      <c r="G147" s="1671">
        <v>0.86619999999999997</v>
      </c>
      <c r="H147" s="1671">
        <v>0.86619999999999997</v>
      </c>
      <c r="I147" s="1671">
        <v>0.74</v>
      </c>
      <c r="J147" s="1671">
        <v>0.74</v>
      </c>
      <c r="K147" s="1671">
        <v>0.74</v>
      </c>
      <c r="L147" s="1671">
        <v>0.74</v>
      </c>
      <c r="M147" s="1671">
        <v>0.74</v>
      </c>
    </row>
    <row r="148" spans="1:13">
      <c r="A148" s="1672">
        <v>6.3</v>
      </c>
      <c r="B148" s="1671">
        <v>0.93500000000000005</v>
      </c>
      <c r="C148" s="1671">
        <v>0.93500000000000005</v>
      </c>
      <c r="D148" s="1671">
        <v>0.86409999999999998</v>
      </c>
      <c r="E148" s="1671">
        <v>0.86409999999999998</v>
      </c>
      <c r="F148" s="1671">
        <v>0.86409999999999998</v>
      </c>
      <c r="G148" s="1671">
        <v>0.86409999999999998</v>
      </c>
      <c r="H148" s="1671">
        <v>0.86409999999999998</v>
      </c>
      <c r="I148" s="1671">
        <v>0.73740000000000006</v>
      </c>
      <c r="J148" s="1671">
        <v>0.73740000000000006</v>
      </c>
      <c r="K148" s="1671">
        <v>0.73740000000000006</v>
      </c>
      <c r="L148" s="1671">
        <v>0.73740000000000006</v>
      </c>
      <c r="M148" s="1671">
        <v>0.73740000000000006</v>
      </c>
    </row>
    <row r="149" spans="1:13">
      <c r="A149" s="1672">
        <v>6.4</v>
      </c>
      <c r="B149" s="1671">
        <v>0.93320000000000003</v>
      </c>
      <c r="C149" s="1671">
        <v>0.93320000000000003</v>
      </c>
      <c r="D149" s="1671">
        <v>0.86209999999999998</v>
      </c>
      <c r="E149" s="1671">
        <v>0.86209999999999998</v>
      </c>
      <c r="F149" s="1671">
        <v>0.86209999999999998</v>
      </c>
      <c r="G149" s="1671">
        <v>0.86209999999999998</v>
      </c>
      <c r="H149" s="1671">
        <v>0.86209999999999998</v>
      </c>
      <c r="I149" s="1671">
        <v>0.73480000000000001</v>
      </c>
      <c r="J149" s="1671">
        <v>0.73480000000000001</v>
      </c>
      <c r="K149" s="1671">
        <v>0.73480000000000001</v>
      </c>
      <c r="L149" s="1671">
        <v>0.73480000000000001</v>
      </c>
      <c r="M149" s="1671">
        <v>0.73480000000000001</v>
      </c>
    </row>
    <row r="150" spans="1:13">
      <c r="A150" s="1672">
        <v>6.5</v>
      </c>
      <c r="B150" s="1671">
        <v>0.93149999999999999</v>
      </c>
      <c r="C150" s="1671">
        <v>0.93149999999999999</v>
      </c>
      <c r="D150" s="1671">
        <v>0.86009999999999998</v>
      </c>
      <c r="E150" s="1671">
        <v>0.86009999999999998</v>
      </c>
      <c r="F150" s="1671">
        <v>0.86009999999999998</v>
      </c>
      <c r="G150" s="1671">
        <v>0.86009999999999998</v>
      </c>
      <c r="H150" s="1671">
        <v>0.86009999999999998</v>
      </c>
      <c r="I150" s="1671">
        <v>0.73229999999999995</v>
      </c>
      <c r="J150" s="1671">
        <v>0.73229999999999995</v>
      </c>
      <c r="K150" s="1671">
        <v>0.73229999999999995</v>
      </c>
      <c r="L150" s="1671">
        <v>0.73229999999999995</v>
      </c>
      <c r="M150" s="1671">
        <v>0.73229999999999995</v>
      </c>
    </row>
    <row r="151" spans="1:13">
      <c r="A151" s="1672">
        <v>6.6</v>
      </c>
      <c r="B151" s="1671">
        <v>0.92979999999999996</v>
      </c>
      <c r="C151" s="1671">
        <v>0.92979999999999996</v>
      </c>
      <c r="D151" s="1671">
        <v>0.85809999999999997</v>
      </c>
      <c r="E151" s="1671">
        <v>0.85809999999999997</v>
      </c>
      <c r="F151" s="1671">
        <v>0.85809999999999997</v>
      </c>
      <c r="G151" s="1671">
        <v>0.85809999999999997</v>
      </c>
      <c r="H151" s="1671">
        <v>0.85809999999999997</v>
      </c>
      <c r="I151" s="1671">
        <v>0.7298</v>
      </c>
      <c r="J151" s="1671">
        <v>0.7298</v>
      </c>
      <c r="K151" s="1671">
        <v>0.7298</v>
      </c>
      <c r="L151" s="1671">
        <v>0.7298</v>
      </c>
      <c r="M151" s="1671">
        <v>0.7298</v>
      </c>
    </row>
    <row r="152" spans="1:13">
      <c r="A152" s="1672">
        <v>6.7</v>
      </c>
      <c r="B152" s="1671">
        <v>0.92810000000000004</v>
      </c>
      <c r="C152" s="1671">
        <v>0.92810000000000004</v>
      </c>
      <c r="D152" s="1671">
        <v>0.85609999999999997</v>
      </c>
      <c r="E152" s="1671">
        <v>0.85609999999999997</v>
      </c>
      <c r="F152" s="1671">
        <v>0.85609999999999997</v>
      </c>
      <c r="G152" s="1671">
        <v>0.85609999999999997</v>
      </c>
      <c r="H152" s="1671">
        <v>0.85609999999999997</v>
      </c>
      <c r="I152" s="1671">
        <v>0.72729999999999995</v>
      </c>
      <c r="J152" s="1671">
        <v>0.72729999999999995</v>
      </c>
      <c r="K152" s="1671">
        <v>0.72729999999999995</v>
      </c>
      <c r="L152" s="1671">
        <v>0.72729999999999995</v>
      </c>
      <c r="M152" s="1671">
        <v>0.72729999999999995</v>
      </c>
    </row>
    <row r="153" spans="1:13">
      <c r="A153" s="1672">
        <v>6.8</v>
      </c>
      <c r="B153" s="1671">
        <v>0.9264</v>
      </c>
      <c r="C153" s="1671">
        <v>0.9264</v>
      </c>
      <c r="D153" s="1671">
        <v>0.85409999999999997</v>
      </c>
      <c r="E153" s="1671">
        <v>0.85409999999999997</v>
      </c>
      <c r="F153" s="1671">
        <v>0.85409999999999997</v>
      </c>
      <c r="G153" s="1671">
        <v>0.85409999999999997</v>
      </c>
      <c r="H153" s="1671">
        <v>0.85409999999999997</v>
      </c>
      <c r="I153" s="1671">
        <v>0.7248</v>
      </c>
      <c r="J153" s="1671">
        <v>0.7248</v>
      </c>
      <c r="K153" s="1671">
        <v>0.7248</v>
      </c>
      <c r="L153" s="1671">
        <v>0.7248</v>
      </c>
      <c r="M153" s="1671">
        <v>0.7248</v>
      </c>
    </row>
    <row r="154" spans="1:13">
      <c r="A154" s="1672">
        <v>6.9</v>
      </c>
      <c r="B154" s="1671">
        <v>0.92469999999999997</v>
      </c>
      <c r="C154" s="1671">
        <v>0.92469999999999997</v>
      </c>
      <c r="D154" s="1671">
        <v>0.85209999999999997</v>
      </c>
      <c r="E154" s="1671">
        <v>0.85209999999999997</v>
      </c>
      <c r="F154" s="1671">
        <v>0.85209999999999997</v>
      </c>
      <c r="G154" s="1671">
        <v>0.85209999999999997</v>
      </c>
      <c r="H154" s="1671">
        <v>0.85209999999999997</v>
      </c>
      <c r="I154" s="1671">
        <v>0.72230000000000005</v>
      </c>
      <c r="J154" s="1671">
        <v>0.72230000000000005</v>
      </c>
      <c r="K154" s="1671">
        <v>0.72230000000000005</v>
      </c>
      <c r="L154" s="1671">
        <v>0.72230000000000005</v>
      </c>
      <c r="M154" s="1671">
        <v>0.72230000000000005</v>
      </c>
    </row>
    <row r="155" spans="1:13">
      <c r="A155" s="1668">
        <v>7</v>
      </c>
      <c r="B155" s="1671">
        <v>0.92300000000000004</v>
      </c>
      <c r="C155" s="1671">
        <v>0.92300000000000004</v>
      </c>
      <c r="D155" s="1671">
        <v>0.85019999999999996</v>
      </c>
      <c r="E155" s="1671">
        <v>0.85019999999999996</v>
      </c>
      <c r="F155" s="1671">
        <v>0.85019999999999996</v>
      </c>
      <c r="G155" s="1671">
        <v>0.85019999999999996</v>
      </c>
      <c r="H155" s="1671">
        <v>0.85019999999999996</v>
      </c>
      <c r="I155" s="1671">
        <v>0.71989999999999998</v>
      </c>
      <c r="J155" s="1671">
        <v>0.71989999999999998</v>
      </c>
      <c r="K155" s="1671">
        <v>0.71989999999999998</v>
      </c>
      <c r="L155" s="1671">
        <v>0.71989999999999998</v>
      </c>
      <c r="M155" s="1671">
        <v>0.71989999999999998</v>
      </c>
    </row>
    <row r="156" spans="1:13">
      <c r="A156" s="1668">
        <v>7.1</v>
      </c>
      <c r="B156" s="1671">
        <v>0.9214</v>
      </c>
      <c r="C156" s="1671">
        <v>0.9214</v>
      </c>
      <c r="D156" s="1671">
        <v>0.84830000000000005</v>
      </c>
      <c r="E156" s="1671">
        <v>0.84830000000000005</v>
      </c>
      <c r="F156" s="1671">
        <v>0.84830000000000005</v>
      </c>
      <c r="G156" s="1671">
        <v>0.84830000000000005</v>
      </c>
      <c r="H156" s="1671">
        <v>0.84830000000000005</v>
      </c>
      <c r="I156" s="1671">
        <v>0.71750000000000003</v>
      </c>
      <c r="J156" s="1671">
        <v>0.71750000000000003</v>
      </c>
      <c r="K156" s="1671">
        <v>0.71750000000000003</v>
      </c>
      <c r="L156" s="1671">
        <v>0.71750000000000003</v>
      </c>
      <c r="M156" s="1671">
        <v>0.71750000000000003</v>
      </c>
    </row>
    <row r="157" spans="1:13">
      <c r="A157" s="1668">
        <v>7.2</v>
      </c>
      <c r="B157" s="1671">
        <v>0.91979999999999995</v>
      </c>
      <c r="C157" s="1671">
        <v>0.91979999999999995</v>
      </c>
      <c r="D157" s="1671">
        <v>0.84640000000000004</v>
      </c>
      <c r="E157" s="1671">
        <v>0.84640000000000004</v>
      </c>
      <c r="F157" s="1671">
        <v>0.84640000000000004</v>
      </c>
      <c r="G157" s="1671">
        <v>0.84640000000000004</v>
      </c>
      <c r="H157" s="1671">
        <v>0.84640000000000004</v>
      </c>
      <c r="I157" s="1671">
        <v>0.71509999999999996</v>
      </c>
      <c r="J157" s="1671">
        <v>0.71509999999999996</v>
      </c>
      <c r="K157" s="1671">
        <v>0.71509999999999996</v>
      </c>
      <c r="L157" s="1671">
        <v>0.71509999999999996</v>
      </c>
      <c r="M157" s="1671">
        <v>0.71509999999999996</v>
      </c>
    </row>
    <row r="158" spans="1:13">
      <c r="A158" s="1668">
        <v>7.3</v>
      </c>
      <c r="B158" s="1671">
        <v>0.91820000000000002</v>
      </c>
      <c r="C158" s="1671">
        <v>0.91820000000000002</v>
      </c>
      <c r="D158" s="1671">
        <v>0.84450000000000003</v>
      </c>
      <c r="E158" s="1671">
        <v>0.84450000000000003</v>
      </c>
      <c r="F158" s="1671">
        <v>0.84450000000000003</v>
      </c>
      <c r="G158" s="1671">
        <v>0.84450000000000003</v>
      </c>
      <c r="H158" s="1671">
        <v>0.84450000000000003</v>
      </c>
      <c r="I158" s="1671">
        <v>0.7127</v>
      </c>
      <c r="J158" s="1671">
        <v>0.7127</v>
      </c>
      <c r="K158" s="1671">
        <v>0.7127</v>
      </c>
      <c r="L158" s="1671">
        <v>0.7127</v>
      </c>
      <c r="M158" s="1671">
        <v>0.7127</v>
      </c>
    </row>
    <row r="159" spans="1:13">
      <c r="A159" s="1668">
        <v>7.4</v>
      </c>
      <c r="B159" s="1671">
        <v>0.91659999999999997</v>
      </c>
      <c r="C159" s="1671">
        <v>0.91659999999999997</v>
      </c>
      <c r="D159" s="1671">
        <v>0.84260000000000002</v>
      </c>
      <c r="E159" s="1671">
        <v>0.84260000000000002</v>
      </c>
      <c r="F159" s="1671">
        <v>0.84260000000000002</v>
      </c>
      <c r="G159" s="1671">
        <v>0.84260000000000002</v>
      </c>
      <c r="H159" s="1671">
        <v>0.84260000000000002</v>
      </c>
      <c r="I159" s="1671">
        <v>0.71030000000000004</v>
      </c>
      <c r="J159" s="1671">
        <v>0.71030000000000004</v>
      </c>
      <c r="K159" s="1671">
        <v>0.71030000000000004</v>
      </c>
      <c r="L159" s="1671">
        <v>0.71030000000000004</v>
      </c>
      <c r="M159" s="1671">
        <v>0.71030000000000004</v>
      </c>
    </row>
    <row r="160" spans="1:13">
      <c r="A160" s="1668">
        <v>7.5</v>
      </c>
      <c r="B160" s="1671">
        <v>0.91500000000000004</v>
      </c>
      <c r="C160" s="1671">
        <v>0.91500000000000004</v>
      </c>
      <c r="D160" s="1671">
        <v>0.8407</v>
      </c>
      <c r="E160" s="1671">
        <v>0.8407</v>
      </c>
      <c r="F160" s="1671">
        <v>0.8407</v>
      </c>
      <c r="G160" s="1671">
        <v>0.8407</v>
      </c>
      <c r="H160" s="1671">
        <v>0.8407</v>
      </c>
      <c r="I160" s="1671">
        <v>0.70799999999999996</v>
      </c>
      <c r="J160" s="1671">
        <v>0.70799999999999996</v>
      </c>
      <c r="K160" s="1671">
        <v>0.70799999999999996</v>
      </c>
      <c r="L160" s="1671">
        <v>0.70799999999999996</v>
      </c>
      <c r="M160" s="1671">
        <v>0.70799999999999996</v>
      </c>
    </row>
    <row r="161" spans="1:13">
      <c r="A161" s="1672">
        <v>7.6</v>
      </c>
      <c r="B161" s="1671">
        <v>0.91339999999999999</v>
      </c>
      <c r="C161" s="1671">
        <v>0.91339999999999999</v>
      </c>
      <c r="D161" s="1671">
        <v>0.83889999999999998</v>
      </c>
      <c r="E161" s="1671">
        <v>0.83889999999999998</v>
      </c>
      <c r="F161" s="1671">
        <v>0.83889999999999998</v>
      </c>
      <c r="G161" s="1671">
        <v>0.83889999999999998</v>
      </c>
      <c r="H161" s="1671">
        <v>0.83889999999999998</v>
      </c>
      <c r="I161" s="1671">
        <v>0.70569999999999999</v>
      </c>
      <c r="J161" s="1671">
        <v>0.70569999999999999</v>
      </c>
      <c r="K161" s="1671">
        <v>0.70569999999999999</v>
      </c>
      <c r="L161" s="1671">
        <v>0.70569999999999999</v>
      </c>
      <c r="M161" s="1671">
        <v>0.70569999999999999</v>
      </c>
    </row>
    <row r="162" spans="1:13">
      <c r="A162" s="1668">
        <v>7.7</v>
      </c>
      <c r="B162" s="1671">
        <v>0.91190000000000004</v>
      </c>
      <c r="C162" s="1671">
        <v>0.91190000000000004</v>
      </c>
      <c r="D162" s="1671">
        <v>0.83709999999999996</v>
      </c>
      <c r="E162" s="1671">
        <v>0.83709999999999996</v>
      </c>
      <c r="F162" s="1671">
        <v>0.83709999999999996</v>
      </c>
      <c r="G162" s="1671">
        <v>0.83709999999999996</v>
      </c>
      <c r="H162" s="1671">
        <v>0.83709999999999996</v>
      </c>
      <c r="I162" s="1671">
        <v>0.70340000000000003</v>
      </c>
      <c r="J162" s="1671">
        <v>0.70340000000000003</v>
      </c>
      <c r="K162" s="1671">
        <v>0.70340000000000003</v>
      </c>
      <c r="L162" s="1671">
        <v>0.70340000000000003</v>
      </c>
      <c r="M162" s="1671">
        <v>0.70340000000000003</v>
      </c>
    </row>
    <row r="163" spans="1:13">
      <c r="A163" s="1668">
        <v>7.8</v>
      </c>
      <c r="B163" s="1671">
        <v>0.91039999999999999</v>
      </c>
      <c r="C163" s="1671">
        <v>0.91039999999999999</v>
      </c>
      <c r="D163" s="1671">
        <v>0.83530000000000004</v>
      </c>
      <c r="E163" s="1671">
        <v>0.83530000000000004</v>
      </c>
      <c r="F163" s="1671">
        <v>0.83530000000000004</v>
      </c>
      <c r="G163" s="1671">
        <v>0.83530000000000004</v>
      </c>
      <c r="H163" s="1671">
        <v>0.83530000000000004</v>
      </c>
      <c r="I163" s="1671">
        <v>0.70109999999999995</v>
      </c>
      <c r="J163" s="1671">
        <v>0.70109999999999995</v>
      </c>
      <c r="K163" s="1671">
        <v>0.70109999999999995</v>
      </c>
      <c r="L163" s="1671">
        <v>0.70109999999999995</v>
      </c>
      <c r="M163" s="1671">
        <v>0.70109999999999995</v>
      </c>
    </row>
    <row r="164" spans="1:13">
      <c r="A164" s="1668">
        <v>7.9</v>
      </c>
      <c r="B164" s="1671">
        <v>0.90890000000000004</v>
      </c>
      <c r="C164" s="1671">
        <v>0.90890000000000004</v>
      </c>
      <c r="D164" s="1671">
        <v>0.83350000000000002</v>
      </c>
      <c r="E164" s="1671">
        <v>0.83350000000000002</v>
      </c>
      <c r="F164" s="1671">
        <v>0.83350000000000002</v>
      </c>
      <c r="G164" s="1671">
        <v>0.83350000000000002</v>
      </c>
      <c r="H164" s="1671">
        <v>0.83350000000000002</v>
      </c>
      <c r="I164" s="1671">
        <v>0.69879999999999998</v>
      </c>
      <c r="J164" s="1671">
        <v>0.69879999999999998</v>
      </c>
      <c r="K164" s="1671">
        <v>0.69879999999999998</v>
      </c>
      <c r="L164" s="1671">
        <v>0.69879999999999998</v>
      </c>
      <c r="M164" s="1671">
        <v>0.69879999999999998</v>
      </c>
    </row>
    <row r="165" spans="1:13">
      <c r="A165" s="1668">
        <v>8</v>
      </c>
      <c r="B165" s="1671">
        <v>0.90739999999999998</v>
      </c>
      <c r="C165" s="1671">
        <v>0.90739999999999998</v>
      </c>
      <c r="D165" s="1671">
        <v>0.83169999999999999</v>
      </c>
      <c r="E165" s="1671">
        <v>0.83169999999999999</v>
      </c>
      <c r="F165" s="1671">
        <v>0.83169999999999999</v>
      </c>
      <c r="G165" s="1671">
        <v>0.83169999999999999</v>
      </c>
      <c r="H165" s="1671">
        <v>0.83169999999999999</v>
      </c>
      <c r="I165" s="1671">
        <v>0.6966</v>
      </c>
      <c r="J165" s="1671">
        <v>0.6966</v>
      </c>
      <c r="K165" s="1671">
        <v>0.6966</v>
      </c>
      <c r="L165" s="1671">
        <v>0.6966</v>
      </c>
      <c r="M165" s="1671">
        <v>0.6966</v>
      </c>
    </row>
    <row r="166" spans="1:13">
      <c r="A166" s="1668">
        <v>8.1</v>
      </c>
      <c r="B166" s="1671">
        <v>0.90590000000000004</v>
      </c>
      <c r="C166" s="1671">
        <v>0.90590000000000004</v>
      </c>
      <c r="D166" s="1671">
        <v>0.82989999999999997</v>
      </c>
      <c r="E166" s="1671">
        <v>0.82989999999999997</v>
      </c>
      <c r="F166" s="1671">
        <v>0.82989999999999997</v>
      </c>
      <c r="G166" s="1671">
        <v>0.82989999999999997</v>
      </c>
      <c r="H166" s="1671">
        <v>0.82989999999999997</v>
      </c>
      <c r="I166" s="1671">
        <v>0.69440000000000002</v>
      </c>
      <c r="J166" s="1671">
        <v>0.69440000000000002</v>
      </c>
      <c r="K166" s="1671">
        <v>0.69440000000000002</v>
      </c>
      <c r="L166" s="1671">
        <v>0.69440000000000002</v>
      </c>
      <c r="M166" s="1671">
        <v>0.69440000000000002</v>
      </c>
    </row>
    <row r="167" spans="1:13">
      <c r="A167" s="1668">
        <v>8.1999999999999993</v>
      </c>
      <c r="B167" s="1671">
        <v>0.90439999999999998</v>
      </c>
      <c r="C167" s="1671">
        <v>0.90439999999999998</v>
      </c>
      <c r="D167" s="1671">
        <v>0.82820000000000005</v>
      </c>
      <c r="E167" s="1671">
        <v>0.82820000000000005</v>
      </c>
      <c r="F167" s="1671">
        <v>0.82820000000000005</v>
      </c>
      <c r="G167" s="1671">
        <v>0.82820000000000005</v>
      </c>
      <c r="H167" s="1671">
        <v>0.82820000000000005</v>
      </c>
      <c r="I167" s="1671">
        <v>0.69220000000000004</v>
      </c>
      <c r="J167" s="1671">
        <v>0.69220000000000004</v>
      </c>
      <c r="K167" s="1671">
        <v>0.69220000000000004</v>
      </c>
      <c r="L167" s="1671">
        <v>0.69220000000000004</v>
      </c>
      <c r="M167" s="1671">
        <v>0.69220000000000004</v>
      </c>
    </row>
    <row r="168" spans="1:13">
      <c r="A168" s="1668">
        <v>8.3000000000000007</v>
      </c>
      <c r="B168" s="1671">
        <v>0.90300000000000002</v>
      </c>
      <c r="C168" s="1671">
        <v>0.90300000000000002</v>
      </c>
      <c r="D168" s="1671">
        <v>0.82650000000000001</v>
      </c>
      <c r="E168" s="1671">
        <v>0.82650000000000001</v>
      </c>
      <c r="F168" s="1671">
        <v>0.82650000000000001</v>
      </c>
      <c r="G168" s="1671">
        <v>0.82650000000000001</v>
      </c>
      <c r="H168" s="1671">
        <v>0.82650000000000001</v>
      </c>
      <c r="I168" s="1671">
        <v>0.69</v>
      </c>
      <c r="J168" s="1671">
        <v>0.69</v>
      </c>
      <c r="K168" s="1671">
        <v>0.69</v>
      </c>
      <c r="L168" s="1671">
        <v>0.69</v>
      </c>
      <c r="M168" s="1671">
        <v>0.69</v>
      </c>
    </row>
    <row r="169" spans="1:13">
      <c r="A169" s="1668">
        <v>8.4</v>
      </c>
      <c r="B169" s="1671">
        <v>0.90159999999999996</v>
      </c>
      <c r="C169" s="1671">
        <v>0.90159999999999996</v>
      </c>
      <c r="D169" s="1671">
        <v>0.82479999999999998</v>
      </c>
      <c r="E169" s="1671">
        <v>0.82479999999999998</v>
      </c>
      <c r="F169" s="1671">
        <v>0.82479999999999998</v>
      </c>
      <c r="G169" s="1671">
        <v>0.82479999999999998</v>
      </c>
      <c r="H169" s="1671">
        <v>0.82479999999999998</v>
      </c>
      <c r="I169" s="1671">
        <v>0.68779999999999997</v>
      </c>
      <c r="J169" s="1671">
        <v>0.68779999999999997</v>
      </c>
      <c r="K169" s="1671">
        <v>0.68779999999999997</v>
      </c>
      <c r="L169" s="1671">
        <v>0.68779999999999997</v>
      </c>
      <c r="M169" s="1671">
        <v>0.68779999999999997</v>
      </c>
    </row>
    <row r="170" spans="1:13">
      <c r="A170" s="1668">
        <v>8.5</v>
      </c>
      <c r="B170" s="1671">
        <v>0.9002</v>
      </c>
      <c r="C170" s="1671">
        <v>0.9002</v>
      </c>
      <c r="D170" s="1671">
        <v>0.82310000000000005</v>
      </c>
      <c r="E170" s="1671">
        <v>0.82310000000000005</v>
      </c>
      <c r="F170" s="1671">
        <v>0.82310000000000005</v>
      </c>
      <c r="G170" s="1671">
        <v>0.82310000000000005</v>
      </c>
      <c r="H170" s="1671">
        <v>0.82310000000000005</v>
      </c>
      <c r="I170" s="1671">
        <v>0.68569999999999998</v>
      </c>
      <c r="J170" s="1671">
        <v>0.68569999999999998</v>
      </c>
      <c r="K170" s="1671">
        <v>0.68569999999999998</v>
      </c>
      <c r="L170" s="1671">
        <v>0.68569999999999998</v>
      </c>
      <c r="M170" s="1671">
        <v>0.68569999999999998</v>
      </c>
    </row>
    <row r="171" spans="1:13">
      <c r="A171" s="1668">
        <v>8.6</v>
      </c>
      <c r="B171" s="1671">
        <v>0.89880000000000004</v>
      </c>
      <c r="C171" s="1671">
        <v>0.89880000000000004</v>
      </c>
      <c r="D171" s="1671">
        <v>0.82140000000000002</v>
      </c>
      <c r="E171" s="1671">
        <v>0.82140000000000002</v>
      </c>
      <c r="F171" s="1671">
        <v>0.82140000000000002</v>
      </c>
      <c r="G171" s="1671">
        <v>0.82140000000000002</v>
      </c>
      <c r="H171" s="1671">
        <v>0.82140000000000002</v>
      </c>
      <c r="I171" s="1671">
        <v>0.68359999999999999</v>
      </c>
      <c r="J171" s="1671">
        <v>0.68359999999999999</v>
      </c>
      <c r="K171" s="1671">
        <v>0.68359999999999999</v>
      </c>
      <c r="L171" s="1671">
        <v>0.68359999999999999</v>
      </c>
      <c r="M171" s="1671">
        <v>0.68359999999999999</v>
      </c>
    </row>
    <row r="172" spans="1:13">
      <c r="A172" s="1668">
        <v>8.6999999999999993</v>
      </c>
      <c r="B172" s="1671">
        <v>0.89739999999999998</v>
      </c>
      <c r="C172" s="1671">
        <v>0.89739999999999998</v>
      </c>
      <c r="D172" s="1671">
        <v>0.81969999999999998</v>
      </c>
      <c r="E172" s="1671">
        <v>0.81969999999999998</v>
      </c>
      <c r="F172" s="1671">
        <v>0.81969999999999998</v>
      </c>
      <c r="G172" s="1671">
        <v>0.81969999999999998</v>
      </c>
      <c r="H172" s="1671">
        <v>0.81969999999999998</v>
      </c>
      <c r="I172" s="1671">
        <v>0.68149999999999999</v>
      </c>
      <c r="J172" s="1671">
        <v>0.68149999999999999</v>
      </c>
      <c r="K172" s="1671">
        <v>0.68149999999999999</v>
      </c>
      <c r="L172" s="1671">
        <v>0.68149999999999999</v>
      </c>
      <c r="M172" s="1671">
        <v>0.68149999999999999</v>
      </c>
    </row>
    <row r="173" spans="1:13">
      <c r="A173" s="1668">
        <v>8.8000000000000007</v>
      </c>
      <c r="B173" s="1671">
        <v>0.89600000000000002</v>
      </c>
      <c r="C173" s="1671">
        <v>0.89600000000000002</v>
      </c>
      <c r="D173" s="1671">
        <v>0.81810000000000005</v>
      </c>
      <c r="E173" s="1671">
        <v>0.81810000000000005</v>
      </c>
      <c r="F173" s="1671">
        <v>0.81810000000000005</v>
      </c>
      <c r="G173" s="1671">
        <v>0.81810000000000005</v>
      </c>
      <c r="H173" s="1671">
        <v>0.81810000000000005</v>
      </c>
      <c r="I173" s="1671">
        <v>0.6794</v>
      </c>
      <c r="J173" s="1671">
        <v>0.6794</v>
      </c>
      <c r="K173" s="1671">
        <v>0.6794</v>
      </c>
      <c r="L173" s="1671">
        <v>0.6794</v>
      </c>
      <c r="M173" s="1671">
        <v>0.6794</v>
      </c>
    </row>
    <row r="174" spans="1:13">
      <c r="A174" s="1668">
        <v>8.9</v>
      </c>
      <c r="B174" s="1671">
        <v>0.89470000000000005</v>
      </c>
      <c r="C174" s="1671">
        <v>0.89470000000000005</v>
      </c>
      <c r="D174" s="1671">
        <v>0.8165</v>
      </c>
      <c r="E174" s="1671">
        <v>0.8165</v>
      </c>
      <c r="F174" s="1671">
        <v>0.8165</v>
      </c>
      <c r="G174" s="1671">
        <v>0.8165</v>
      </c>
      <c r="H174" s="1671">
        <v>0.8165</v>
      </c>
      <c r="I174" s="1671">
        <v>0.6774</v>
      </c>
      <c r="J174" s="1671">
        <v>0.6774</v>
      </c>
      <c r="K174" s="1671">
        <v>0.6774</v>
      </c>
      <c r="L174" s="1671">
        <v>0.6774</v>
      </c>
      <c r="M174" s="1671">
        <v>0.6774</v>
      </c>
    </row>
    <row r="175" spans="1:13">
      <c r="A175" s="1668">
        <v>9</v>
      </c>
      <c r="B175" s="1671">
        <v>0.89339999999999997</v>
      </c>
      <c r="C175" s="1671">
        <v>0.89339999999999997</v>
      </c>
      <c r="D175" s="1671">
        <v>0.81489999999999996</v>
      </c>
      <c r="E175" s="1671">
        <v>0.81489999999999996</v>
      </c>
      <c r="F175" s="1671">
        <v>0.81489999999999996</v>
      </c>
      <c r="G175" s="1671">
        <v>0.81489999999999996</v>
      </c>
      <c r="H175" s="1671">
        <v>0.81489999999999996</v>
      </c>
      <c r="I175" s="1671">
        <v>0.6754</v>
      </c>
      <c r="J175" s="1671">
        <v>0.6754</v>
      </c>
      <c r="K175" s="1671">
        <v>0.6754</v>
      </c>
      <c r="L175" s="1671">
        <v>0.6754</v>
      </c>
      <c r="M175" s="1671">
        <v>0.6754</v>
      </c>
    </row>
    <row r="176" spans="1:13">
      <c r="A176" s="1668">
        <v>9.1</v>
      </c>
      <c r="B176" s="1671">
        <v>0.8921</v>
      </c>
      <c r="C176" s="1671">
        <v>0.8921</v>
      </c>
      <c r="D176" s="1671">
        <v>0.81330000000000002</v>
      </c>
      <c r="E176" s="1671">
        <v>0.81330000000000002</v>
      </c>
      <c r="F176" s="1671">
        <v>0.81330000000000002</v>
      </c>
      <c r="G176" s="1671">
        <v>0.81330000000000002</v>
      </c>
      <c r="H176" s="1671">
        <v>0.81330000000000002</v>
      </c>
      <c r="I176" s="1671">
        <v>0.6734</v>
      </c>
      <c r="J176" s="1671">
        <v>0.6734</v>
      </c>
      <c r="K176" s="1671">
        <v>0.6734</v>
      </c>
      <c r="L176" s="1671">
        <v>0.6734</v>
      </c>
      <c r="M176" s="1671">
        <v>0.6734</v>
      </c>
    </row>
    <row r="177" spans="1:13">
      <c r="A177" s="1668">
        <v>9.1999999999999993</v>
      </c>
      <c r="B177" s="1671">
        <v>0.89080000000000004</v>
      </c>
      <c r="C177" s="1671">
        <v>0.89080000000000004</v>
      </c>
      <c r="D177" s="1671">
        <v>0.81169999999999998</v>
      </c>
      <c r="E177" s="1671">
        <v>0.81169999999999998</v>
      </c>
      <c r="F177" s="1671">
        <v>0.81169999999999998</v>
      </c>
      <c r="G177" s="1671">
        <v>0.81169999999999998</v>
      </c>
      <c r="H177" s="1671">
        <v>0.81169999999999998</v>
      </c>
      <c r="I177" s="1671">
        <v>0.6714</v>
      </c>
      <c r="J177" s="1671">
        <v>0.6714</v>
      </c>
      <c r="K177" s="1671">
        <v>0.6714</v>
      </c>
      <c r="L177" s="1671">
        <v>0.6714</v>
      </c>
      <c r="M177" s="1671">
        <v>0.6714</v>
      </c>
    </row>
    <row r="178" spans="1:13">
      <c r="A178" s="1668">
        <v>9.3000000000000007</v>
      </c>
      <c r="B178" s="1671">
        <v>0.88949999999999996</v>
      </c>
      <c r="C178" s="1671">
        <v>0.88949999999999996</v>
      </c>
      <c r="D178" s="1671">
        <v>0.81010000000000004</v>
      </c>
      <c r="E178" s="1671">
        <v>0.81010000000000004</v>
      </c>
      <c r="F178" s="1671">
        <v>0.81010000000000004</v>
      </c>
      <c r="G178" s="1671">
        <v>0.81010000000000004</v>
      </c>
      <c r="H178" s="1671">
        <v>0.81010000000000004</v>
      </c>
      <c r="I178" s="1671">
        <v>0.6694</v>
      </c>
      <c r="J178" s="1671">
        <v>0.6694</v>
      </c>
      <c r="K178" s="1671">
        <v>0.6694</v>
      </c>
      <c r="L178" s="1671">
        <v>0.6694</v>
      </c>
      <c r="M178" s="1671">
        <v>0.6694</v>
      </c>
    </row>
    <row r="179" spans="1:13">
      <c r="A179" s="1668">
        <v>9.4</v>
      </c>
      <c r="B179" s="1671">
        <v>0.88819999999999999</v>
      </c>
      <c r="C179" s="1671">
        <v>0.88819999999999999</v>
      </c>
      <c r="D179" s="1671">
        <v>0.8085</v>
      </c>
      <c r="E179" s="1671">
        <v>0.8085</v>
      </c>
      <c r="F179" s="1671">
        <v>0.8085</v>
      </c>
      <c r="G179" s="1671">
        <v>0.8085</v>
      </c>
      <c r="H179" s="1671">
        <v>0.8085</v>
      </c>
      <c r="I179" s="1671">
        <v>0.66739999999999999</v>
      </c>
      <c r="J179" s="1671">
        <v>0.66739999999999999</v>
      </c>
      <c r="K179" s="1671">
        <v>0.66739999999999999</v>
      </c>
      <c r="L179" s="1671">
        <v>0.66739999999999999</v>
      </c>
      <c r="M179" s="1671">
        <v>0.66739999999999999</v>
      </c>
    </row>
    <row r="180" spans="1:13">
      <c r="A180" s="1668">
        <v>9.5</v>
      </c>
      <c r="B180" s="1671">
        <v>0.88700000000000001</v>
      </c>
      <c r="C180" s="1671">
        <v>0.88700000000000001</v>
      </c>
      <c r="D180" s="1671">
        <v>0.80700000000000005</v>
      </c>
      <c r="E180" s="1671">
        <v>0.80700000000000005</v>
      </c>
      <c r="F180" s="1671">
        <v>0.80700000000000005</v>
      </c>
      <c r="G180" s="1671">
        <v>0.80700000000000005</v>
      </c>
      <c r="H180" s="1671">
        <v>0.80700000000000005</v>
      </c>
      <c r="I180" s="1671">
        <v>0.66549999999999998</v>
      </c>
      <c r="J180" s="1671">
        <v>0.66549999999999998</v>
      </c>
      <c r="K180" s="1671">
        <v>0.66549999999999998</v>
      </c>
      <c r="L180" s="1671">
        <v>0.66549999999999998</v>
      </c>
      <c r="M180" s="1671">
        <v>0.66549999999999998</v>
      </c>
    </row>
    <row r="181" spans="1:13">
      <c r="A181" s="1668">
        <v>9.6</v>
      </c>
      <c r="B181" s="1671">
        <v>0.88580000000000003</v>
      </c>
      <c r="C181" s="1671">
        <v>0.88580000000000003</v>
      </c>
      <c r="D181" s="1671">
        <v>0.80549999999999999</v>
      </c>
      <c r="E181" s="1671">
        <v>0.80549999999999999</v>
      </c>
      <c r="F181" s="1671">
        <v>0.80549999999999999</v>
      </c>
      <c r="G181" s="1671">
        <v>0.80549999999999999</v>
      </c>
      <c r="H181" s="1671">
        <v>0.80549999999999999</v>
      </c>
      <c r="I181" s="1671">
        <v>0.66359999999999997</v>
      </c>
      <c r="J181" s="1671">
        <v>0.66359999999999997</v>
      </c>
      <c r="K181" s="1671">
        <v>0.66359999999999997</v>
      </c>
      <c r="L181" s="1671">
        <v>0.66359999999999997</v>
      </c>
      <c r="M181" s="1671">
        <v>0.66359999999999997</v>
      </c>
    </row>
    <row r="182" spans="1:13">
      <c r="A182" s="1668">
        <v>9.6999999999999993</v>
      </c>
      <c r="B182" s="1671">
        <v>0.88460000000000005</v>
      </c>
      <c r="C182" s="1671">
        <v>0.88460000000000005</v>
      </c>
      <c r="D182" s="1671">
        <v>0.80400000000000005</v>
      </c>
      <c r="E182" s="1671">
        <v>0.80400000000000005</v>
      </c>
      <c r="F182" s="1671">
        <v>0.80400000000000005</v>
      </c>
      <c r="G182" s="1671">
        <v>0.80400000000000005</v>
      </c>
      <c r="H182" s="1671">
        <v>0.80400000000000005</v>
      </c>
      <c r="I182" s="1671">
        <v>0.66169999999999995</v>
      </c>
      <c r="J182" s="1671">
        <v>0.66169999999999995</v>
      </c>
      <c r="K182" s="1671">
        <v>0.66169999999999995</v>
      </c>
      <c r="L182" s="1671">
        <v>0.66169999999999995</v>
      </c>
      <c r="M182" s="1671">
        <v>0.66169999999999995</v>
      </c>
    </row>
    <row r="183" spans="1:13">
      <c r="A183" s="1668">
        <v>9.8000000000000007</v>
      </c>
      <c r="B183" s="1671">
        <v>0.88339999999999996</v>
      </c>
      <c r="C183" s="1671">
        <v>0.88339999999999996</v>
      </c>
      <c r="D183" s="1671">
        <v>0.80249999999999999</v>
      </c>
      <c r="E183" s="1671">
        <v>0.80249999999999999</v>
      </c>
      <c r="F183" s="1671">
        <v>0.80249999999999999</v>
      </c>
      <c r="G183" s="1671">
        <v>0.80249999999999999</v>
      </c>
      <c r="H183" s="1671">
        <v>0.80249999999999999</v>
      </c>
      <c r="I183" s="1671">
        <v>0.65980000000000005</v>
      </c>
      <c r="J183" s="1671">
        <v>0.65980000000000005</v>
      </c>
      <c r="K183" s="1671">
        <v>0.65980000000000005</v>
      </c>
      <c r="L183" s="1671">
        <v>0.65980000000000005</v>
      </c>
      <c r="M183" s="1671">
        <v>0.65980000000000005</v>
      </c>
    </row>
    <row r="184" spans="1:13">
      <c r="A184" s="1668">
        <v>9.9</v>
      </c>
      <c r="B184" s="1671">
        <v>0.88219999999999998</v>
      </c>
      <c r="C184" s="1671">
        <v>0.88219999999999998</v>
      </c>
      <c r="D184" s="1671">
        <v>0.80100000000000005</v>
      </c>
      <c r="E184" s="1671">
        <v>0.80100000000000005</v>
      </c>
      <c r="F184" s="1671">
        <v>0.80100000000000005</v>
      </c>
      <c r="G184" s="1671">
        <v>0.80100000000000005</v>
      </c>
      <c r="H184" s="1671">
        <v>0.80100000000000005</v>
      </c>
      <c r="I184" s="1671">
        <v>0.65790000000000004</v>
      </c>
      <c r="J184" s="1671">
        <v>0.65790000000000004</v>
      </c>
      <c r="K184" s="1671">
        <v>0.65790000000000004</v>
      </c>
      <c r="L184" s="1671">
        <v>0.65790000000000004</v>
      </c>
      <c r="M184" s="1671">
        <v>0.65790000000000004</v>
      </c>
    </row>
    <row r="185" spans="1:13" ht="14.25">
      <c r="A185" s="1666" t="s">
        <v>1897</v>
      </c>
      <c r="B185" s="1671"/>
      <c r="C185" s="1671"/>
      <c r="D185" s="1671"/>
      <c r="E185" s="1671"/>
      <c r="F185" s="1671"/>
      <c r="G185" s="1671"/>
      <c r="H185" s="1671"/>
      <c r="I185" s="1671"/>
      <c r="J185" s="1671"/>
      <c r="K185" s="1671"/>
      <c r="L185" s="1671"/>
      <c r="M185" s="1671"/>
    </row>
    <row r="186" spans="1:13">
      <c r="A186" s="1668" t="s">
        <v>105</v>
      </c>
      <c r="B186" s="1671" t="s">
        <v>238</v>
      </c>
      <c r="C186" s="1671" t="s">
        <v>251</v>
      </c>
      <c r="D186" s="1671" t="s">
        <v>263</v>
      </c>
      <c r="E186" s="1671" t="s">
        <v>273</v>
      </c>
      <c r="F186" s="1671" t="s">
        <v>282</v>
      </c>
      <c r="G186" s="1671" t="s">
        <v>290</v>
      </c>
      <c r="H186" s="1671" t="s">
        <v>295</v>
      </c>
      <c r="I186" s="1671" t="s">
        <v>301</v>
      </c>
      <c r="J186" s="1671" t="s">
        <v>305</v>
      </c>
      <c r="K186" s="1671" t="s">
        <v>309</v>
      </c>
      <c r="L186" s="1671" t="s">
        <v>313</v>
      </c>
      <c r="M186" s="1671" t="s">
        <v>317</v>
      </c>
    </row>
    <row r="187" spans="1:13">
      <c r="A187" s="1668">
        <v>1</v>
      </c>
      <c r="B187" s="1671">
        <v>1.1901999999999999</v>
      </c>
      <c r="C187" s="1671">
        <v>1.1901999999999999</v>
      </c>
      <c r="D187" s="1671">
        <v>1.222</v>
      </c>
      <c r="E187" s="1671">
        <v>1.222</v>
      </c>
      <c r="F187" s="1671">
        <v>1.222</v>
      </c>
      <c r="G187" s="1671">
        <v>1.222</v>
      </c>
      <c r="H187" s="1671">
        <v>1.222</v>
      </c>
      <c r="I187" s="1671">
        <v>1.1054999999999999</v>
      </c>
      <c r="J187" s="1671">
        <v>1.1054999999999999</v>
      </c>
      <c r="K187" s="1671">
        <v>1.1054999999999999</v>
      </c>
      <c r="L187" s="1671">
        <v>1.1054999999999999</v>
      </c>
      <c r="M187" s="1671">
        <v>1.1054999999999999</v>
      </c>
    </row>
    <row r="188" spans="1:13">
      <c r="A188" s="1668">
        <v>1.1000000000000001</v>
      </c>
      <c r="B188" s="1671">
        <v>1.1715</v>
      </c>
      <c r="C188" s="1671">
        <v>1.1715</v>
      </c>
      <c r="D188" s="1671">
        <v>1.2002999999999999</v>
      </c>
      <c r="E188" s="1671">
        <v>1.2002999999999999</v>
      </c>
      <c r="F188" s="1671">
        <v>1.2002999999999999</v>
      </c>
      <c r="G188" s="1671">
        <v>1.2002999999999999</v>
      </c>
      <c r="H188" s="1671">
        <v>1.2002999999999999</v>
      </c>
      <c r="I188" s="1671">
        <v>1.0819000000000001</v>
      </c>
      <c r="J188" s="1671">
        <v>1.0819000000000001</v>
      </c>
      <c r="K188" s="1671">
        <v>1.0819000000000001</v>
      </c>
      <c r="L188" s="1671">
        <v>1.0819000000000001</v>
      </c>
      <c r="M188" s="1671">
        <v>1.0819000000000001</v>
      </c>
    </row>
    <row r="189" spans="1:13">
      <c r="A189" s="1668">
        <v>1.2</v>
      </c>
      <c r="B189" s="1671">
        <v>1.1538999999999999</v>
      </c>
      <c r="C189" s="1671">
        <v>1.1538999999999999</v>
      </c>
      <c r="D189" s="1671">
        <v>1.1798</v>
      </c>
      <c r="E189" s="1671">
        <v>1.1798</v>
      </c>
      <c r="F189" s="1671">
        <v>1.1798</v>
      </c>
      <c r="G189" s="1671">
        <v>1.1798</v>
      </c>
      <c r="H189" s="1671">
        <v>1.1798</v>
      </c>
      <c r="I189" s="1671">
        <v>1.0597000000000001</v>
      </c>
      <c r="J189" s="1671">
        <v>1.0597000000000001</v>
      </c>
      <c r="K189" s="1671">
        <v>1.0597000000000001</v>
      </c>
      <c r="L189" s="1671">
        <v>1.0597000000000001</v>
      </c>
      <c r="M189" s="1671">
        <v>1.0597000000000001</v>
      </c>
    </row>
    <row r="190" spans="1:13">
      <c r="A190" s="1668">
        <v>1.3</v>
      </c>
      <c r="B190" s="1671">
        <v>1.1372</v>
      </c>
      <c r="C190" s="1671">
        <v>1.1372</v>
      </c>
      <c r="D190" s="1671">
        <v>1.1605000000000001</v>
      </c>
      <c r="E190" s="1671">
        <v>1.1605000000000001</v>
      </c>
      <c r="F190" s="1671">
        <v>1.1605000000000001</v>
      </c>
      <c r="G190" s="1671">
        <v>1.1605000000000001</v>
      </c>
      <c r="H190" s="1671">
        <v>1.1605000000000001</v>
      </c>
      <c r="I190" s="1671">
        <v>1.0386</v>
      </c>
      <c r="J190" s="1671">
        <v>1.0386</v>
      </c>
      <c r="K190" s="1671">
        <v>1.0386</v>
      </c>
      <c r="L190" s="1671">
        <v>1.0386</v>
      </c>
      <c r="M190" s="1671">
        <v>1.0386</v>
      </c>
    </row>
    <row r="191" spans="1:13">
      <c r="A191" s="1668">
        <v>1.4</v>
      </c>
      <c r="B191" s="1671">
        <v>1.1215999999999999</v>
      </c>
      <c r="C191" s="1671">
        <v>1.1215999999999999</v>
      </c>
      <c r="D191" s="1671">
        <v>1.1422000000000001</v>
      </c>
      <c r="E191" s="1671">
        <v>1.1422000000000001</v>
      </c>
      <c r="F191" s="1671">
        <v>1.1422000000000001</v>
      </c>
      <c r="G191" s="1671">
        <v>1.1422000000000001</v>
      </c>
      <c r="H191" s="1671">
        <v>1.1422000000000001</v>
      </c>
      <c r="I191" s="1671">
        <v>1.0187999999999999</v>
      </c>
      <c r="J191" s="1671">
        <v>1.0187999999999999</v>
      </c>
      <c r="K191" s="1671">
        <v>1.0187999999999999</v>
      </c>
      <c r="L191" s="1671">
        <v>1.0187999999999999</v>
      </c>
      <c r="M191" s="1671">
        <v>1.0187999999999999</v>
      </c>
    </row>
    <row r="192" spans="1:13">
      <c r="A192" s="1668">
        <v>1.5</v>
      </c>
      <c r="B192" s="1671">
        <v>1.1069</v>
      </c>
      <c r="C192" s="1671">
        <v>1.1069</v>
      </c>
      <c r="D192" s="1671">
        <v>1.125</v>
      </c>
      <c r="E192" s="1671">
        <v>1.125</v>
      </c>
      <c r="F192" s="1671">
        <v>1.125</v>
      </c>
      <c r="G192" s="1671">
        <v>1.125</v>
      </c>
      <c r="H192" s="1671">
        <v>1.125</v>
      </c>
      <c r="I192" s="1671">
        <v>1</v>
      </c>
      <c r="J192" s="1671">
        <v>1</v>
      </c>
      <c r="K192" s="1671">
        <v>1</v>
      </c>
      <c r="L192" s="1671">
        <v>1</v>
      </c>
      <c r="M192" s="1671">
        <v>1</v>
      </c>
    </row>
    <row r="193" spans="1:13">
      <c r="A193" s="1668">
        <v>1.6</v>
      </c>
      <c r="B193" s="1671">
        <v>1.0929</v>
      </c>
      <c r="C193" s="1671">
        <v>1.0929</v>
      </c>
      <c r="D193" s="1671">
        <v>1.1087</v>
      </c>
      <c r="E193" s="1671">
        <v>1.1087</v>
      </c>
      <c r="F193" s="1671">
        <v>1.1087</v>
      </c>
      <c r="G193" s="1671">
        <v>1.1087</v>
      </c>
      <c r="H193" s="1671">
        <v>1.1087</v>
      </c>
      <c r="I193" s="1671">
        <v>0.98229999999999995</v>
      </c>
      <c r="J193" s="1671">
        <v>0.98229999999999995</v>
      </c>
      <c r="K193" s="1671">
        <v>0.98229999999999995</v>
      </c>
      <c r="L193" s="1671">
        <v>0.98229999999999995</v>
      </c>
      <c r="M193" s="1671">
        <v>0.98229999999999995</v>
      </c>
    </row>
    <row r="194" spans="1:13">
      <c r="A194" s="1672">
        <v>1.7</v>
      </c>
      <c r="B194" s="1671">
        <v>1.0798000000000001</v>
      </c>
      <c r="C194" s="1671">
        <v>1.0798000000000001</v>
      </c>
      <c r="D194" s="1671">
        <v>1.0933999999999999</v>
      </c>
      <c r="E194" s="1671">
        <v>1.0933999999999999</v>
      </c>
      <c r="F194" s="1671">
        <v>1.0933999999999999</v>
      </c>
      <c r="G194" s="1671">
        <v>1.0933999999999999</v>
      </c>
      <c r="H194" s="1671">
        <v>1.0933999999999999</v>
      </c>
      <c r="I194" s="1671">
        <v>0.96560000000000001</v>
      </c>
      <c r="J194" s="1671">
        <v>0.96560000000000001</v>
      </c>
      <c r="K194" s="1671">
        <v>0.96560000000000001</v>
      </c>
      <c r="L194" s="1671">
        <v>0.96560000000000001</v>
      </c>
      <c r="M194" s="1671">
        <v>0.96560000000000001</v>
      </c>
    </row>
    <row r="195" spans="1:13">
      <c r="A195" s="1672">
        <v>1.8</v>
      </c>
      <c r="B195" s="1671">
        <v>1.0674999999999999</v>
      </c>
      <c r="C195" s="1671">
        <v>1.0674999999999999</v>
      </c>
      <c r="D195" s="1671">
        <v>1.0790999999999999</v>
      </c>
      <c r="E195" s="1671">
        <v>1.0790999999999999</v>
      </c>
      <c r="F195" s="1671">
        <v>1.0790999999999999</v>
      </c>
      <c r="G195" s="1671">
        <v>1.0790999999999999</v>
      </c>
      <c r="H195" s="1671">
        <v>1.0790999999999999</v>
      </c>
      <c r="I195" s="1671">
        <v>0.94989999999999997</v>
      </c>
      <c r="J195" s="1671">
        <v>0.94989999999999997</v>
      </c>
      <c r="K195" s="1671">
        <v>0.94989999999999997</v>
      </c>
      <c r="L195" s="1671">
        <v>0.94989999999999997</v>
      </c>
      <c r="M195" s="1671">
        <v>0.94989999999999997</v>
      </c>
    </row>
    <row r="196" spans="1:13">
      <c r="A196" s="1672">
        <v>1.9</v>
      </c>
      <c r="B196" s="1671">
        <v>1.0558000000000001</v>
      </c>
      <c r="C196" s="1671">
        <v>1.0558000000000001</v>
      </c>
      <c r="D196" s="1671">
        <v>1.0654999999999999</v>
      </c>
      <c r="E196" s="1671">
        <v>1.0654999999999999</v>
      </c>
      <c r="F196" s="1671">
        <v>1.0654999999999999</v>
      </c>
      <c r="G196" s="1671">
        <v>1.0654999999999999</v>
      </c>
      <c r="H196" s="1671">
        <v>1.0654999999999999</v>
      </c>
      <c r="I196" s="1671">
        <v>0.93520000000000003</v>
      </c>
      <c r="J196" s="1671">
        <v>0.93520000000000003</v>
      </c>
      <c r="K196" s="1671">
        <v>0.93520000000000003</v>
      </c>
      <c r="L196" s="1671">
        <v>0.93520000000000003</v>
      </c>
      <c r="M196" s="1671">
        <v>0.93520000000000003</v>
      </c>
    </row>
    <row r="197" spans="1:13">
      <c r="A197" s="1672">
        <v>2</v>
      </c>
      <c r="B197" s="1671">
        <v>1.0449999999999999</v>
      </c>
      <c r="C197" s="1671">
        <v>1.0449999999999999</v>
      </c>
      <c r="D197" s="1671">
        <v>1.0528</v>
      </c>
      <c r="E197" s="1671">
        <v>1.0528</v>
      </c>
      <c r="F197" s="1671">
        <v>1.0528</v>
      </c>
      <c r="G197" s="1671">
        <v>1.0528</v>
      </c>
      <c r="H197" s="1671">
        <v>1.0528</v>
      </c>
      <c r="I197" s="1671">
        <v>0.92130000000000001</v>
      </c>
      <c r="J197" s="1671">
        <v>0.92130000000000001</v>
      </c>
      <c r="K197" s="1671">
        <v>0.92130000000000001</v>
      </c>
      <c r="L197" s="1671">
        <v>0.92130000000000001</v>
      </c>
      <c r="M197" s="1671">
        <v>0.92130000000000001</v>
      </c>
    </row>
    <row r="198" spans="1:13">
      <c r="A198" s="1672">
        <v>2.1</v>
      </c>
      <c r="B198" s="1671">
        <v>1.0347999999999999</v>
      </c>
      <c r="C198" s="1671">
        <v>1.0347999999999999</v>
      </c>
      <c r="D198" s="1671">
        <v>1.0407999999999999</v>
      </c>
      <c r="E198" s="1671">
        <v>1.0407999999999999</v>
      </c>
      <c r="F198" s="1671">
        <v>1.0407999999999999</v>
      </c>
      <c r="G198" s="1671">
        <v>1.0407999999999999</v>
      </c>
      <c r="H198" s="1671">
        <v>1.0407999999999999</v>
      </c>
      <c r="I198" s="1671">
        <v>0.90820000000000001</v>
      </c>
      <c r="J198" s="1671">
        <v>0.90820000000000001</v>
      </c>
      <c r="K198" s="1671">
        <v>0.90820000000000001</v>
      </c>
      <c r="L198" s="1671">
        <v>0.90820000000000001</v>
      </c>
      <c r="M198" s="1671">
        <v>0.90820000000000001</v>
      </c>
    </row>
    <row r="199" spans="1:13">
      <c r="A199" s="1672">
        <v>2.2000000000000002</v>
      </c>
      <c r="B199" s="1671">
        <v>1.0251999999999999</v>
      </c>
      <c r="C199" s="1671">
        <v>1.0251999999999999</v>
      </c>
      <c r="D199" s="1671">
        <v>1.0296000000000001</v>
      </c>
      <c r="E199" s="1671">
        <v>1.0296000000000001</v>
      </c>
      <c r="F199" s="1671">
        <v>1.0296000000000001</v>
      </c>
      <c r="G199" s="1671">
        <v>1.0296000000000001</v>
      </c>
      <c r="H199" s="1671">
        <v>1.0296000000000001</v>
      </c>
      <c r="I199" s="1671">
        <v>0.89570000000000005</v>
      </c>
      <c r="J199" s="1671">
        <v>0.89570000000000005</v>
      </c>
      <c r="K199" s="1671">
        <v>0.89570000000000005</v>
      </c>
      <c r="L199" s="1671">
        <v>0.89570000000000005</v>
      </c>
      <c r="M199" s="1671">
        <v>0.89570000000000005</v>
      </c>
    </row>
    <row r="200" spans="1:13">
      <c r="A200" s="1672">
        <v>2.2999999999999998</v>
      </c>
      <c r="B200" s="1671">
        <v>1.0162</v>
      </c>
      <c r="C200" s="1671">
        <v>1.0162</v>
      </c>
      <c r="D200" s="1671">
        <v>1.0190999999999999</v>
      </c>
      <c r="E200" s="1671">
        <v>1.0190999999999999</v>
      </c>
      <c r="F200" s="1671">
        <v>1.0190999999999999</v>
      </c>
      <c r="G200" s="1671">
        <v>1.0190999999999999</v>
      </c>
      <c r="H200" s="1671">
        <v>1.0190999999999999</v>
      </c>
      <c r="I200" s="1671">
        <v>0.88419999999999999</v>
      </c>
      <c r="J200" s="1671">
        <v>0.88419999999999999</v>
      </c>
      <c r="K200" s="1671">
        <v>0.88419999999999999</v>
      </c>
      <c r="L200" s="1671">
        <v>0.88419999999999999</v>
      </c>
      <c r="M200" s="1671">
        <v>0.88419999999999999</v>
      </c>
    </row>
    <row r="201" spans="1:13">
      <c r="A201" s="1672">
        <v>2.4</v>
      </c>
      <c r="B201" s="1671">
        <v>1.0078</v>
      </c>
      <c r="C201" s="1671">
        <v>1.0078</v>
      </c>
      <c r="D201" s="1671">
        <v>1.0092000000000001</v>
      </c>
      <c r="E201" s="1671">
        <v>1.0092000000000001</v>
      </c>
      <c r="F201" s="1671">
        <v>1.0092000000000001</v>
      </c>
      <c r="G201" s="1671">
        <v>1.0092000000000001</v>
      </c>
      <c r="H201" s="1671">
        <v>1.0092000000000001</v>
      </c>
      <c r="I201" s="1671">
        <v>0.87329999999999997</v>
      </c>
      <c r="J201" s="1671">
        <v>0.87329999999999997</v>
      </c>
      <c r="K201" s="1671">
        <v>0.87329999999999997</v>
      </c>
      <c r="L201" s="1671">
        <v>0.87329999999999997</v>
      </c>
      <c r="M201" s="1671">
        <v>0.87329999999999997</v>
      </c>
    </row>
    <row r="202" spans="1:13">
      <c r="A202" s="1672">
        <v>2.5</v>
      </c>
      <c r="B202" s="1671">
        <v>1</v>
      </c>
      <c r="C202" s="1671">
        <v>1</v>
      </c>
      <c r="D202" s="1671">
        <v>1</v>
      </c>
      <c r="E202" s="1671">
        <v>1</v>
      </c>
      <c r="F202" s="1671">
        <v>1</v>
      </c>
      <c r="G202" s="1671">
        <v>1</v>
      </c>
      <c r="H202" s="1671">
        <v>1</v>
      </c>
      <c r="I202" s="1671">
        <v>0.86299999999999999</v>
      </c>
      <c r="J202" s="1671">
        <v>0.86299999999999999</v>
      </c>
      <c r="K202" s="1671">
        <v>0.86299999999999999</v>
      </c>
      <c r="L202" s="1671">
        <v>0.86299999999999999</v>
      </c>
      <c r="M202" s="1671">
        <v>0.86299999999999999</v>
      </c>
    </row>
    <row r="203" spans="1:13">
      <c r="A203" s="1672">
        <v>2.6</v>
      </c>
      <c r="B203" s="1671">
        <v>0.99270000000000003</v>
      </c>
      <c r="C203" s="1671">
        <v>0.99270000000000003</v>
      </c>
      <c r="D203" s="1671">
        <v>0.99139999999999995</v>
      </c>
      <c r="E203" s="1671">
        <v>0.99139999999999995</v>
      </c>
      <c r="F203" s="1671">
        <v>0.99139999999999995</v>
      </c>
      <c r="G203" s="1671">
        <v>0.99139999999999995</v>
      </c>
      <c r="H203" s="1671">
        <v>0.99139999999999995</v>
      </c>
      <c r="I203" s="1671">
        <v>0.85340000000000005</v>
      </c>
      <c r="J203" s="1671">
        <v>0.85340000000000005</v>
      </c>
      <c r="K203" s="1671">
        <v>0.85340000000000005</v>
      </c>
      <c r="L203" s="1671">
        <v>0.85340000000000005</v>
      </c>
      <c r="M203" s="1671">
        <v>0.85340000000000005</v>
      </c>
    </row>
    <row r="204" spans="1:13">
      <c r="A204" s="1672">
        <v>2.7</v>
      </c>
      <c r="B204" s="1671">
        <v>0.98580000000000001</v>
      </c>
      <c r="C204" s="1671">
        <v>0.98580000000000001</v>
      </c>
      <c r="D204" s="1671">
        <v>0.98329999999999995</v>
      </c>
      <c r="E204" s="1671">
        <v>0.98329999999999995</v>
      </c>
      <c r="F204" s="1671">
        <v>0.98329999999999995</v>
      </c>
      <c r="G204" s="1671">
        <v>0.98329999999999995</v>
      </c>
      <c r="H204" s="1671">
        <v>0.98329999999999995</v>
      </c>
      <c r="I204" s="1671">
        <v>0.84440000000000004</v>
      </c>
      <c r="J204" s="1671">
        <v>0.84440000000000004</v>
      </c>
      <c r="K204" s="1671">
        <v>0.84440000000000004</v>
      </c>
      <c r="L204" s="1671">
        <v>0.84440000000000004</v>
      </c>
      <c r="M204" s="1671">
        <v>0.84440000000000004</v>
      </c>
    </row>
    <row r="205" spans="1:13">
      <c r="A205" s="1672">
        <v>2.8</v>
      </c>
      <c r="B205" s="1671">
        <v>0.97940000000000005</v>
      </c>
      <c r="C205" s="1671">
        <v>0.97940000000000005</v>
      </c>
      <c r="D205" s="1671">
        <v>0.97570000000000001</v>
      </c>
      <c r="E205" s="1671">
        <v>0.97570000000000001</v>
      </c>
      <c r="F205" s="1671">
        <v>0.97570000000000001</v>
      </c>
      <c r="G205" s="1671">
        <v>0.97570000000000001</v>
      </c>
      <c r="H205" s="1671">
        <v>0.97570000000000001</v>
      </c>
      <c r="I205" s="1671">
        <v>0.83599999999999997</v>
      </c>
      <c r="J205" s="1671">
        <v>0.83599999999999997</v>
      </c>
      <c r="K205" s="1671">
        <v>0.83599999999999997</v>
      </c>
      <c r="L205" s="1671">
        <v>0.83599999999999997</v>
      </c>
      <c r="M205" s="1671">
        <v>0.83599999999999997</v>
      </c>
    </row>
    <row r="206" spans="1:13">
      <c r="A206" s="1668">
        <v>2.9</v>
      </c>
      <c r="B206" s="1669">
        <v>0.97350000000000003</v>
      </c>
      <c r="C206" s="1669">
        <v>0.97350000000000003</v>
      </c>
      <c r="D206" s="1669">
        <v>0.96870000000000001</v>
      </c>
      <c r="E206" s="1669">
        <v>0.96870000000000001</v>
      </c>
      <c r="F206" s="1669">
        <v>0.96870000000000001</v>
      </c>
      <c r="G206" s="1669">
        <v>0.96870000000000001</v>
      </c>
      <c r="H206" s="1670">
        <v>0.96870000000000001</v>
      </c>
      <c r="I206" s="1670">
        <v>0.82820000000000005</v>
      </c>
      <c r="J206" s="1673">
        <v>0.82820000000000005</v>
      </c>
      <c r="K206" s="1673">
        <v>0.82820000000000005</v>
      </c>
      <c r="L206" s="1673">
        <v>0.82820000000000005</v>
      </c>
      <c r="M206" s="1673">
        <v>0.82820000000000005</v>
      </c>
    </row>
    <row r="207" spans="1:13">
      <c r="A207" s="1668">
        <v>3</v>
      </c>
      <c r="B207" s="1671">
        <v>0.96789999999999998</v>
      </c>
      <c r="C207" s="1671">
        <v>0.96789999999999998</v>
      </c>
      <c r="D207" s="1671">
        <v>0.96209999999999996</v>
      </c>
      <c r="E207" s="1671">
        <v>0.96209999999999996</v>
      </c>
      <c r="F207" s="1671">
        <v>0.96209999999999996</v>
      </c>
      <c r="G207" s="1671">
        <v>0.96209999999999996</v>
      </c>
      <c r="H207" s="1671">
        <v>0.96209999999999996</v>
      </c>
      <c r="I207" s="1671">
        <v>0.82079999999999997</v>
      </c>
      <c r="J207" s="1671">
        <v>0.82079999999999997</v>
      </c>
      <c r="K207" s="1671">
        <v>0.82079999999999997</v>
      </c>
      <c r="L207" s="1671">
        <v>0.82079999999999997</v>
      </c>
      <c r="M207" s="1671">
        <v>0.82079999999999997</v>
      </c>
    </row>
    <row r="208" spans="1:13">
      <c r="A208" s="1668">
        <v>3.1</v>
      </c>
      <c r="B208" s="1671">
        <v>0.9627</v>
      </c>
      <c r="C208" s="1671">
        <v>0.9627</v>
      </c>
      <c r="D208" s="1671">
        <v>0.95589999999999997</v>
      </c>
      <c r="E208" s="1671">
        <v>0.95589999999999997</v>
      </c>
      <c r="F208" s="1671">
        <v>0.95589999999999997</v>
      </c>
      <c r="G208" s="1671">
        <v>0.95589999999999997</v>
      </c>
      <c r="H208" s="1671">
        <v>0.95589999999999997</v>
      </c>
      <c r="I208" s="1671">
        <v>0.81389999999999996</v>
      </c>
      <c r="J208" s="1671">
        <v>0.81389999999999996</v>
      </c>
      <c r="K208" s="1671">
        <v>0.81389999999999996</v>
      </c>
      <c r="L208" s="1671">
        <v>0.81389999999999996</v>
      </c>
      <c r="M208" s="1671">
        <v>0.81389999999999996</v>
      </c>
    </row>
    <row r="209" spans="1:13">
      <c r="A209" s="1668">
        <v>3.2</v>
      </c>
      <c r="B209" s="1671">
        <v>0.95789999999999997</v>
      </c>
      <c r="C209" s="1671">
        <v>0.95789999999999997</v>
      </c>
      <c r="D209" s="1671">
        <v>0.95020000000000004</v>
      </c>
      <c r="E209" s="1671">
        <v>0.95020000000000004</v>
      </c>
      <c r="F209" s="1671">
        <v>0.95020000000000004</v>
      </c>
      <c r="G209" s="1671">
        <v>0.95020000000000004</v>
      </c>
      <c r="H209" s="1671">
        <v>0.95020000000000004</v>
      </c>
      <c r="I209" s="1671">
        <v>0.8075</v>
      </c>
      <c r="J209" s="1671">
        <v>0.8075</v>
      </c>
      <c r="K209" s="1671">
        <v>0.8075</v>
      </c>
      <c r="L209" s="1671">
        <v>0.8075</v>
      </c>
      <c r="M209" s="1671">
        <v>0.8075</v>
      </c>
    </row>
    <row r="210" spans="1:13">
      <c r="A210" s="1668">
        <v>3.3</v>
      </c>
      <c r="B210" s="1671">
        <v>0.95340000000000003</v>
      </c>
      <c r="C210" s="1671">
        <v>0.95340000000000003</v>
      </c>
      <c r="D210" s="1671">
        <v>0.94479999999999997</v>
      </c>
      <c r="E210" s="1671">
        <v>0.94479999999999997</v>
      </c>
      <c r="F210" s="1671">
        <v>0.94479999999999997</v>
      </c>
      <c r="G210" s="1671">
        <v>0.94479999999999997</v>
      </c>
      <c r="H210" s="1671">
        <v>0.94479999999999997</v>
      </c>
      <c r="I210" s="1671">
        <v>0.80149999999999999</v>
      </c>
      <c r="J210" s="1671">
        <v>0.80149999999999999</v>
      </c>
      <c r="K210" s="1671">
        <v>0.80149999999999999</v>
      </c>
      <c r="L210" s="1671">
        <v>0.80149999999999999</v>
      </c>
      <c r="M210" s="1671">
        <v>0.80149999999999999</v>
      </c>
    </row>
    <row r="211" spans="1:13">
      <c r="A211" s="1668">
        <v>3.4</v>
      </c>
      <c r="B211" s="1671">
        <v>0.94920000000000004</v>
      </c>
      <c r="C211" s="1671">
        <v>0.94920000000000004</v>
      </c>
      <c r="D211" s="1671">
        <v>0.93989999999999996</v>
      </c>
      <c r="E211" s="1671">
        <v>0.93989999999999996</v>
      </c>
      <c r="F211" s="1671">
        <v>0.93989999999999996</v>
      </c>
      <c r="G211" s="1671">
        <v>0.93989999999999996</v>
      </c>
      <c r="H211" s="1671">
        <v>0.93989999999999996</v>
      </c>
      <c r="I211" s="1671">
        <v>0.79590000000000005</v>
      </c>
      <c r="J211" s="1671">
        <v>0.79590000000000005</v>
      </c>
      <c r="K211" s="1671">
        <v>0.79590000000000005</v>
      </c>
      <c r="L211" s="1671">
        <v>0.79590000000000005</v>
      </c>
      <c r="M211" s="1671">
        <v>0.79590000000000005</v>
      </c>
    </row>
    <row r="212" spans="1:13">
      <c r="A212" s="1668">
        <v>3.5</v>
      </c>
      <c r="B212" s="1671">
        <v>0.94540000000000002</v>
      </c>
      <c r="C212" s="1671">
        <v>0.94540000000000002</v>
      </c>
      <c r="D212" s="1671">
        <v>0.93520000000000003</v>
      </c>
      <c r="E212" s="1671">
        <v>0.93520000000000003</v>
      </c>
      <c r="F212" s="1671">
        <v>0.93520000000000003</v>
      </c>
      <c r="G212" s="1671">
        <v>0.93520000000000003</v>
      </c>
      <c r="H212" s="1671">
        <v>0.93520000000000003</v>
      </c>
      <c r="I212" s="1671">
        <v>0.79059999999999997</v>
      </c>
      <c r="J212" s="1671">
        <v>0.79059999999999997</v>
      </c>
      <c r="K212" s="1671">
        <v>0.79059999999999997</v>
      </c>
      <c r="L212" s="1671">
        <v>0.79059999999999997</v>
      </c>
      <c r="M212" s="1671">
        <v>0.79059999999999997</v>
      </c>
    </row>
    <row r="213" spans="1:13">
      <c r="A213" s="1668">
        <v>3.6</v>
      </c>
      <c r="B213" s="1671">
        <v>0.94179999999999997</v>
      </c>
      <c r="C213" s="1671">
        <v>0.94179999999999997</v>
      </c>
      <c r="D213" s="1671">
        <v>0.93089999999999995</v>
      </c>
      <c r="E213" s="1671">
        <v>0.93089999999999995</v>
      </c>
      <c r="F213" s="1671">
        <v>0.93089999999999995</v>
      </c>
      <c r="G213" s="1671">
        <v>0.93089999999999995</v>
      </c>
      <c r="H213" s="1671">
        <v>0.93089999999999995</v>
      </c>
      <c r="I213" s="1671">
        <v>0.78569999999999995</v>
      </c>
      <c r="J213" s="1671">
        <v>0.78569999999999995</v>
      </c>
      <c r="K213" s="1671">
        <v>0.78569999999999995</v>
      </c>
      <c r="L213" s="1671">
        <v>0.78569999999999995</v>
      </c>
      <c r="M213" s="1671">
        <v>0.78569999999999995</v>
      </c>
    </row>
    <row r="214" spans="1:13">
      <c r="A214" s="1668">
        <v>3.7</v>
      </c>
      <c r="B214" s="1671">
        <v>0.93840000000000001</v>
      </c>
      <c r="C214" s="1671">
        <v>0.93840000000000001</v>
      </c>
      <c r="D214" s="1671">
        <v>0.92689999999999995</v>
      </c>
      <c r="E214" s="1671">
        <v>0.92689999999999995</v>
      </c>
      <c r="F214" s="1671">
        <v>0.92689999999999995</v>
      </c>
      <c r="G214" s="1671">
        <v>0.92689999999999995</v>
      </c>
      <c r="H214" s="1671">
        <v>0.92689999999999995</v>
      </c>
      <c r="I214" s="1671">
        <v>0.78110000000000002</v>
      </c>
      <c r="J214" s="1671">
        <v>0.78110000000000002</v>
      </c>
      <c r="K214" s="1671">
        <v>0.78110000000000002</v>
      </c>
      <c r="L214" s="1671">
        <v>0.78110000000000002</v>
      </c>
      <c r="M214" s="1671">
        <v>0.78110000000000002</v>
      </c>
    </row>
    <row r="215" spans="1:13">
      <c r="A215" s="1668">
        <v>3.8</v>
      </c>
      <c r="B215" s="1671">
        <v>0.93530000000000002</v>
      </c>
      <c r="C215" s="1671">
        <v>0.93530000000000002</v>
      </c>
      <c r="D215" s="1671">
        <v>0.92310000000000003</v>
      </c>
      <c r="E215" s="1671">
        <v>0.92310000000000003</v>
      </c>
      <c r="F215" s="1671">
        <v>0.92310000000000003</v>
      </c>
      <c r="G215" s="1671">
        <v>0.92310000000000003</v>
      </c>
      <c r="H215" s="1671">
        <v>0.92310000000000003</v>
      </c>
      <c r="I215" s="1671">
        <v>0.77680000000000005</v>
      </c>
      <c r="J215" s="1671">
        <v>0.77680000000000005</v>
      </c>
      <c r="K215" s="1671">
        <v>0.77680000000000005</v>
      </c>
      <c r="L215" s="1671">
        <v>0.77680000000000005</v>
      </c>
      <c r="M215" s="1671">
        <v>0.77680000000000005</v>
      </c>
    </row>
    <row r="216" spans="1:13">
      <c r="A216" s="1668">
        <v>3.9</v>
      </c>
      <c r="B216" s="1671">
        <v>0.93240000000000001</v>
      </c>
      <c r="C216" s="1671">
        <v>0.93240000000000001</v>
      </c>
      <c r="D216" s="1671">
        <v>0.91959999999999997</v>
      </c>
      <c r="E216" s="1671">
        <v>0.91959999999999997</v>
      </c>
      <c r="F216" s="1671">
        <v>0.91959999999999997</v>
      </c>
      <c r="G216" s="1671">
        <v>0.91959999999999997</v>
      </c>
      <c r="H216" s="1671">
        <v>0.91959999999999997</v>
      </c>
      <c r="I216" s="1671">
        <v>0.77270000000000005</v>
      </c>
      <c r="J216" s="1671">
        <v>0.77270000000000005</v>
      </c>
      <c r="K216" s="1671">
        <v>0.77270000000000005</v>
      </c>
      <c r="L216" s="1671">
        <v>0.77270000000000005</v>
      </c>
      <c r="M216" s="1671">
        <v>0.77270000000000005</v>
      </c>
    </row>
    <row r="217" spans="1:13">
      <c r="A217" s="1668">
        <v>4</v>
      </c>
      <c r="B217" s="1671">
        <v>0.92969999999999997</v>
      </c>
      <c r="C217" s="1671">
        <v>0.92969999999999997</v>
      </c>
      <c r="D217" s="1671">
        <v>0.9163</v>
      </c>
      <c r="E217" s="1671">
        <v>0.9163</v>
      </c>
      <c r="F217" s="1671">
        <v>0.9163</v>
      </c>
      <c r="G217" s="1671">
        <v>0.9163</v>
      </c>
      <c r="H217" s="1671">
        <v>0.9163</v>
      </c>
      <c r="I217" s="1671">
        <v>0.76880000000000004</v>
      </c>
      <c r="J217" s="1671">
        <v>0.76880000000000004</v>
      </c>
      <c r="K217" s="1671">
        <v>0.76880000000000004</v>
      </c>
      <c r="L217" s="1671">
        <v>0.76880000000000004</v>
      </c>
      <c r="M217" s="1671">
        <v>0.76880000000000004</v>
      </c>
    </row>
    <row r="218" spans="1:13">
      <c r="A218" s="1668">
        <v>4.0999999999999996</v>
      </c>
      <c r="B218" s="1671">
        <v>0.92720000000000002</v>
      </c>
      <c r="C218" s="1671">
        <v>0.92720000000000002</v>
      </c>
      <c r="D218" s="1671">
        <v>0.91320000000000001</v>
      </c>
      <c r="E218" s="1671">
        <v>0.91320000000000001</v>
      </c>
      <c r="F218" s="1671">
        <v>0.91320000000000001</v>
      </c>
      <c r="G218" s="1671">
        <v>0.91320000000000001</v>
      </c>
      <c r="H218" s="1671">
        <v>0.91320000000000001</v>
      </c>
      <c r="I218" s="1671">
        <v>0.7651</v>
      </c>
      <c r="J218" s="1671">
        <v>0.7651</v>
      </c>
      <c r="K218" s="1671">
        <v>0.7651</v>
      </c>
      <c r="L218" s="1671">
        <v>0.7651</v>
      </c>
      <c r="M218" s="1671">
        <v>0.7651</v>
      </c>
    </row>
    <row r="219" spans="1:13">
      <c r="A219" s="1668">
        <v>4.2</v>
      </c>
      <c r="B219" s="1671">
        <v>0.92479999999999996</v>
      </c>
      <c r="C219" s="1671">
        <v>0.92479999999999996</v>
      </c>
      <c r="D219" s="1671">
        <v>0.91020000000000001</v>
      </c>
      <c r="E219" s="1671">
        <v>0.91020000000000001</v>
      </c>
      <c r="F219" s="1671">
        <v>0.91020000000000001</v>
      </c>
      <c r="G219" s="1671">
        <v>0.91020000000000001</v>
      </c>
      <c r="H219" s="1671">
        <v>0.91020000000000001</v>
      </c>
      <c r="I219" s="1671">
        <v>0.76149999999999995</v>
      </c>
      <c r="J219" s="1671">
        <v>0.76149999999999995</v>
      </c>
      <c r="K219" s="1671">
        <v>0.76149999999999995</v>
      </c>
      <c r="L219" s="1671">
        <v>0.76149999999999995</v>
      </c>
      <c r="M219" s="1671">
        <v>0.76149999999999995</v>
      </c>
    </row>
    <row r="220" spans="1:13">
      <c r="A220" s="1668">
        <v>4.3</v>
      </c>
      <c r="B220" s="1671">
        <v>0.92249999999999999</v>
      </c>
      <c r="C220" s="1671">
        <v>0.92249999999999999</v>
      </c>
      <c r="D220" s="1671">
        <v>0.9073</v>
      </c>
      <c r="E220" s="1671">
        <v>0.9073</v>
      </c>
      <c r="F220" s="1671">
        <v>0.9073</v>
      </c>
      <c r="G220" s="1671">
        <v>0.9073</v>
      </c>
      <c r="H220" s="1671">
        <v>0.9073</v>
      </c>
      <c r="I220" s="1671">
        <v>0.75800000000000001</v>
      </c>
      <c r="J220" s="1671">
        <v>0.75800000000000001</v>
      </c>
      <c r="K220" s="1671">
        <v>0.75800000000000001</v>
      </c>
      <c r="L220" s="1671">
        <v>0.75800000000000001</v>
      </c>
      <c r="M220" s="1671">
        <v>0.75800000000000001</v>
      </c>
    </row>
    <row r="221" spans="1:13">
      <c r="A221" s="1668">
        <v>4.4000000000000004</v>
      </c>
      <c r="B221" s="1671">
        <v>0.92030000000000001</v>
      </c>
      <c r="C221" s="1671">
        <v>0.92030000000000001</v>
      </c>
      <c r="D221" s="1671">
        <v>0.90449999999999997</v>
      </c>
      <c r="E221" s="1671">
        <v>0.90449999999999997</v>
      </c>
      <c r="F221" s="1671">
        <v>0.90449999999999997</v>
      </c>
      <c r="G221" s="1671">
        <v>0.90449999999999997</v>
      </c>
      <c r="H221" s="1671">
        <v>0.90449999999999997</v>
      </c>
      <c r="I221" s="1671">
        <v>0.75460000000000005</v>
      </c>
      <c r="J221" s="1671">
        <v>0.75460000000000005</v>
      </c>
      <c r="K221" s="1671">
        <v>0.75460000000000005</v>
      </c>
      <c r="L221" s="1671">
        <v>0.75460000000000005</v>
      </c>
      <c r="M221" s="1671">
        <v>0.75460000000000005</v>
      </c>
    </row>
    <row r="222" spans="1:13">
      <c r="A222" s="1668">
        <v>4.5</v>
      </c>
      <c r="B222" s="1671">
        <v>0.91810000000000003</v>
      </c>
      <c r="C222" s="1671">
        <v>0.91810000000000003</v>
      </c>
      <c r="D222" s="1671">
        <v>0.90180000000000005</v>
      </c>
      <c r="E222" s="1671">
        <v>0.90180000000000005</v>
      </c>
      <c r="F222" s="1671">
        <v>0.90180000000000005</v>
      </c>
      <c r="G222" s="1671">
        <v>0.90180000000000005</v>
      </c>
      <c r="H222" s="1671">
        <v>0.90180000000000005</v>
      </c>
      <c r="I222" s="1671">
        <v>0.75129999999999997</v>
      </c>
      <c r="J222" s="1671">
        <v>0.75129999999999997</v>
      </c>
      <c r="K222" s="1671">
        <v>0.75129999999999997</v>
      </c>
      <c r="L222" s="1671">
        <v>0.75129999999999997</v>
      </c>
      <c r="M222" s="1671">
        <v>0.75129999999999997</v>
      </c>
    </row>
    <row r="223" spans="1:13">
      <c r="A223" s="1668">
        <v>4.5999999999999996</v>
      </c>
      <c r="B223" s="1671">
        <v>0.91600000000000004</v>
      </c>
      <c r="C223" s="1671">
        <v>0.91600000000000004</v>
      </c>
      <c r="D223" s="1671">
        <v>0.8992</v>
      </c>
      <c r="E223" s="1671">
        <v>0.8992</v>
      </c>
      <c r="F223" s="1671">
        <v>0.8992</v>
      </c>
      <c r="G223" s="1671">
        <v>0.8992</v>
      </c>
      <c r="H223" s="1671">
        <v>0.8992</v>
      </c>
      <c r="I223" s="1671">
        <v>0.748</v>
      </c>
      <c r="J223" s="1671">
        <v>0.748</v>
      </c>
      <c r="K223" s="1671">
        <v>0.748</v>
      </c>
      <c r="L223" s="1671">
        <v>0.748</v>
      </c>
      <c r="M223" s="1671">
        <v>0.748</v>
      </c>
    </row>
    <row r="224" spans="1:13">
      <c r="A224" s="1668">
        <v>4.7</v>
      </c>
      <c r="B224" s="1671">
        <v>0.91390000000000005</v>
      </c>
      <c r="C224" s="1671">
        <v>0.91390000000000005</v>
      </c>
      <c r="D224" s="1671">
        <v>0.89659999999999995</v>
      </c>
      <c r="E224" s="1671">
        <v>0.89659999999999995</v>
      </c>
      <c r="F224" s="1671">
        <v>0.89659999999999995</v>
      </c>
      <c r="G224" s="1671">
        <v>0.89659999999999995</v>
      </c>
      <c r="H224" s="1671">
        <v>0.89659999999999995</v>
      </c>
      <c r="I224" s="1671">
        <v>0.74480000000000002</v>
      </c>
      <c r="J224" s="1671">
        <v>0.74480000000000002</v>
      </c>
      <c r="K224" s="1671">
        <v>0.74480000000000002</v>
      </c>
      <c r="L224" s="1671">
        <v>0.74480000000000002</v>
      </c>
      <c r="M224" s="1671">
        <v>0.74480000000000002</v>
      </c>
    </row>
    <row r="225" spans="1:13">
      <c r="A225" s="1668">
        <v>4.8</v>
      </c>
      <c r="B225" s="1671">
        <v>0.91180000000000005</v>
      </c>
      <c r="C225" s="1671">
        <v>0.91180000000000005</v>
      </c>
      <c r="D225" s="1671">
        <v>0.89410000000000001</v>
      </c>
      <c r="E225" s="1671">
        <v>0.89410000000000001</v>
      </c>
      <c r="F225" s="1671">
        <v>0.89410000000000001</v>
      </c>
      <c r="G225" s="1671">
        <v>0.89410000000000001</v>
      </c>
      <c r="H225" s="1671">
        <v>0.89410000000000001</v>
      </c>
      <c r="I225" s="1671">
        <v>0.74160000000000004</v>
      </c>
      <c r="J225" s="1671">
        <v>0.74160000000000004</v>
      </c>
      <c r="K225" s="1671">
        <v>0.74160000000000004</v>
      </c>
      <c r="L225" s="1671">
        <v>0.74160000000000004</v>
      </c>
      <c r="M225" s="1671">
        <v>0.74160000000000004</v>
      </c>
    </row>
    <row r="226" spans="1:13">
      <c r="A226" s="1668">
        <v>4.9000000000000004</v>
      </c>
      <c r="B226" s="1671">
        <v>0.90980000000000005</v>
      </c>
      <c r="C226" s="1671">
        <v>0.90980000000000005</v>
      </c>
      <c r="D226" s="1671">
        <v>0.89159999999999995</v>
      </c>
      <c r="E226" s="1671">
        <v>0.89159999999999995</v>
      </c>
      <c r="F226" s="1671">
        <v>0.89159999999999995</v>
      </c>
      <c r="G226" s="1671">
        <v>0.89159999999999995</v>
      </c>
      <c r="H226" s="1671">
        <v>0.89159999999999995</v>
      </c>
      <c r="I226" s="1671">
        <v>0.73839999999999995</v>
      </c>
      <c r="J226" s="1671">
        <v>0.73839999999999995</v>
      </c>
      <c r="K226" s="1671">
        <v>0.73839999999999995</v>
      </c>
      <c r="L226" s="1671">
        <v>0.73839999999999995</v>
      </c>
      <c r="M226" s="1671">
        <v>0.73839999999999995</v>
      </c>
    </row>
    <row r="227" spans="1:13">
      <c r="A227" s="1672">
        <v>5</v>
      </c>
      <c r="B227" s="1671">
        <v>0.90780000000000005</v>
      </c>
      <c r="C227" s="1671">
        <v>0.90780000000000005</v>
      </c>
      <c r="D227" s="1671">
        <v>0.8891</v>
      </c>
      <c r="E227" s="1671">
        <v>0.8891</v>
      </c>
      <c r="F227" s="1671">
        <v>0.8891</v>
      </c>
      <c r="G227" s="1671">
        <v>0.8891</v>
      </c>
      <c r="H227" s="1671">
        <v>0.8891</v>
      </c>
      <c r="I227" s="1671">
        <v>0.73529999999999995</v>
      </c>
      <c r="J227" s="1671">
        <v>0.73529999999999995</v>
      </c>
      <c r="K227" s="1671">
        <v>0.73529999999999995</v>
      </c>
      <c r="L227" s="1671">
        <v>0.73529999999999995</v>
      </c>
      <c r="M227" s="1671">
        <v>0.73529999999999995</v>
      </c>
    </row>
    <row r="228" spans="1:13">
      <c r="A228" s="1672">
        <v>5.0999999999999996</v>
      </c>
      <c r="B228" s="1671">
        <v>0.90580000000000005</v>
      </c>
      <c r="C228" s="1671">
        <v>0.90580000000000005</v>
      </c>
      <c r="D228" s="1671">
        <v>0.88670000000000004</v>
      </c>
      <c r="E228" s="1671">
        <v>0.88670000000000004</v>
      </c>
      <c r="F228" s="1671">
        <v>0.88670000000000004</v>
      </c>
      <c r="G228" s="1671">
        <v>0.88670000000000004</v>
      </c>
      <c r="H228" s="1671">
        <v>0.88670000000000004</v>
      </c>
      <c r="I228" s="1671">
        <v>0.73219999999999996</v>
      </c>
      <c r="J228" s="1671">
        <v>0.73219999999999996</v>
      </c>
      <c r="K228" s="1671">
        <v>0.73219999999999996</v>
      </c>
      <c r="L228" s="1671">
        <v>0.73219999999999996</v>
      </c>
      <c r="M228" s="1671">
        <v>0.73219999999999996</v>
      </c>
    </row>
    <row r="229" spans="1:13">
      <c r="A229" s="1672">
        <v>5.2</v>
      </c>
      <c r="B229" s="1671">
        <v>0.90380000000000005</v>
      </c>
      <c r="C229" s="1671">
        <v>0.90380000000000005</v>
      </c>
      <c r="D229" s="1671">
        <v>0.88429999999999997</v>
      </c>
      <c r="E229" s="1671">
        <v>0.88429999999999997</v>
      </c>
      <c r="F229" s="1671">
        <v>0.88429999999999997</v>
      </c>
      <c r="G229" s="1671">
        <v>0.88429999999999997</v>
      </c>
      <c r="H229" s="1671">
        <v>0.88429999999999997</v>
      </c>
      <c r="I229" s="1671">
        <v>0.72909999999999997</v>
      </c>
      <c r="J229" s="1671">
        <v>0.72909999999999997</v>
      </c>
      <c r="K229" s="1671">
        <v>0.72909999999999997</v>
      </c>
      <c r="L229" s="1671">
        <v>0.72909999999999997</v>
      </c>
      <c r="M229" s="1671">
        <v>0.72909999999999997</v>
      </c>
    </row>
    <row r="230" spans="1:13">
      <c r="A230" s="1672">
        <v>5.3</v>
      </c>
      <c r="B230" s="1671">
        <v>0.90190000000000003</v>
      </c>
      <c r="C230" s="1671">
        <v>0.90190000000000003</v>
      </c>
      <c r="D230" s="1671">
        <v>0.88190000000000002</v>
      </c>
      <c r="E230" s="1671">
        <v>0.88190000000000002</v>
      </c>
      <c r="F230" s="1671">
        <v>0.88190000000000002</v>
      </c>
      <c r="G230" s="1671">
        <v>0.88190000000000002</v>
      </c>
      <c r="H230" s="1671">
        <v>0.88190000000000002</v>
      </c>
      <c r="I230" s="1671">
        <v>0.72609999999999997</v>
      </c>
      <c r="J230" s="1671">
        <v>0.72609999999999997</v>
      </c>
      <c r="K230" s="1671">
        <v>0.72609999999999997</v>
      </c>
      <c r="L230" s="1671">
        <v>0.72609999999999997</v>
      </c>
      <c r="M230" s="1671">
        <v>0.72609999999999997</v>
      </c>
    </row>
    <row r="231" spans="1:13">
      <c r="A231" s="1672">
        <v>5.4</v>
      </c>
      <c r="B231" s="1671">
        <v>0.9</v>
      </c>
      <c r="C231" s="1671">
        <v>0.9</v>
      </c>
      <c r="D231" s="1671">
        <v>0.87949999999999995</v>
      </c>
      <c r="E231" s="1671">
        <v>0.87949999999999995</v>
      </c>
      <c r="F231" s="1671">
        <v>0.87949999999999995</v>
      </c>
      <c r="G231" s="1671">
        <v>0.87949999999999995</v>
      </c>
      <c r="H231" s="1671">
        <v>0.87949999999999995</v>
      </c>
      <c r="I231" s="1671">
        <v>0.72309999999999997</v>
      </c>
      <c r="J231" s="1671">
        <v>0.72309999999999997</v>
      </c>
      <c r="K231" s="1671">
        <v>0.72309999999999997</v>
      </c>
      <c r="L231" s="1671">
        <v>0.72309999999999997</v>
      </c>
      <c r="M231" s="1671">
        <v>0.72309999999999997</v>
      </c>
    </row>
    <row r="232" spans="1:13">
      <c r="A232" s="1672">
        <v>5.5</v>
      </c>
      <c r="B232" s="1671">
        <v>0.89810000000000001</v>
      </c>
      <c r="C232" s="1671">
        <v>0.89810000000000001</v>
      </c>
      <c r="D232" s="1671">
        <v>0.87719999999999998</v>
      </c>
      <c r="E232" s="1671">
        <v>0.87719999999999998</v>
      </c>
      <c r="F232" s="1671">
        <v>0.87719999999999998</v>
      </c>
      <c r="G232" s="1671">
        <v>0.87719999999999998</v>
      </c>
      <c r="H232" s="1671">
        <v>0.87719999999999998</v>
      </c>
      <c r="I232" s="1671">
        <v>0.72009999999999996</v>
      </c>
      <c r="J232" s="1671">
        <v>0.72009999999999996</v>
      </c>
      <c r="K232" s="1671">
        <v>0.72009999999999996</v>
      </c>
      <c r="L232" s="1671">
        <v>0.72009999999999996</v>
      </c>
      <c r="M232" s="1671">
        <v>0.72009999999999996</v>
      </c>
    </row>
    <row r="233" spans="1:13">
      <c r="A233" s="1672">
        <v>5.6</v>
      </c>
      <c r="B233" s="1671">
        <v>0.8962</v>
      </c>
      <c r="C233" s="1671">
        <v>0.8962</v>
      </c>
      <c r="D233" s="1671">
        <v>0.87490000000000001</v>
      </c>
      <c r="E233" s="1671">
        <v>0.87490000000000001</v>
      </c>
      <c r="F233" s="1671">
        <v>0.87490000000000001</v>
      </c>
      <c r="G233" s="1671">
        <v>0.87490000000000001</v>
      </c>
      <c r="H233" s="1671">
        <v>0.87490000000000001</v>
      </c>
      <c r="I233" s="1671">
        <v>0.71709999999999996</v>
      </c>
      <c r="J233" s="1671">
        <v>0.71709999999999996</v>
      </c>
      <c r="K233" s="1671">
        <v>0.71709999999999996</v>
      </c>
      <c r="L233" s="1671">
        <v>0.71709999999999996</v>
      </c>
      <c r="M233" s="1671">
        <v>0.71709999999999996</v>
      </c>
    </row>
    <row r="234" spans="1:13">
      <c r="A234" s="1672">
        <v>5.7</v>
      </c>
      <c r="B234" s="1671">
        <v>0.89429999999999998</v>
      </c>
      <c r="C234" s="1671">
        <v>0.89429999999999998</v>
      </c>
      <c r="D234" s="1671">
        <v>0.87260000000000004</v>
      </c>
      <c r="E234" s="1671">
        <v>0.87260000000000004</v>
      </c>
      <c r="F234" s="1671">
        <v>0.87260000000000004</v>
      </c>
      <c r="G234" s="1671">
        <v>0.87260000000000004</v>
      </c>
      <c r="H234" s="1671">
        <v>0.87260000000000004</v>
      </c>
      <c r="I234" s="1671">
        <v>0.71419999999999995</v>
      </c>
      <c r="J234" s="1671">
        <v>0.71419999999999995</v>
      </c>
      <c r="K234" s="1671">
        <v>0.71419999999999995</v>
      </c>
      <c r="L234" s="1671">
        <v>0.71419999999999995</v>
      </c>
      <c r="M234" s="1671">
        <v>0.71419999999999995</v>
      </c>
    </row>
    <row r="235" spans="1:13">
      <c r="A235" s="1672">
        <v>5.8</v>
      </c>
      <c r="B235" s="1671">
        <v>0.89249999999999996</v>
      </c>
      <c r="C235" s="1671">
        <v>0.89249999999999996</v>
      </c>
      <c r="D235" s="1671">
        <v>0.87029999999999996</v>
      </c>
      <c r="E235" s="1671">
        <v>0.87029999999999996</v>
      </c>
      <c r="F235" s="1671">
        <v>0.87029999999999996</v>
      </c>
      <c r="G235" s="1671">
        <v>0.87029999999999996</v>
      </c>
      <c r="H235" s="1671">
        <v>0.87029999999999996</v>
      </c>
      <c r="I235" s="1671">
        <v>0.71130000000000004</v>
      </c>
      <c r="J235" s="1671">
        <v>0.71130000000000004</v>
      </c>
      <c r="K235" s="1671">
        <v>0.71130000000000004</v>
      </c>
      <c r="L235" s="1671">
        <v>0.71130000000000004</v>
      </c>
      <c r="M235" s="1671">
        <v>0.71130000000000004</v>
      </c>
    </row>
    <row r="236" spans="1:13">
      <c r="A236" s="1672">
        <v>5.9</v>
      </c>
      <c r="B236" s="1671">
        <v>0.89070000000000005</v>
      </c>
      <c r="C236" s="1671">
        <v>0.89070000000000005</v>
      </c>
      <c r="D236" s="1671">
        <v>0.86799999999999999</v>
      </c>
      <c r="E236" s="1671">
        <v>0.86799999999999999</v>
      </c>
      <c r="F236" s="1671">
        <v>0.86799999999999999</v>
      </c>
      <c r="G236" s="1671">
        <v>0.86799999999999999</v>
      </c>
      <c r="H236" s="1671">
        <v>0.86799999999999999</v>
      </c>
      <c r="I236" s="1671">
        <v>0.70840000000000003</v>
      </c>
      <c r="J236" s="1671">
        <v>0.70840000000000003</v>
      </c>
      <c r="K236" s="1671">
        <v>0.70840000000000003</v>
      </c>
      <c r="L236" s="1671">
        <v>0.70840000000000003</v>
      </c>
      <c r="M236" s="1671">
        <v>0.70840000000000003</v>
      </c>
    </row>
    <row r="237" spans="1:13">
      <c r="A237" s="1672">
        <v>6</v>
      </c>
      <c r="B237" s="1671">
        <v>0.88890000000000002</v>
      </c>
      <c r="C237" s="1671">
        <v>0.88890000000000002</v>
      </c>
      <c r="D237" s="1671">
        <v>0.86580000000000001</v>
      </c>
      <c r="E237" s="1671">
        <v>0.86580000000000001</v>
      </c>
      <c r="F237" s="1671">
        <v>0.86580000000000001</v>
      </c>
      <c r="G237" s="1671">
        <v>0.86580000000000001</v>
      </c>
      <c r="H237" s="1671">
        <v>0.86580000000000001</v>
      </c>
      <c r="I237" s="1671">
        <v>0.70550000000000002</v>
      </c>
      <c r="J237" s="1671">
        <v>0.70550000000000002</v>
      </c>
      <c r="K237" s="1671">
        <v>0.70550000000000002</v>
      </c>
      <c r="L237" s="1671">
        <v>0.70550000000000002</v>
      </c>
      <c r="M237" s="1671">
        <v>0.70550000000000002</v>
      </c>
    </row>
    <row r="238" spans="1:13">
      <c r="A238" s="1672">
        <v>6.1</v>
      </c>
      <c r="B238" s="1671">
        <v>0.8871</v>
      </c>
      <c r="C238" s="1671">
        <v>0.8871</v>
      </c>
      <c r="D238" s="1671">
        <v>0.86360000000000003</v>
      </c>
      <c r="E238" s="1671">
        <v>0.86360000000000003</v>
      </c>
      <c r="F238" s="1671">
        <v>0.86360000000000003</v>
      </c>
      <c r="G238" s="1671">
        <v>0.86360000000000003</v>
      </c>
      <c r="H238" s="1671">
        <v>0.86360000000000003</v>
      </c>
      <c r="I238" s="1671">
        <v>0.70269999999999999</v>
      </c>
      <c r="J238" s="1671">
        <v>0.70269999999999999</v>
      </c>
      <c r="K238" s="1671">
        <v>0.70269999999999999</v>
      </c>
      <c r="L238" s="1671">
        <v>0.70269999999999999</v>
      </c>
      <c r="M238" s="1671">
        <v>0.70269999999999999</v>
      </c>
    </row>
    <row r="239" spans="1:13">
      <c r="A239" s="1672">
        <v>6.2</v>
      </c>
      <c r="B239" s="1671">
        <v>0.88529999999999998</v>
      </c>
      <c r="C239" s="1671">
        <v>0.88529999999999998</v>
      </c>
      <c r="D239" s="1671">
        <v>0.86140000000000005</v>
      </c>
      <c r="E239" s="1671">
        <v>0.86140000000000005</v>
      </c>
      <c r="F239" s="1671">
        <v>0.86140000000000005</v>
      </c>
      <c r="G239" s="1671">
        <v>0.86140000000000005</v>
      </c>
      <c r="H239" s="1671">
        <v>0.86140000000000005</v>
      </c>
      <c r="I239" s="1671">
        <v>0.69989999999999997</v>
      </c>
      <c r="J239" s="1671">
        <v>0.69989999999999997</v>
      </c>
      <c r="K239" s="1671">
        <v>0.69989999999999997</v>
      </c>
      <c r="L239" s="1671">
        <v>0.69989999999999997</v>
      </c>
      <c r="M239" s="1671">
        <v>0.69989999999999997</v>
      </c>
    </row>
    <row r="240" spans="1:13">
      <c r="A240" s="1672">
        <v>6.3</v>
      </c>
      <c r="B240" s="1671">
        <v>0.88349999999999995</v>
      </c>
      <c r="C240" s="1671">
        <v>0.88349999999999995</v>
      </c>
      <c r="D240" s="1671">
        <v>0.85919999999999996</v>
      </c>
      <c r="E240" s="1671">
        <v>0.85919999999999996</v>
      </c>
      <c r="F240" s="1671">
        <v>0.85919999999999996</v>
      </c>
      <c r="G240" s="1671">
        <v>0.85919999999999996</v>
      </c>
      <c r="H240" s="1671">
        <v>0.85919999999999996</v>
      </c>
      <c r="I240" s="1671">
        <v>0.69710000000000005</v>
      </c>
      <c r="J240" s="1671">
        <v>0.69710000000000005</v>
      </c>
      <c r="K240" s="1671">
        <v>0.69710000000000005</v>
      </c>
      <c r="L240" s="1671">
        <v>0.69710000000000005</v>
      </c>
      <c r="M240" s="1671">
        <v>0.69710000000000005</v>
      </c>
    </row>
    <row r="241" spans="1:13">
      <c r="A241" s="1672">
        <v>6.4</v>
      </c>
      <c r="B241" s="1671">
        <v>0.88180000000000003</v>
      </c>
      <c r="C241" s="1671">
        <v>0.88180000000000003</v>
      </c>
      <c r="D241" s="1671">
        <v>0.85699999999999998</v>
      </c>
      <c r="E241" s="1671">
        <v>0.85699999999999998</v>
      </c>
      <c r="F241" s="1671">
        <v>0.85699999999999998</v>
      </c>
      <c r="G241" s="1671">
        <v>0.85699999999999998</v>
      </c>
      <c r="H241" s="1671">
        <v>0.85699999999999998</v>
      </c>
      <c r="I241" s="1671">
        <v>0.69430000000000003</v>
      </c>
      <c r="J241" s="1671">
        <v>0.69430000000000003</v>
      </c>
      <c r="K241" s="1671">
        <v>0.69430000000000003</v>
      </c>
      <c r="L241" s="1671">
        <v>0.69430000000000003</v>
      </c>
      <c r="M241" s="1671">
        <v>0.69430000000000003</v>
      </c>
    </row>
    <row r="242" spans="1:13">
      <c r="A242" s="1672">
        <v>6.5</v>
      </c>
      <c r="B242" s="1671">
        <v>0.88009999999999999</v>
      </c>
      <c r="C242" s="1671">
        <v>0.88009999999999999</v>
      </c>
      <c r="D242" s="1671">
        <v>0.85489999999999999</v>
      </c>
      <c r="E242" s="1671">
        <v>0.85489999999999999</v>
      </c>
      <c r="F242" s="1671">
        <v>0.85489999999999999</v>
      </c>
      <c r="G242" s="1671">
        <v>0.85489999999999999</v>
      </c>
      <c r="H242" s="1671">
        <v>0.85489999999999999</v>
      </c>
      <c r="I242" s="1671">
        <v>0.69159999999999999</v>
      </c>
      <c r="J242" s="1671">
        <v>0.69159999999999999</v>
      </c>
      <c r="K242" s="1671">
        <v>0.69159999999999999</v>
      </c>
      <c r="L242" s="1671">
        <v>0.69159999999999999</v>
      </c>
      <c r="M242" s="1671">
        <v>0.69159999999999999</v>
      </c>
    </row>
    <row r="243" spans="1:13">
      <c r="A243" s="1672">
        <v>6.6</v>
      </c>
      <c r="B243" s="1671">
        <v>0.87839999999999996</v>
      </c>
      <c r="C243" s="1671">
        <v>0.87839999999999996</v>
      </c>
      <c r="D243" s="1671">
        <v>0.8528</v>
      </c>
      <c r="E243" s="1671">
        <v>0.8528</v>
      </c>
      <c r="F243" s="1671">
        <v>0.8528</v>
      </c>
      <c r="G243" s="1671">
        <v>0.8528</v>
      </c>
      <c r="H243" s="1671">
        <v>0.8528</v>
      </c>
      <c r="I243" s="1671">
        <v>0.68889999999999996</v>
      </c>
      <c r="J243" s="1671">
        <v>0.68889999999999996</v>
      </c>
      <c r="K243" s="1671">
        <v>0.68889999999999996</v>
      </c>
      <c r="L243" s="1671">
        <v>0.68889999999999996</v>
      </c>
      <c r="M243" s="1671">
        <v>0.68889999999999996</v>
      </c>
    </row>
    <row r="244" spans="1:13">
      <c r="A244" s="1672">
        <v>6.7</v>
      </c>
      <c r="B244" s="1671">
        <v>0.87670000000000003</v>
      </c>
      <c r="C244" s="1671">
        <v>0.87670000000000003</v>
      </c>
      <c r="D244" s="1671">
        <v>0.85070000000000001</v>
      </c>
      <c r="E244" s="1671">
        <v>0.85070000000000001</v>
      </c>
      <c r="F244" s="1671">
        <v>0.85070000000000001</v>
      </c>
      <c r="G244" s="1671">
        <v>0.85070000000000001</v>
      </c>
      <c r="H244" s="1671">
        <v>0.85070000000000001</v>
      </c>
      <c r="I244" s="1671">
        <v>0.68620000000000003</v>
      </c>
      <c r="J244" s="1671">
        <v>0.68620000000000003</v>
      </c>
      <c r="K244" s="1671">
        <v>0.68620000000000003</v>
      </c>
      <c r="L244" s="1671">
        <v>0.68620000000000003</v>
      </c>
      <c r="M244" s="1671">
        <v>0.68620000000000003</v>
      </c>
    </row>
    <row r="245" spans="1:13">
      <c r="A245" s="1672">
        <v>6.8</v>
      </c>
      <c r="B245" s="1671">
        <v>0.875</v>
      </c>
      <c r="C245" s="1671">
        <v>0.875</v>
      </c>
      <c r="D245" s="1671">
        <v>0.84860000000000002</v>
      </c>
      <c r="E245" s="1671">
        <v>0.84860000000000002</v>
      </c>
      <c r="F245" s="1671">
        <v>0.84860000000000002</v>
      </c>
      <c r="G245" s="1671">
        <v>0.84860000000000002</v>
      </c>
      <c r="H245" s="1671">
        <v>0.84860000000000002</v>
      </c>
      <c r="I245" s="1671">
        <v>0.6835</v>
      </c>
      <c r="J245" s="1671">
        <v>0.6835</v>
      </c>
      <c r="K245" s="1671">
        <v>0.6835</v>
      </c>
      <c r="L245" s="1671">
        <v>0.6835</v>
      </c>
      <c r="M245" s="1671">
        <v>0.6835</v>
      </c>
    </row>
    <row r="246" spans="1:13">
      <c r="A246" s="1672">
        <v>6.9</v>
      </c>
      <c r="B246" s="1671">
        <v>0.87329999999999997</v>
      </c>
      <c r="C246" s="1671">
        <v>0.87329999999999997</v>
      </c>
      <c r="D246" s="1671">
        <v>0.84650000000000003</v>
      </c>
      <c r="E246" s="1671">
        <v>0.84650000000000003</v>
      </c>
      <c r="F246" s="1671">
        <v>0.84650000000000003</v>
      </c>
      <c r="G246" s="1671">
        <v>0.84650000000000003</v>
      </c>
      <c r="H246" s="1671">
        <v>0.84650000000000003</v>
      </c>
      <c r="I246" s="1671">
        <v>0.68089999999999995</v>
      </c>
      <c r="J246" s="1671">
        <v>0.68089999999999995</v>
      </c>
      <c r="K246" s="1671">
        <v>0.68089999999999995</v>
      </c>
      <c r="L246" s="1671">
        <v>0.68089999999999995</v>
      </c>
      <c r="M246" s="1671">
        <v>0.68089999999999995</v>
      </c>
    </row>
    <row r="247" spans="1:13">
      <c r="A247" s="1672">
        <v>7</v>
      </c>
      <c r="B247" s="1671">
        <v>0.87170000000000003</v>
      </c>
      <c r="C247" s="1671">
        <v>0.87170000000000003</v>
      </c>
      <c r="D247" s="1671">
        <v>0.84450000000000003</v>
      </c>
      <c r="E247" s="1671">
        <v>0.84450000000000003</v>
      </c>
      <c r="F247" s="1671">
        <v>0.84450000000000003</v>
      </c>
      <c r="G247" s="1671">
        <v>0.84450000000000003</v>
      </c>
      <c r="H247" s="1671">
        <v>0.84450000000000003</v>
      </c>
      <c r="I247" s="1671">
        <v>0.67830000000000001</v>
      </c>
      <c r="J247" s="1671">
        <v>0.67830000000000001</v>
      </c>
      <c r="K247" s="1671">
        <v>0.67830000000000001</v>
      </c>
      <c r="L247" s="1671">
        <v>0.67830000000000001</v>
      </c>
      <c r="M247" s="1671">
        <v>0.67830000000000001</v>
      </c>
    </row>
    <row r="248" spans="1:13">
      <c r="A248" s="1672">
        <v>7.1</v>
      </c>
      <c r="B248" s="1671">
        <v>0.87009999999999998</v>
      </c>
      <c r="C248" s="1671">
        <v>0.87009999999999998</v>
      </c>
      <c r="D248" s="1671">
        <v>0.84250000000000003</v>
      </c>
      <c r="E248" s="1671">
        <v>0.84250000000000003</v>
      </c>
      <c r="F248" s="1671">
        <v>0.84250000000000003</v>
      </c>
      <c r="G248" s="1671">
        <v>0.84250000000000003</v>
      </c>
      <c r="H248" s="1671">
        <v>0.84250000000000003</v>
      </c>
      <c r="I248" s="1671">
        <v>0.67569999999999997</v>
      </c>
      <c r="J248" s="1671">
        <v>0.67569999999999997</v>
      </c>
      <c r="K248" s="1671">
        <v>0.67569999999999997</v>
      </c>
      <c r="L248" s="1671">
        <v>0.67569999999999997</v>
      </c>
      <c r="M248" s="1671">
        <v>0.67569999999999997</v>
      </c>
    </row>
    <row r="249" spans="1:13">
      <c r="A249" s="1672">
        <v>7.2</v>
      </c>
      <c r="B249" s="1671">
        <v>0.86850000000000005</v>
      </c>
      <c r="C249" s="1671">
        <v>0.86850000000000005</v>
      </c>
      <c r="D249" s="1671">
        <v>0.84050000000000002</v>
      </c>
      <c r="E249" s="1671">
        <v>0.84050000000000002</v>
      </c>
      <c r="F249" s="1671">
        <v>0.84050000000000002</v>
      </c>
      <c r="G249" s="1671">
        <v>0.84050000000000002</v>
      </c>
      <c r="H249" s="1671">
        <v>0.84050000000000002</v>
      </c>
      <c r="I249" s="1671">
        <v>0.67310000000000003</v>
      </c>
      <c r="J249" s="1671">
        <v>0.67310000000000003</v>
      </c>
      <c r="K249" s="1671">
        <v>0.67310000000000003</v>
      </c>
      <c r="L249" s="1671">
        <v>0.67310000000000003</v>
      </c>
      <c r="M249" s="1671">
        <v>0.67310000000000003</v>
      </c>
    </row>
    <row r="250" spans="1:13">
      <c r="A250" s="1672">
        <v>7.3</v>
      </c>
      <c r="B250" s="1671">
        <v>0.8669</v>
      </c>
      <c r="C250" s="1671">
        <v>0.8669</v>
      </c>
      <c r="D250" s="1671">
        <v>0.83850000000000002</v>
      </c>
      <c r="E250" s="1671">
        <v>0.83850000000000002</v>
      </c>
      <c r="F250" s="1671">
        <v>0.83850000000000002</v>
      </c>
      <c r="G250" s="1671">
        <v>0.83850000000000002</v>
      </c>
      <c r="H250" s="1671">
        <v>0.83850000000000002</v>
      </c>
      <c r="I250" s="1671">
        <v>0.67059999999999997</v>
      </c>
      <c r="J250" s="1671">
        <v>0.67059999999999997</v>
      </c>
      <c r="K250" s="1671">
        <v>0.67059999999999997</v>
      </c>
      <c r="L250" s="1671">
        <v>0.67059999999999997</v>
      </c>
      <c r="M250" s="1671">
        <v>0.67059999999999997</v>
      </c>
    </row>
    <row r="251" spans="1:13">
      <c r="A251" s="1672">
        <v>7.4</v>
      </c>
      <c r="B251" s="1671">
        <v>0.86529999999999996</v>
      </c>
      <c r="C251" s="1671">
        <v>0.86529999999999996</v>
      </c>
      <c r="D251" s="1671">
        <v>0.83650000000000002</v>
      </c>
      <c r="E251" s="1671">
        <v>0.83650000000000002</v>
      </c>
      <c r="F251" s="1671">
        <v>0.83650000000000002</v>
      </c>
      <c r="G251" s="1671">
        <v>0.83650000000000002</v>
      </c>
      <c r="H251" s="1671">
        <v>0.83650000000000002</v>
      </c>
      <c r="I251" s="1671">
        <v>0.66810000000000003</v>
      </c>
      <c r="J251" s="1671">
        <v>0.66810000000000003</v>
      </c>
      <c r="K251" s="1671">
        <v>0.66810000000000003</v>
      </c>
      <c r="L251" s="1671">
        <v>0.66810000000000003</v>
      </c>
      <c r="M251" s="1671">
        <v>0.66810000000000003</v>
      </c>
    </row>
    <row r="252" spans="1:13">
      <c r="A252" s="1672">
        <v>7.5</v>
      </c>
      <c r="B252" s="1671">
        <v>0.86370000000000002</v>
      </c>
      <c r="C252" s="1671">
        <v>0.86370000000000002</v>
      </c>
      <c r="D252" s="1671">
        <v>0.83460000000000001</v>
      </c>
      <c r="E252" s="1671">
        <v>0.83460000000000001</v>
      </c>
      <c r="F252" s="1671">
        <v>0.83460000000000001</v>
      </c>
      <c r="G252" s="1671">
        <v>0.83460000000000001</v>
      </c>
      <c r="H252" s="1671">
        <v>0.83460000000000001</v>
      </c>
      <c r="I252" s="1671">
        <v>0.66559999999999997</v>
      </c>
      <c r="J252" s="1671">
        <v>0.66559999999999997</v>
      </c>
      <c r="K252" s="1671">
        <v>0.66559999999999997</v>
      </c>
      <c r="L252" s="1671">
        <v>0.66559999999999997</v>
      </c>
      <c r="M252" s="1671">
        <v>0.66559999999999997</v>
      </c>
    </row>
    <row r="253" spans="1:13">
      <c r="A253" s="1672">
        <v>7.6</v>
      </c>
      <c r="B253" s="1671">
        <v>0.86219999999999997</v>
      </c>
      <c r="C253" s="1671">
        <v>0.86219999999999997</v>
      </c>
      <c r="D253" s="1671">
        <v>0.8327</v>
      </c>
      <c r="E253" s="1671">
        <v>0.8327</v>
      </c>
      <c r="F253" s="1671">
        <v>0.8327</v>
      </c>
      <c r="G253" s="1671">
        <v>0.8327</v>
      </c>
      <c r="H253" s="1671">
        <v>0.8327</v>
      </c>
      <c r="I253" s="1671">
        <v>0.66310000000000002</v>
      </c>
      <c r="J253" s="1671">
        <v>0.66310000000000002</v>
      </c>
      <c r="K253" s="1671">
        <v>0.66310000000000002</v>
      </c>
      <c r="L253" s="1671">
        <v>0.66310000000000002</v>
      </c>
      <c r="M253" s="1671">
        <v>0.66310000000000002</v>
      </c>
    </row>
    <row r="254" spans="1:13">
      <c r="A254" s="1672">
        <v>7.7</v>
      </c>
      <c r="B254" s="1671">
        <v>0.86070000000000002</v>
      </c>
      <c r="C254" s="1671">
        <v>0.86070000000000002</v>
      </c>
      <c r="D254" s="1671">
        <v>0.83079999999999998</v>
      </c>
      <c r="E254" s="1671">
        <v>0.83079999999999998</v>
      </c>
      <c r="F254" s="1671">
        <v>0.83079999999999998</v>
      </c>
      <c r="G254" s="1671">
        <v>0.83079999999999998</v>
      </c>
      <c r="H254" s="1671">
        <v>0.83079999999999998</v>
      </c>
      <c r="I254" s="1671">
        <v>0.66069999999999995</v>
      </c>
      <c r="J254" s="1671">
        <v>0.66069999999999995</v>
      </c>
      <c r="K254" s="1671">
        <v>0.66069999999999995</v>
      </c>
      <c r="L254" s="1671">
        <v>0.66069999999999995</v>
      </c>
      <c r="M254" s="1671">
        <v>0.66069999999999995</v>
      </c>
    </row>
    <row r="255" spans="1:13">
      <c r="A255" s="1672">
        <v>7.8</v>
      </c>
      <c r="B255" s="1671">
        <v>0.85919999999999996</v>
      </c>
      <c r="C255" s="1671">
        <v>0.85919999999999996</v>
      </c>
      <c r="D255" s="1671">
        <v>0.82889999999999997</v>
      </c>
      <c r="E255" s="1671">
        <v>0.82889999999999997</v>
      </c>
      <c r="F255" s="1671">
        <v>0.82889999999999997</v>
      </c>
      <c r="G255" s="1671">
        <v>0.82889999999999997</v>
      </c>
      <c r="H255" s="1671">
        <v>0.82889999999999997</v>
      </c>
      <c r="I255" s="1671">
        <v>0.6583</v>
      </c>
      <c r="J255" s="1671">
        <v>0.6583</v>
      </c>
      <c r="K255" s="1671">
        <v>0.6583</v>
      </c>
      <c r="L255" s="1671">
        <v>0.6583</v>
      </c>
      <c r="M255" s="1671">
        <v>0.6583</v>
      </c>
    </row>
    <row r="256" spans="1:13">
      <c r="A256" s="1672">
        <v>7.9</v>
      </c>
      <c r="B256" s="1671">
        <v>0.85770000000000002</v>
      </c>
      <c r="C256" s="1671">
        <v>0.85770000000000002</v>
      </c>
      <c r="D256" s="1671">
        <v>0.82699999999999996</v>
      </c>
      <c r="E256" s="1671">
        <v>0.82699999999999996</v>
      </c>
      <c r="F256" s="1671">
        <v>0.82699999999999996</v>
      </c>
      <c r="G256" s="1671">
        <v>0.82699999999999996</v>
      </c>
      <c r="H256" s="1671">
        <v>0.82699999999999996</v>
      </c>
      <c r="I256" s="1671">
        <v>0.65590000000000004</v>
      </c>
      <c r="J256" s="1671">
        <v>0.65590000000000004</v>
      </c>
      <c r="K256" s="1671">
        <v>0.65590000000000004</v>
      </c>
      <c r="L256" s="1671">
        <v>0.65590000000000004</v>
      </c>
      <c r="M256" s="1671">
        <v>0.65590000000000004</v>
      </c>
    </row>
    <row r="257" spans="1:13">
      <c r="A257" s="1668">
        <v>8</v>
      </c>
      <c r="B257" s="1671">
        <v>0.85619999999999996</v>
      </c>
      <c r="C257" s="1671">
        <v>0.85619999999999996</v>
      </c>
      <c r="D257" s="1671">
        <v>0.82509999999999994</v>
      </c>
      <c r="E257" s="1671">
        <v>0.82509999999999994</v>
      </c>
      <c r="F257" s="1671">
        <v>0.82509999999999994</v>
      </c>
      <c r="G257" s="1671">
        <v>0.82509999999999994</v>
      </c>
      <c r="H257" s="1671">
        <v>0.82509999999999994</v>
      </c>
      <c r="I257" s="1671">
        <v>0.65349999999999997</v>
      </c>
      <c r="J257" s="1671">
        <v>0.65349999999999997</v>
      </c>
      <c r="K257" s="1671">
        <v>0.65349999999999997</v>
      </c>
      <c r="L257" s="1671">
        <v>0.65349999999999997</v>
      </c>
      <c r="M257" s="1671">
        <v>0.65349999999999997</v>
      </c>
    </row>
    <row r="258" spans="1:13">
      <c r="A258" s="1668">
        <v>8.1</v>
      </c>
      <c r="B258" s="1671">
        <v>0.85470000000000002</v>
      </c>
      <c r="C258" s="1671">
        <v>0.85470000000000002</v>
      </c>
      <c r="D258" s="1671">
        <v>0.82330000000000003</v>
      </c>
      <c r="E258" s="1671">
        <v>0.82330000000000003</v>
      </c>
      <c r="F258" s="1671">
        <v>0.82330000000000003</v>
      </c>
      <c r="G258" s="1671">
        <v>0.82330000000000003</v>
      </c>
      <c r="H258" s="1671">
        <v>0.82330000000000003</v>
      </c>
      <c r="I258" s="1671">
        <v>0.6512</v>
      </c>
      <c r="J258" s="1671">
        <v>0.6512</v>
      </c>
      <c r="K258" s="1671">
        <v>0.6512</v>
      </c>
      <c r="L258" s="1671">
        <v>0.6512</v>
      </c>
      <c r="M258" s="1671">
        <v>0.6512</v>
      </c>
    </row>
    <row r="259" spans="1:13">
      <c r="A259" s="1668">
        <v>8.1999999999999993</v>
      </c>
      <c r="B259" s="1671">
        <v>0.85329999999999995</v>
      </c>
      <c r="C259" s="1671">
        <v>0.85329999999999995</v>
      </c>
      <c r="D259" s="1671">
        <v>0.82150000000000001</v>
      </c>
      <c r="E259" s="1671">
        <v>0.82150000000000001</v>
      </c>
      <c r="F259" s="1671">
        <v>0.82150000000000001</v>
      </c>
      <c r="G259" s="1671">
        <v>0.82150000000000001</v>
      </c>
      <c r="H259" s="1671">
        <v>0.82150000000000001</v>
      </c>
      <c r="I259" s="1671">
        <v>0.64890000000000003</v>
      </c>
      <c r="J259" s="1671">
        <v>0.64890000000000003</v>
      </c>
      <c r="K259" s="1671">
        <v>0.64890000000000003</v>
      </c>
      <c r="L259" s="1671">
        <v>0.64890000000000003</v>
      </c>
      <c r="M259" s="1671">
        <v>0.64890000000000003</v>
      </c>
    </row>
    <row r="260" spans="1:13">
      <c r="A260" s="1668">
        <v>8.3000000000000007</v>
      </c>
      <c r="B260" s="1671">
        <v>0.85189999999999999</v>
      </c>
      <c r="C260" s="1671">
        <v>0.85189999999999999</v>
      </c>
      <c r="D260" s="1671">
        <v>0.81969999999999998</v>
      </c>
      <c r="E260" s="1671">
        <v>0.81969999999999998</v>
      </c>
      <c r="F260" s="1671">
        <v>0.81969999999999998</v>
      </c>
      <c r="G260" s="1671">
        <v>0.81969999999999998</v>
      </c>
      <c r="H260" s="1671">
        <v>0.81969999999999998</v>
      </c>
      <c r="I260" s="1671">
        <v>0.64659999999999995</v>
      </c>
      <c r="J260" s="1671">
        <v>0.64659999999999995</v>
      </c>
      <c r="K260" s="1671">
        <v>0.64659999999999995</v>
      </c>
      <c r="L260" s="1671">
        <v>0.64659999999999995</v>
      </c>
      <c r="M260" s="1671">
        <v>0.64659999999999995</v>
      </c>
    </row>
    <row r="261" spans="1:13">
      <c r="A261" s="1668">
        <v>8.4</v>
      </c>
      <c r="B261" s="1671">
        <v>0.85050000000000003</v>
      </c>
      <c r="C261" s="1671">
        <v>0.85050000000000003</v>
      </c>
      <c r="D261" s="1671">
        <v>0.81789999999999996</v>
      </c>
      <c r="E261" s="1671">
        <v>0.81789999999999996</v>
      </c>
      <c r="F261" s="1671">
        <v>0.81789999999999996</v>
      </c>
      <c r="G261" s="1671">
        <v>0.81789999999999996</v>
      </c>
      <c r="H261" s="1671">
        <v>0.81789999999999996</v>
      </c>
      <c r="I261" s="1671">
        <v>0.64429999999999998</v>
      </c>
      <c r="J261" s="1671">
        <v>0.64429999999999998</v>
      </c>
      <c r="K261" s="1671">
        <v>0.64429999999999998</v>
      </c>
      <c r="L261" s="1671">
        <v>0.64429999999999998</v>
      </c>
      <c r="M261" s="1671">
        <v>0.64429999999999998</v>
      </c>
    </row>
    <row r="262" spans="1:13">
      <c r="A262" s="1668">
        <v>8.5</v>
      </c>
      <c r="B262" s="1671">
        <v>0.84909999999999997</v>
      </c>
      <c r="C262" s="1671">
        <v>0.84909999999999997</v>
      </c>
      <c r="D262" s="1671">
        <v>0.81610000000000005</v>
      </c>
      <c r="E262" s="1671">
        <v>0.81610000000000005</v>
      </c>
      <c r="F262" s="1671">
        <v>0.81610000000000005</v>
      </c>
      <c r="G262" s="1671">
        <v>0.81610000000000005</v>
      </c>
      <c r="H262" s="1671">
        <v>0.81610000000000005</v>
      </c>
      <c r="I262" s="1671">
        <v>0.6421</v>
      </c>
      <c r="J262" s="1671">
        <v>0.6421</v>
      </c>
      <c r="K262" s="1671">
        <v>0.6421</v>
      </c>
      <c r="L262" s="1671">
        <v>0.6421</v>
      </c>
      <c r="M262" s="1671">
        <v>0.6421</v>
      </c>
    </row>
    <row r="263" spans="1:13">
      <c r="A263" s="1672">
        <v>8.6</v>
      </c>
      <c r="B263" s="1671">
        <v>0.84770000000000001</v>
      </c>
      <c r="C263" s="1671">
        <v>0.84770000000000001</v>
      </c>
      <c r="D263" s="1671">
        <v>0.81440000000000001</v>
      </c>
      <c r="E263" s="1671">
        <v>0.81440000000000001</v>
      </c>
      <c r="F263" s="1671">
        <v>0.81440000000000001</v>
      </c>
      <c r="G263" s="1671">
        <v>0.81440000000000001</v>
      </c>
      <c r="H263" s="1671">
        <v>0.81440000000000001</v>
      </c>
      <c r="I263" s="1671">
        <v>0.63990000000000002</v>
      </c>
      <c r="J263" s="1671">
        <v>0.63990000000000002</v>
      </c>
      <c r="K263" s="1671">
        <v>0.63990000000000002</v>
      </c>
      <c r="L263" s="1671">
        <v>0.63990000000000002</v>
      </c>
      <c r="M263" s="1671">
        <v>0.63990000000000002</v>
      </c>
    </row>
    <row r="264" spans="1:13">
      <c r="A264" s="1668">
        <v>8.6999999999999993</v>
      </c>
      <c r="B264" s="1671">
        <v>0.84630000000000005</v>
      </c>
      <c r="C264" s="1671">
        <v>0.84630000000000005</v>
      </c>
      <c r="D264" s="1671">
        <v>0.81269999999999998</v>
      </c>
      <c r="E264" s="1671">
        <v>0.81269999999999998</v>
      </c>
      <c r="F264" s="1671">
        <v>0.81269999999999998</v>
      </c>
      <c r="G264" s="1671">
        <v>0.81269999999999998</v>
      </c>
      <c r="H264" s="1671">
        <v>0.81269999999999998</v>
      </c>
      <c r="I264" s="1671">
        <v>0.63770000000000004</v>
      </c>
      <c r="J264" s="1671">
        <v>0.63770000000000004</v>
      </c>
      <c r="K264" s="1671">
        <v>0.63770000000000004</v>
      </c>
      <c r="L264" s="1671">
        <v>0.63770000000000004</v>
      </c>
      <c r="M264" s="1671">
        <v>0.63770000000000004</v>
      </c>
    </row>
    <row r="265" spans="1:13">
      <c r="A265" s="1668">
        <v>8.8000000000000007</v>
      </c>
      <c r="B265" s="1671">
        <v>0.84489999999999998</v>
      </c>
      <c r="C265" s="1671">
        <v>0.84489999999999998</v>
      </c>
      <c r="D265" s="1671">
        <v>0.81100000000000005</v>
      </c>
      <c r="E265" s="1671">
        <v>0.81100000000000005</v>
      </c>
      <c r="F265" s="1671">
        <v>0.81100000000000005</v>
      </c>
      <c r="G265" s="1671">
        <v>0.81100000000000005</v>
      </c>
      <c r="H265" s="1671">
        <v>0.81100000000000005</v>
      </c>
      <c r="I265" s="1671">
        <v>0.63549999999999995</v>
      </c>
      <c r="J265" s="1671">
        <v>0.63549999999999995</v>
      </c>
      <c r="K265" s="1671">
        <v>0.63549999999999995</v>
      </c>
      <c r="L265" s="1671">
        <v>0.63549999999999995</v>
      </c>
      <c r="M265" s="1671">
        <v>0.63549999999999995</v>
      </c>
    </row>
    <row r="266" spans="1:13">
      <c r="A266" s="1668">
        <v>8.9</v>
      </c>
      <c r="B266" s="1671">
        <v>0.84360000000000002</v>
      </c>
      <c r="C266" s="1671">
        <v>0.84360000000000002</v>
      </c>
      <c r="D266" s="1671">
        <v>0.80930000000000002</v>
      </c>
      <c r="E266" s="1671">
        <v>0.80930000000000002</v>
      </c>
      <c r="F266" s="1671">
        <v>0.80930000000000002</v>
      </c>
      <c r="G266" s="1671">
        <v>0.80930000000000002</v>
      </c>
      <c r="H266" s="1671">
        <v>0.80930000000000002</v>
      </c>
      <c r="I266" s="1671">
        <v>0.63339999999999996</v>
      </c>
      <c r="J266" s="1671">
        <v>0.63339999999999996</v>
      </c>
      <c r="K266" s="1671">
        <v>0.63339999999999996</v>
      </c>
      <c r="L266" s="1671">
        <v>0.63339999999999996</v>
      </c>
      <c r="M266" s="1671">
        <v>0.63339999999999996</v>
      </c>
    </row>
    <row r="267" spans="1:13">
      <c r="A267" s="1668">
        <v>9</v>
      </c>
      <c r="B267" s="1671">
        <v>0.84230000000000005</v>
      </c>
      <c r="C267" s="1671">
        <v>0.84230000000000005</v>
      </c>
      <c r="D267" s="1671">
        <v>0.80759999999999998</v>
      </c>
      <c r="E267" s="1671">
        <v>0.80759999999999998</v>
      </c>
      <c r="F267" s="1671">
        <v>0.80759999999999998</v>
      </c>
      <c r="G267" s="1671">
        <v>0.80759999999999998</v>
      </c>
      <c r="H267" s="1671">
        <v>0.80759999999999998</v>
      </c>
      <c r="I267" s="1671">
        <v>0.63129999999999997</v>
      </c>
      <c r="J267" s="1671">
        <v>0.63129999999999997</v>
      </c>
      <c r="K267" s="1671">
        <v>0.63129999999999997</v>
      </c>
      <c r="L267" s="1671">
        <v>0.63129999999999997</v>
      </c>
      <c r="M267" s="1671">
        <v>0.63129999999999997</v>
      </c>
    </row>
    <row r="268" spans="1:13">
      <c r="A268" s="1668">
        <v>9.1</v>
      </c>
      <c r="B268" s="1671">
        <v>0.84099999999999997</v>
      </c>
      <c r="C268" s="1671">
        <v>0.84099999999999997</v>
      </c>
      <c r="D268" s="1671">
        <v>0.80600000000000005</v>
      </c>
      <c r="E268" s="1671">
        <v>0.80600000000000005</v>
      </c>
      <c r="F268" s="1671">
        <v>0.80600000000000005</v>
      </c>
      <c r="G268" s="1671">
        <v>0.80600000000000005</v>
      </c>
      <c r="H268" s="1671">
        <v>0.80600000000000005</v>
      </c>
      <c r="I268" s="1671">
        <v>0.62919999999999998</v>
      </c>
      <c r="J268" s="1671">
        <v>0.62919999999999998</v>
      </c>
      <c r="K268" s="1671">
        <v>0.62919999999999998</v>
      </c>
      <c r="L268" s="1671">
        <v>0.62919999999999998</v>
      </c>
      <c r="M268" s="1671">
        <v>0.62919999999999998</v>
      </c>
    </row>
    <row r="269" spans="1:13">
      <c r="A269" s="1668">
        <v>9.1999999999999993</v>
      </c>
      <c r="B269" s="1671">
        <v>0.8397</v>
      </c>
      <c r="C269" s="1671">
        <v>0.8397</v>
      </c>
      <c r="D269" s="1671">
        <v>0.8044</v>
      </c>
      <c r="E269" s="1671">
        <v>0.8044</v>
      </c>
      <c r="F269" s="1671">
        <v>0.8044</v>
      </c>
      <c r="G269" s="1671">
        <v>0.8044</v>
      </c>
      <c r="H269" s="1671">
        <v>0.8044</v>
      </c>
      <c r="I269" s="1671">
        <v>0.62709999999999999</v>
      </c>
      <c r="J269" s="1671">
        <v>0.62709999999999999</v>
      </c>
      <c r="K269" s="1671">
        <v>0.62709999999999999</v>
      </c>
      <c r="L269" s="1671">
        <v>0.62709999999999999</v>
      </c>
      <c r="M269" s="1671">
        <v>0.62709999999999999</v>
      </c>
    </row>
    <row r="270" spans="1:13">
      <c r="A270" s="1668">
        <v>9.3000000000000007</v>
      </c>
      <c r="B270" s="1671">
        <v>0.83840000000000003</v>
      </c>
      <c r="C270" s="1671">
        <v>0.83840000000000003</v>
      </c>
      <c r="D270" s="1671">
        <v>0.80279999999999996</v>
      </c>
      <c r="E270" s="1671">
        <v>0.80279999999999996</v>
      </c>
      <c r="F270" s="1671">
        <v>0.80279999999999996</v>
      </c>
      <c r="G270" s="1671">
        <v>0.80279999999999996</v>
      </c>
      <c r="H270" s="1671">
        <v>0.80279999999999996</v>
      </c>
      <c r="I270" s="1671">
        <v>0.62509999999999999</v>
      </c>
      <c r="J270" s="1671">
        <v>0.62509999999999999</v>
      </c>
      <c r="K270" s="1671">
        <v>0.62509999999999999</v>
      </c>
      <c r="L270" s="1671">
        <v>0.62509999999999999</v>
      </c>
      <c r="M270" s="1671">
        <v>0.62509999999999999</v>
      </c>
    </row>
    <row r="271" spans="1:13">
      <c r="A271" s="1668">
        <v>9.4</v>
      </c>
      <c r="B271" s="1671">
        <v>0.83709999999999996</v>
      </c>
      <c r="C271" s="1671">
        <v>0.83709999999999996</v>
      </c>
      <c r="D271" s="1671">
        <v>0.80120000000000002</v>
      </c>
      <c r="E271" s="1671">
        <v>0.80120000000000002</v>
      </c>
      <c r="F271" s="1671">
        <v>0.80120000000000002</v>
      </c>
      <c r="G271" s="1671">
        <v>0.80120000000000002</v>
      </c>
      <c r="H271" s="1671">
        <v>0.80120000000000002</v>
      </c>
      <c r="I271" s="1671">
        <v>0.62309999999999999</v>
      </c>
      <c r="J271" s="1671">
        <v>0.62309999999999999</v>
      </c>
      <c r="K271" s="1671">
        <v>0.62309999999999999</v>
      </c>
      <c r="L271" s="1671">
        <v>0.62309999999999999</v>
      </c>
      <c r="M271" s="1671">
        <v>0.62309999999999999</v>
      </c>
    </row>
    <row r="272" spans="1:13">
      <c r="A272" s="1668">
        <v>9.5</v>
      </c>
      <c r="B272" s="1671">
        <v>0.83579999999999999</v>
      </c>
      <c r="C272" s="1671">
        <v>0.83579999999999999</v>
      </c>
      <c r="D272" s="1671">
        <v>0.79959999999999998</v>
      </c>
      <c r="E272" s="1671">
        <v>0.79959999999999998</v>
      </c>
      <c r="F272" s="1671">
        <v>0.79959999999999998</v>
      </c>
      <c r="G272" s="1671">
        <v>0.79959999999999998</v>
      </c>
      <c r="H272" s="1671">
        <v>0.79959999999999998</v>
      </c>
      <c r="I272" s="1671">
        <v>0.62109999999999999</v>
      </c>
      <c r="J272" s="1671">
        <v>0.62109999999999999</v>
      </c>
      <c r="K272" s="1671">
        <v>0.62109999999999999</v>
      </c>
      <c r="L272" s="1671">
        <v>0.62109999999999999</v>
      </c>
      <c r="M272" s="1671">
        <v>0.62109999999999999</v>
      </c>
    </row>
    <row r="273" spans="1:13">
      <c r="A273" s="1668">
        <v>9.6</v>
      </c>
      <c r="B273" s="1671">
        <v>0.83460000000000001</v>
      </c>
      <c r="C273" s="1671">
        <v>0.83460000000000001</v>
      </c>
      <c r="D273" s="1671">
        <v>0.79800000000000004</v>
      </c>
      <c r="E273" s="1671">
        <v>0.79800000000000004</v>
      </c>
      <c r="F273" s="1671">
        <v>0.79800000000000004</v>
      </c>
      <c r="G273" s="1671">
        <v>0.79800000000000004</v>
      </c>
      <c r="H273" s="1671">
        <v>0.79800000000000004</v>
      </c>
      <c r="I273" s="1671">
        <v>0.61909999999999998</v>
      </c>
      <c r="J273" s="1671">
        <v>0.61909999999999998</v>
      </c>
      <c r="K273" s="1671">
        <v>0.61909999999999998</v>
      </c>
      <c r="L273" s="1671">
        <v>0.61909999999999998</v>
      </c>
      <c r="M273" s="1671">
        <v>0.61909999999999998</v>
      </c>
    </row>
    <row r="274" spans="1:13">
      <c r="A274" s="1668">
        <v>9.6999999999999993</v>
      </c>
      <c r="B274" s="1671">
        <v>0.83340000000000003</v>
      </c>
      <c r="C274" s="1671">
        <v>0.83340000000000003</v>
      </c>
      <c r="D274" s="1671">
        <v>0.79649999999999999</v>
      </c>
      <c r="E274" s="1671">
        <v>0.79649999999999999</v>
      </c>
      <c r="F274" s="1671">
        <v>0.79649999999999999</v>
      </c>
      <c r="G274" s="1671">
        <v>0.79649999999999999</v>
      </c>
      <c r="H274" s="1671">
        <v>0.79649999999999999</v>
      </c>
      <c r="I274" s="1671">
        <v>0.61719999999999997</v>
      </c>
      <c r="J274" s="1671">
        <v>0.61719999999999997</v>
      </c>
      <c r="K274" s="1671">
        <v>0.61719999999999997</v>
      </c>
      <c r="L274" s="1671">
        <v>0.61719999999999997</v>
      </c>
      <c r="M274" s="1671">
        <v>0.61719999999999997</v>
      </c>
    </row>
    <row r="275" spans="1:13">
      <c r="A275" s="1668">
        <v>9.8000000000000007</v>
      </c>
      <c r="B275" s="1671">
        <v>0.83220000000000005</v>
      </c>
      <c r="C275" s="1671">
        <v>0.83220000000000005</v>
      </c>
      <c r="D275" s="1671">
        <v>0.79500000000000004</v>
      </c>
      <c r="E275" s="1671">
        <v>0.79500000000000004</v>
      </c>
      <c r="F275" s="1671">
        <v>0.79500000000000004</v>
      </c>
      <c r="G275" s="1671">
        <v>0.79500000000000004</v>
      </c>
      <c r="H275" s="1671">
        <v>0.79500000000000004</v>
      </c>
      <c r="I275" s="1671">
        <v>0.61529999999999996</v>
      </c>
      <c r="J275" s="1671">
        <v>0.61529999999999996</v>
      </c>
      <c r="K275" s="1671">
        <v>0.61529999999999996</v>
      </c>
      <c r="L275" s="1671">
        <v>0.61529999999999996</v>
      </c>
      <c r="M275" s="1671">
        <v>0.61529999999999996</v>
      </c>
    </row>
    <row r="276" spans="1:13">
      <c r="A276" s="1668">
        <v>9.9</v>
      </c>
      <c r="B276" s="1671">
        <v>0.83099999999999996</v>
      </c>
      <c r="C276" s="1671">
        <v>0.83099999999999996</v>
      </c>
      <c r="D276" s="1671">
        <v>0.79349999999999998</v>
      </c>
      <c r="E276" s="1671">
        <v>0.79349999999999998</v>
      </c>
      <c r="F276" s="1671">
        <v>0.79349999999999998</v>
      </c>
      <c r="G276" s="1671">
        <v>0.79349999999999998</v>
      </c>
      <c r="H276" s="1671">
        <v>0.79349999999999998</v>
      </c>
      <c r="I276" s="1671">
        <v>0.61339999999999995</v>
      </c>
      <c r="J276" s="1671">
        <v>0.61339999999999995</v>
      </c>
      <c r="K276" s="1671">
        <v>0.61339999999999995</v>
      </c>
      <c r="L276" s="1671">
        <v>0.61339999999999995</v>
      </c>
      <c r="M276" s="1671">
        <v>0.61339999999999995</v>
      </c>
    </row>
    <row r="277" spans="1:13" ht="14.25">
      <c r="A277" s="1666" t="s">
        <v>1898</v>
      </c>
      <c r="B277" s="1671"/>
      <c r="C277" s="1671"/>
      <c r="D277" s="1671"/>
      <c r="E277" s="1671"/>
      <c r="F277" s="1671"/>
      <c r="G277" s="1671"/>
      <c r="H277" s="1671"/>
      <c r="I277" s="1671"/>
      <c r="J277" s="1671"/>
      <c r="K277" s="1671"/>
      <c r="L277" s="1671"/>
      <c r="M277" s="1671"/>
    </row>
    <row r="278" spans="1:13">
      <c r="A278" s="1668" t="s">
        <v>105</v>
      </c>
      <c r="B278" s="1671" t="s">
        <v>238</v>
      </c>
      <c r="C278" s="1671" t="s">
        <v>251</v>
      </c>
      <c r="D278" s="1671" t="s">
        <v>263</v>
      </c>
      <c r="E278" s="1671" t="s">
        <v>273</v>
      </c>
      <c r="F278" s="1671" t="s">
        <v>282</v>
      </c>
      <c r="G278" s="1671" t="s">
        <v>290</v>
      </c>
      <c r="H278" s="1671" t="s">
        <v>295</v>
      </c>
      <c r="I278" s="1671" t="s">
        <v>301</v>
      </c>
      <c r="J278" s="1671" t="s">
        <v>305</v>
      </c>
      <c r="K278" s="1671" t="s">
        <v>309</v>
      </c>
      <c r="L278" s="1671" t="s">
        <v>313</v>
      </c>
      <c r="M278" s="1671" t="s">
        <v>317</v>
      </c>
    </row>
    <row r="279" spans="1:13">
      <c r="A279" s="1668">
        <v>1</v>
      </c>
      <c r="B279" s="1671">
        <v>1.1055999999999999</v>
      </c>
      <c r="C279" s="1671">
        <v>1.1055999999999999</v>
      </c>
      <c r="D279" s="1671">
        <v>1.1220000000000001</v>
      </c>
      <c r="E279" s="1671">
        <v>1.1220000000000001</v>
      </c>
      <c r="F279" s="1671">
        <v>1.1220000000000001</v>
      </c>
      <c r="G279" s="1671">
        <v>1.0583</v>
      </c>
      <c r="H279" s="1671">
        <v>1.0583</v>
      </c>
      <c r="I279" s="1671">
        <v>1</v>
      </c>
      <c r="J279" s="1671">
        <v>1</v>
      </c>
      <c r="K279" s="1671">
        <v>1</v>
      </c>
      <c r="L279" s="1671">
        <v>1</v>
      </c>
      <c r="M279" s="1671">
        <v>1</v>
      </c>
    </row>
    <row r="280" spans="1:13">
      <c r="A280" s="1668">
        <v>1.1000000000000001</v>
      </c>
      <c r="B280" s="1671">
        <v>1.0820000000000001</v>
      </c>
      <c r="C280" s="1671">
        <v>1.0820000000000001</v>
      </c>
      <c r="D280" s="1671">
        <v>1.0948</v>
      </c>
      <c r="E280" s="1671">
        <v>1.0948</v>
      </c>
      <c r="F280" s="1671">
        <v>1.0948</v>
      </c>
      <c r="G280" s="1671">
        <v>1.0284</v>
      </c>
      <c r="H280" s="1671">
        <v>1.0284</v>
      </c>
      <c r="I280" s="1671">
        <v>0.96860000000000002</v>
      </c>
      <c r="J280" s="1671">
        <v>0.96860000000000002</v>
      </c>
      <c r="K280" s="1671">
        <v>0.96860000000000002</v>
      </c>
      <c r="L280" s="1671">
        <v>0.96860000000000002</v>
      </c>
      <c r="M280" s="1671">
        <v>0.96860000000000002</v>
      </c>
    </row>
    <row r="281" spans="1:13">
      <c r="A281" s="1668">
        <v>1.2</v>
      </c>
      <c r="B281" s="1671">
        <v>1.0598000000000001</v>
      </c>
      <c r="C281" s="1671">
        <v>1.0598000000000001</v>
      </c>
      <c r="D281" s="1671">
        <v>1.0690999999999999</v>
      </c>
      <c r="E281" s="1671">
        <v>1.0690999999999999</v>
      </c>
      <c r="F281" s="1671">
        <v>1.0690999999999999</v>
      </c>
      <c r="G281" s="1671">
        <v>1</v>
      </c>
      <c r="H281" s="1671">
        <v>1</v>
      </c>
      <c r="I281" s="1671">
        <v>0.93879999999999997</v>
      </c>
      <c r="J281" s="1671">
        <v>0.93879999999999997</v>
      </c>
      <c r="K281" s="1671">
        <v>0.93879999999999997</v>
      </c>
      <c r="L281" s="1671">
        <v>0.93879999999999997</v>
      </c>
      <c r="M281" s="1671">
        <v>0.93879999999999997</v>
      </c>
    </row>
    <row r="282" spans="1:13">
      <c r="A282" s="1668">
        <v>1.3</v>
      </c>
      <c r="B282" s="1671">
        <v>1.0387</v>
      </c>
      <c r="C282" s="1671">
        <v>1.0387</v>
      </c>
      <c r="D282" s="1671">
        <v>1.0447</v>
      </c>
      <c r="E282" s="1671">
        <v>1.0447</v>
      </c>
      <c r="F282" s="1671">
        <v>1.0447</v>
      </c>
      <c r="G282" s="1671">
        <v>0.97319999999999995</v>
      </c>
      <c r="H282" s="1671">
        <v>0.97319999999999995</v>
      </c>
      <c r="I282" s="1671">
        <v>0.91069999999999995</v>
      </c>
      <c r="J282" s="1671">
        <v>0.91069999999999995</v>
      </c>
      <c r="K282" s="1671">
        <v>0.91069999999999995</v>
      </c>
      <c r="L282" s="1671">
        <v>0.91069999999999995</v>
      </c>
      <c r="M282" s="1671">
        <v>0.91069999999999995</v>
      </c>
    </row>
    <row r="283" spans="1:13">
      <c r="A283" s="1668">
        <v>1.4</v>
      </c>
      <c r="B283" s="1671">
        <v>1.0187999999999999</v>
      </c>
      <c r="C283" s="1671">
        <v>1.0187999999999999</v>
      </c>
      <c r="D283" s="1671">
        <v>1.0217000000000001</v>
      </c>
      <c r="E283" s="1671">
        <v>1.0217000000000001</v>
      </c>
      <c r="F283" s="1671">
        <v>1.0217000000000001</v>
      </c>
      <c r="G283" s="1671">
        <v>0.94779999999999998</v>
      </c>
      <c r="H283" s="1671">
        <v>0.94779999999999998</v>
      </c>
      <c r="I283" s="1671">
        <v>0.8841</v>
      </c>
      <c r="J283" s="1671">
        <v>0.8841</v>
      </c>
      <c r="K283" s="1671">
        <v>0.8841</v>
      </c>
      <c r="L283" s="1671">
        <v>0.8841</v>
      </c>
      <c r="M283" s="1671">
        <v>0.8841</v>
      </c>
    </row>
    <row r="284" spans="1:13">
      <c r="A284" s="1668">
        <v>1.5</v>
      </c>
      <c r="B284" s="1671">
        <v>1</v>
      </c>
      <c r="C284" s="1671">
        <v>1</v>
      </c>
      <c r="D284" s="1671">
        <v>1</v>
      </c>
      <c r="E284" s="1671">
        <v>1</v>
      </c>
      <c r="F284" s="1671">
        <v>1</v>
      </c>
      <c r="G284" s="1671">
        <v>0.92379999999999995</v>
      </c>
      <c r="H284" s="1671">
        <v>0.92379999999999995</v>
      </c>
      <c r="I284" s="1671">
        <v>0.8589</v>
      </c>
      <c r="J284" s="1671">
        <v>0.8589</v>
      </c>
      <c r="K284" s="1671">
        <v>0.8589</v>
      </c>
      <c r="L284" s="1671">
        <v>0.8589</v>
      </c>
      <c r="M284" s="1671">
        <v>0.8589</v>
      </c>
    </row>
    <row r="285" spans="1:13">
      <c r="A285" s="1668">
        <v>1.6</v>
      </c>
      <c r="B285" s="1671">
        <v>0.98229999999999995</v>
      </c>
      <c r="C285" s="1671">
        <v>0.98229999999999995</v>
      </c>
      <c r="D285" s="1671">
        <v>0.97950000000000004</v>
      </c>
      <c r="E285" s="1671">
        <v>0.97950000000000004</v>
      </c>
      <c r="F285" s="1671">
        <v>0.97950000000000004</v>
      </c>
      <c r="G285" s="1671">
        <v>0.9012</v>
      </c>
      <c r="H285" s="1671">
        <v>0.9012</v>
      </c>
      <c r="I285" s="1671">
        <v>0.83509999999999995</v>
      </c>
      <c r="J285" s="1671">
        <v>0.83509999999999995</v>
      </c>
      <c r="K285" s="1671">
        <v>0.83509999999999995</v>
      </c>
      <c r="L285" s="1671">
        <v>0.83509999999999995</v>
      </c>
      <c r="M285" s="1671">
        <v>0.83509999999999995</v>
      </c>
    </row>
    <row r="286" spans="1:13">
      <c r="A286" s="1668">
        <v>1.7</v>
      </c>
      <c r="B286" s="1671">
        <v>0.96550000000000002</v>
      </c>
      <c r="C286" s="1671">
        <v>0.96550000000000002</v>
      </c>
      <c r="D286" s="1671">
        <v>0.96009999999999995</v>
      </c>
      <c r="E286" s="1671">
        <v>0.96009999999999995</v>
      </c>
      <c r="F286" s="1671">
        <v>0.96009999999999995</v>
      </c>
      <c r="G286" s="1671">
        <v>0.87980000000000003</v>
      </c>
      <c r="H286" s="1671">
        <v>0.87980000000000003</v>
      </c>
      <c r="I286" s="1671">
        <v>0.81269999999999998</v>
      </c>
      <c r="J286" s="1671">
        <v>0.81269999999999998</v>
      </c>
      <c r="K286" s="1671">
        <v>0.81269999999999998</v>
      </c>
      <c r="L286" s="1671">
        <v>0.81269999999999998</v>
      </c>
      <c r="M286" s="1671">
        <v>0.81269999999999998</v>
      </c>
    </row>
    <row r="287" spans="1:13">
      <c r="A287" s="1668">
        <v>1.8</v>
      </c>
      <c r="B287" s="1671">
        <v>0.94969999999999999</v>
      </c>
      <c r="C287" s="1671">
        <v>0.94969999999999999</v>
      </c>
      <c r="D287" s="1671">
        <v>0.94189999999999996</v>
      </c>
      <c r="E287" s="1671">
        <v>0.94189999999999996</v>
      </c>
      <c r="F287" s="1671">
        <v>0.94189999999999996</v>
      </c>
      <c r="G287" s="1671">
        <v>0.85960000000000003</v>
      </c>
      <c r="H287" s="1671">
        <v>0.85960000000000003</v>
      </c>
      <c r="I287" s="1671">
        <v>0.79149999999999998</v>
      </c>
      <c r="J287" s="1671">
        <v>0.79149999999999998</v>
      </c>
      <c r="K287" s="1671">
        <v>0.79149999999999998</v>
      </c>
      <c r="L287" s="1671">
        <v>0.79149999999999998</v>
      </c>
      <c r="M287" s="1671">
        <v>0.79149999999999998</v>
      </c>
    </row>
    <row r="288" spans="1:13">
      <c r="A288" s="1668">
        <v>1.9</v>
      </c>
      <c r="B288" s="1671">
        <v>0.93479999999999996</v>
      </c>
      <c r="C288" s="1671">
        <v>0.93479999999999996</v>
      </c>
      <c r="D288" s="1671">
        <v>0.92459999999999998</v>
      </c>
      <c r="E288" s="1671">
        <v>0.92459999999999998</v>
      </c>
      <c r="F288" s="1671">
        <v>0.92459999999999998</v>
      </c>
      <c r="G288" s="1671">
        <v>0.84060000000000001</v>
      </c>
      <c r="H288" s="1671">
        <v>0.84060000000000001</v>
      </c>
      <c r="I288" s="1671">
        <v>0.77149999999999996</v>
      </c>
      <c r="J288" s="1671">
        <v>0.77149999999999996</v>
      </c>
      <c r="K288" s="1671">
        <v>0.77149999999999996</v>
      </c>
      <c r="L288" s="1671">
        <v>0.77149999999999996</v>
      </c>
      <c r="M288" s="1671">
        <v>0.77149999999999996</v>
      </c>
    </row>
    <row r="289" spans="1:13">
      <c r="A289" s="1668">
        <v>2</v>
      </c>
      <c r="B289" s="1671">
        <v>0.92079999999999995</v>
      </c>
      <c r="C289" s="1671">
        <v>0.92079999999999995</v>
      </c>
      <c r="D289" s="1671">
        <v>0.90839999999999999</v>
      </c>
      <c r="E289" s="1671">
        <v>0.90839999999999999</v>
      </c>
      <c r="F289" s="1671">
        <v>0.90839999999999999</v>
      </c>
      <c r="G289" s="1671">
        <v>0.82269999999999999</v>
      </c>
      <c r="H289" s="1671">
        <v>0.82269999999999999</v>
      </c>
      <c r="I289" s="1671">
        <v>0.75270000000000004</v>
      </c>
      <c r="J289" s="1671">
        <v>0.75270000000000004</v>
      </c>
      <c r="K289" s="1671">
        <v>0.75270000000000004</v>
      </c>
      <c r="L289" s="1671">
        <v>0.75270000000000004</v>
      </c>
      <c r="M289" s="1671">
        <v>0.75270000000000004</v>
      </c>
    </row>
    <row r="290" spans="1:13">
      <c r="A290" s="1668">
        <v>2.1</v>
      </c>
      <c r="B290" s="1671">
        <v>0.90759999999999996</v>
      </c>
      <c r="C290" s="1671">
        <v>0.90759999999999996</v>
      </c>
      <c r="D290" s="1671">
        <v>0.89319999999999999</v>
      </c>
      <c r="E290" s="1671">
        <v>0.89319999999999999</v>
      </c>
      <c r="F290" s="1671">
        <v>0.89319999999999999</v>
      </c>
      <c r="G290" s="1671">
        <v>0.80589999999999995</v>
      </c>
      <c r="H290" s="1671">
        <v>0.80589999999999995</v>
      </c>
      <c r="I290" s="1671">
        <v>0.73499999999999999</v>
      </c>
      <c r="J290" s="1671">
        <v>0.73499999999999999</v>
      </c>
      <c r="K290" s="1671">
        <v>0.73499999999999999</v>
      </c>
      <c r="L290" s="1671">
        <v>0.73499999999999999</v>
      </c>
      <c r="M290" s="1671">
        <v>0.73499999999999999</v>
      </c>
    </row>
    <row r="291" spans="1:13">
      <c r="A291" s="1668">
        <v>2.2000000000000002</v>
      </c>
      <c r="B291" s="1671">
        <v>0.8952</v>
      </c>
      <c r="C291" s="1671">
        <v>0.8952</v>
      </c>
      <c r="D291" s="1671">
        <v>0.87880000000000003</v>
      </c>
      <c r="E291" s="1671">
        <v>0.87880000000000003</v>
      </c>
      <c r="F291" s="1671">
        <v>0.87880000000000003</v>
      </c>
      <c r="G291" s="1671">
        <v>0.79</v>
      </c>
      <c r="H291" s="1671">
        <v>0.79</v>
      </c>
      <c r="I291" s="1671">
        <v>0.71840000000000004</v>
      </c>
      <c r="J291" s="1671">
        <v>0.71840000000000004</v>
      </c>
      <c r="K291" s="1671">
        <v>0.71840000000000004</v>
      </c>
      <c r="L291" s="1671">
        <v>0.71840000000000004</v>
      </c>
      <c r="M291" s="1671">
        <v>0.71840000000000004</v>
      </c>
    </row>
    <row r="292" spans="1:13">
      <c r="A292" s="1668">
        <v>2.2999999999999998</v>
      </c>
      <c r="B292" s="1671">
        <v>0.88360000000000005</v>
      </c>
      <c r="C292" s="1671">
        <v>0.88360000000000005</v>
      </c>
      <c r="D292" s="1671">
        <v>0.86529999999999996</v>
      </c>
      <c r="E292" s="1671">
        <v>0.86529999999999996</v>
      </c>
      <c r="F292" s="1671">
        <v>0.86529999999999996</v>
      </c>
      <c r="G292" s="1671">
        <v>0.77510000000000001</v>
      </c>
      <c r="H292" s="1671">
        <v>0.77510000000000001</v>
      </c>
      <c r="I292" s="1671">
        <v>0.70269999999999999</v>
      </c>
      <c r="J292" s="1671">
        <v>0.70269999999999999</v>
      </c>
      <c r="K292" s="1671">
        <v>0.70269999999999999</v>
      </c>
      <c r="L292" s="1671">
        <v>0.70269999999999999</v>
      </c>
      <c r="M292" s="1671">
        <v>0.70269999999999999</v>
      </c>
    </row>
    <row r="293" spans="1:13">
      <c r="A293" s="1668">
        <v>2.4</v>
      </c>
      <c r="B293" s="1671">
        <v>0.87260000000000004</v>
      </c>
      <c r="C293" s="1671">
        <v>0.87260000000000004</v>
      </c>
      <c r="D293" s="1671">
        <v>0.85260000000000002</v>
      </c>
      <c r="E293" s="1671">
        <v>0.85260000000000002</v>
      </c>
      <c r="F293" s="1671">
        <v>0.85260000000000002</v>
      </c>
      <c r="G293" s="1671">
        <v>0.76100000000000001</v>
      </c>
      <c r="H293" s="1671">
        <v>0.76100000000000001</v>
      </c>
      <c r="I293" s="1671">
        <v>0.68799999999999994</v>
      </c>
      <c r="J293" s="1671">
        <v>0.68799999999999994</v>
      </c>
      <c r="K293" s="1671">
        <v>0.68799999999999994</v>
      </c>
      <c r="L293" s="1671">
        <v>0.68799999999999994</v>
      </c>
      <c r="M293" s="1671">
        <v>0.68799999999999994</v>
      </c>
    </row>
    <row r="294" spans="1:13">
      <c r="A294" s="1668">
        <v>2.5</v>
      </c>
      <c r="B294" s="1671">
        <v>0.86229999999999996</v>
      </c>
      <c r="C294" s="1671">
        <v>0.86229999999999996</v>
      </c>
      <c r="D294" s="1671">
        <v>0.8407</v>
      </c>
      <c r="E294" s="1671">
        <v>0.8407</v>
      </c>
      <c r="F294" s="1671">
        <v>0.8407</v>
      </c>
      <c r="G294" s="1671">
        <v>0.74780000000000002</v>
      </c>
      <c r="H294" s="1671">
        <v>0.74780000000000002</v>
      </c>
      <c r="I294" s="1671">
        <v>0.67410000000000003</v>
      </c>
      <c r="J294" s="1671">
        <v>0.67410000000000003</v>
      </c>
      <c r="K294" s="1671">
        <v>0.67410000000000003</v>
      </c>
      <c r="L294" s="1671">
        <v>0.67410000000000003</v>
      </c>
      <c r="M294" s="1671">
        <v>0.67410000000000003</v>
      </c>
    </row>
    <row r="295" spans="1:13">
      <c r="A295" s="1668">
        <v>2.6</v>
      </c>
      <c r="B295" s="1671">
        <v>0.85270000000000001</v>
      </c>
      <c r="C295" s="1671">
        <v>0.85270000000000001</v>
      </c>
      <c r="D295" s="1671">
        <v>0.82950000000000002</v>
      </c>
      <c r="E295" s="1671">
        <v>0.82950000000000002</v>
      </c>
      <c r="F295" s="1671">
        <v>0.82950000000000002</v>
      </c>
      <c r="G295" s="1671">
        <v>0.73540000000000005</v>
      </c>
      <c r="H295" s="1671">
        <v>0.73540000000000005</v>
      </c>
      <c r="I295" s="1671">
        <v>0.66110000000000002</v>
      </c>
      <c r="J295" s="1671">
        <v>0.66110000000000002</v>
      </c>
      <c r="K295" s="1671">
        <v>0.66110000000000002</v>
      </c>
      <c r="L295" s="1671">
        <v>0.66110000000000002</v>
      </c>
      <c r="M295" s="1671">
        <v>0.66110000000000002</v>
      </c>
    </row>
    <row r="296" spans="1:13">
      <c r="A296" s="1672">
        <v>2.7</v>
      </c>
      <c r="B296" s="1671">
        <v>0.84360000000000002</v>
      </c>
      <c r="C296" s="1671">
        <v>0.84360000000000002</v>
      </c>
      <c r="D296" s="1671">
        <v>0.81899999999999995</v>
      </c>
      <c r="E296" s="1671">
        <v>0.81899999999999995</v>
      </c>
      <c r="F296" s="1671">
        <v>0.81899999999999995</v>
      </c>
      <c r="G296" s="1671">
        <v>0.7238</v>
      </c>
      <c r="H296" s="1671">
        <v>0.7238</v>
      </c>
      <c r="I296" s="1671">
        <v>0.64880000000000004</v>
      </c>
      <c r="J296" s="1671">
        <v>0.64880000000000004</v>
      </c>
      <c r="K296" s="1671">
        <v>0.64880000000000004</v>
      </c>
      <c r="L296" s="1671">
        <v>0.64880000000000004</v>
      </c>
      <c r="M296" s="1671">
        <v>0.64880000000000004</v>
      </c>
    </row>
    <row r="297" spans="1:13">
      <c r="A297" s="1672">
        <v>2.8</v>
      </c>
      <c r="B297" s="1671">
        <v>0.83509999999999995</v>
      </c>
      <c r="C297" s="1671">
        <v>0.83509999999999995</v>
      </c>
      <c r="D297" s="1671">
        <v>0.80910000000000004</v>
      </c>
      <c r="E297" s="1671">
        <v>0.80910000000000004</v>
      </c>
      <c r="F297" s="1671">
        <v>0.80910000000000004</v>
      </c>
      <c r="G297" s="1671">
        <v>0.71289999999999998</v>
      </c>
      <c r="H297" s="1671">
        <v>0.71289999999999998</v>
      </c>
      <c r="I297" s="1671">
        <v>0.63739999999999997</v>
      </c>
      <c r="J297" s="1671">
        <v>0.63739999999999997</v>
      </c>
      <c r="K297" s="1671">
        <v>0.63739999999999997</v>
      </c>
      <c r="L297" s="1671">
        <v>0.63739999999999997</v>
      </c>
      <c r="M297" s="1671">
        <v>0.63739999999999997</v>
      </c>
    </row>
    <row r="298" spans="1:13">
      <c r="A298" s="1672">
        <v>2.9</v>
      </c>
      <c r="B298" s="1671">
        <v>0.82720000000000005</v>
      </c>
      <c r="C298" s="1671">
        <v>0.82720000000000005</v>
      </c>
      <c r="D298" s="1671">
        <v>0.79990000000000006</v>
      </c>
      <c r="E298" s="1671">
        <v>0.79990000000000006</v>
      </c>
      <c r="F298" s="1671">
        <v>0.79990000000000006</v>
      </c>
      <c r="G298" s="1671">
        <v>0.7026</v>
      </c>
      <c r="H298" s="1671">
        <v>0.7026</v>
      </c>
      <c r="I298" s="1671">
        <v>0.62660000000000005</v>
      </c>
      <c r="J298" s="1671">
        <v>0.62660000000000005</v>
      </c>
      <c r="K298" s="1671">
        <v>0.62660000000000005</v>
      </c>
      <c r="L298" s="1671">
        <v>0.62660000000000005</v>
      </c>
      <c r="M298" s="1671">
        <v>0.62660000000000005</v>
      </c>
    </row>
    <row r="299" spans="1:13">
      <c r="A299" s="1672">
        <v>3</v>
      </c>
      <c r="B299" s="1671">
        <v>0.81969999999999998</v>
      </c>
      <c r="C299" s="1671">
        <v>0.81969999999999998</v>
      </c>
      <c r="D299" s="1671">
        <v>0.79120000000000001</v>
      </c>
      <c r="E299" s="1671">
        <v>0.79120000000000001</v>
      </c>
      <c r="F299" s="1671">
        <v>0.79120000000000001</v>
      </c>
      <c r="G299" s="1671">
        <v>0.69299999999999995</v>
      </c>
      <c r="H299" s="1671">
        <v>0.69299999999999995</v>
      </c>
      <c r="I299" s="1671">
        <v>0.61650000000000005</v>
      </c>
      <c r="J299" s="1671">
        <v>0.61650000000000005</v>
      </c>
      <c r="K299" s="1671">
        <v>0.61650000000000005</v>
      </c>
      <c r="L299" s="1671">
        <v>0.61650000000000005</v>
      </c>
      <c r="M299" s="1671">
        <v>0.61650000000000005</v>
      </c>
    </row>
    <row r="300" spans="1:13">
      <c r="A300" s="1672">
        <v>3.1</v>
      </c>
      <c r="B300" s="1671">
        <v>0.81279999999999997</v>
      </c>
      <c r="C300" s="1671">
        <v>0.81279999999999997</v>
      </c>
      <c r="D300" s="1671">
        <v>0.78310000000000002</v>
      </c>
      <c r="E300" s="1671">
        <v>0.78310000000000002</v>
      </c>
      <c r="F300" s="1671">
        <v>0.78310000000000002</v>
      </c>
      <c r="G300" s="1671">
        <v>0.68400000000000005</v>
      </c>
      <c r="H300" s="1671">
        <v>0.68400000000000005</v>
      </c>
      <c r="I300" s="1671">
        <v>0.60709999999999997</v>
      </c>
      <c r="J300" s="1671">
        <v>0.60709999999999997</v>
      </c>
      <c r="K300" s="1671">
        <v>0.60709999999999997</v>
      </c>
      <c r="L300" s="1671">
        <v>0.60709999999999997</v>
      </c>
      <c r="M300" s="1671">
        <v>0.60709999999999997</v>
      </c>
    </row>
    <row r="301" spans="1:13">
      <c r="A301" s="1672">
        <v>3.2</v>
      </c>
      <c r="B301" s="1671">
        <v>0.80620000000000003</v>
      </c>
      <c r="C301" s="1671">
        <v>0.80620000000000003</v>
      </c>
      <c r="D301" s="1671">
        <v>0.77549999999999997</v>
      </c>
      <c r="E301" s="1671">
        <v>0.77549999999999997</v>
      </c>
      <c r="F301" s="1671">
        <v>0.77549999999999997</v>
      </c>
      <c r="G301" s="1671">
        <v>0.67559999999999998</v>
      </c>
      <c r="H301" s="1671">
        <v>0.67559999999999998</v>
      </c>
      <c r="I301" s="1671">
        <v>0.59809999999999997</v>
      </c>
      <c r="J301" s="1671">
        <v>0.59809999999999997</v>
      </c>
      <c r="K301" s="1671">
        <v>0.59809999999999997</v>
      </c>
      <c r="L301" s="1671">
        <v>0.59809999999999997</v>
      </c>
      <c r="M301" s="1671">
        <v>0.59809999999999997</v>
      </c>
    </row>
    <row r="302" spans="1:13">
      <c r="A302" s="1672">
        <v>3.3</v>
      </c>
      <c r="B302" s="1671">
        <v>0.80010000000000003</v>
      </c>
      <c r="C302" s="1671">
        <v>0.80010000000000003</v>
      </c>
      <c r="D302" s="1671">
        <v>0.76839999999999997</v>
      </c>
      <c r="E302" s="1671">
        <v>0.76839999999999997</v>
      </c>
      <c r="F302" s="1671">
        <v>0.76839999999999997</v>
      </c>
      <c r="G302" s="1671">
        <v>0.66769999999999996</v>
      </c>
      <c r="H302" s="1671">
        <v>0.66769999999999996</v>
      </c>
      <c r="I302" s="1671">
        <v>0.58979999999999999</v>
      </c>
      <c r="J302" s="1671">
        <v>0.58979999999999999</v>
      </c>
      <c r="K302" s="1671">
        <v>0.58979999999999999</v>
      </c>
      <c r="L302" s="1671">
        <v>0.58979999999999999</v>
      </c>
      <c r="M302" s="1671">
        <v>0.58979999999999999</v>
      </c>
    </row>
    <row r="303" spans="1:13">
      <c r="A303" s="1672">
        <v>3.4</v>
      </c>
      <c r="B303" s="1671">
        <v>0.7944</v>
      </c>
      <c r="C303" s="1671">
        <v>0.7944</v>
      </c>
      <c r="D303" s="1671">
        <v>0.76170000000000004</v>
      </c>
      <c r="E303" s="1671">
        <v>0.76170000000000004</v>
      </c>
      <c r="F303" s="1671">
        <v>0.76170000000000004</v>
      </c>
      <c r="G303" s="1671">
        <v>0.66020000000000001</v>
      </c>
      <c r="H303" s="1671">
        <v>0.66020000000000001</v>
      </c>
      <c r="I303" s="1671">
        <v>0.58209999999999995</v>
      </c>
      <c r="J303" s="1671">
        <v>0.58209999999999995</v>
      </c>
      <c r="K303" s="1671">
        <v>0.58209999999999995</v>
      </c>
      <c r="L303" s="1671">
        <v>0.58209999999999995</v>
      </c>
      <c r="M303" s="1671">
        <v>0.58209999999999995</v>
      </c>
    </row>
    <row r="304" spans="1:13">
      <c r="A304" s="1672">
        <v>3.5</v>
      </c>
      <c r="B304" s="1671">
        <v>0.78910000000000002</v>
      </c>
      <c r="C304" s="1671">
        <v>0.78910000000000002</v>
      </c>
      <c r="D304" s="1671">
        <v>0.75549999999999995</v>
      </c>
      <c r="E304" s="1671">
        <v>0.75549999999999995</v>
      </c>
      <c r="F304" s="1671">
        <v>0.75549999999999995</v>
      </c>
      <c r="G304" s="1671">
        <v>0.65329999999999999</v>
      </c>
      <c r="H304" s="1671">
        <v>0.65329999999999999</v>
      </c>
      <c r="I304" s="1671">
        <v>0.57479999999999998</v>
      </c>
      <c r="J304" s="1671">
        <v>0.57479999999999998</v>
      </c>
      <c r="K304" s="1671">
        <v>0.57479999999999998</v>
      </c>
      <c r="L304" s="1671">
        <v>0.57479999999999998</v>
      </c>
      <c r="M304" s="1671">
        <v>0.57479999999999998</v>
      </c>
    </row>
    <row r="305" spans="1:13">
      <c r="A305" s="1672">
        <v>3.6</v>
      </c>
      <c r="B305" s="1671">
        <v>0.78410000000000002</v>
      </c>
      <c r="C305" s="1671">
        <v>0.78410000000000002</v>
      </c>
      <c r="D305" s="1671">
        <v>0.74960000000000004</v>
      </c>
      <c r="E305" s="1671">
        <v>0.74960000000000004</v>
      </c>
      <c r="F305" s="1671">
        <v>0.74960000000000004</v>
      </c>
      <c r="G305" s="1671">
        <v>0.64680000000000004</v>
      </c>
      <c r="H305" s="1671">
        <v>0.64680000000000004</v>
      </c>
      <c r="I305" s="1671">
        <v>0.56789999999999996</v>
      </c>
      <c r="J305" s="1671">
        <v>0.56789999999999996</v>
      </c>
      <c r="K305" s="1671">
        <v>0.56789999999999996</v>
      </c>
      <c r="L305" s="1671">
        <v>0.56789999999999996</v>
      </c>
      <c r="M305" s="1671">
        <v>0.56789999999999996</v>
      </c>
    </row>
    <row r="306" spans="1:13">
      <c r="A306" s="1672">
        <v>3.7</v>
      </c>
      <c r="B306" s="1671">
        <v>0.77939999999999998</v>
      </c>
      <c r="C306" s="1671">
        <v>0.77939999999999998</v>
      </c>
      <c r="D306" s="1671">
        <v>0.74409999999999998</v>
      </c>
      <c r="E306" s="1671">
        <v>0.74409999999999998</v>
      </c>
      <c r="F306" s="1671">
        <v>0.74409999999999998</v>
      </c>
      <c r="G306" s="1671">
        <v>0.64070000000000005</v>
      </c>
      <c r="H306" s="1671">
        <v>0.64070000000000005</v>
      </c>
      <c r="I306" s="1671">
        <v>0.5615</v>
      </c>
      <c r="J306" s="1671">
        <v>0.5615</v>
      </c>
      <c r="K306" s="1671">
        <v>0.5615</v>
      </c>
      <c r="L306" s="1671">
        <v>0.5615</v>
      </c>
      <c r="M306" s="1671">
        <v>0.5615</v>
      </c>
    </row>
    <row r="307" spans="1:13">
      <c r="A307" s="1672">
        <v>3.8</v>
      </c>
      <c r="B307" s="1671">
        <v>0.77500000000000002</v>
      </c>
      <c r="C307" s="1671">
        <v>0.77500000000000002</v>
      </c>
      <c r="D307" s="1671">
        <v>0.73899999999999999</v>
      </c>
      <c r="E307" s="1671">
        <v>0.73899999999999999</v>
      </c>
      <c r="F307" s="1671">
        <v>0.73899999999999999</v>
      </c>
      <c r="G307" s="1671">
        <v>0.63490000000000002</v>
      </c>
      <c r="H307" s="1671">
        <v>0.63490000000000002</v>
      </c>
      <c r="I307" s="1671">
        <v>0.55549999999999999</v>
      </c>
      <c r="J307" s="1671">
        <v>0.55549999999999999</v>
      </c>
      <c r="K307" s="1671">
        <v>0.55549999999999999</v>
      </c>
      <c r="L307" s="1671">
        <v>0.55549999999999999</v>
      </c>
      <c r="M307" s="1671">
        <v>0.55549999999999999</v>
      </c>
    </row>
    <row r="308" spans="1:13">
      <c r="A308" s="1668">
        <v>3.9</v>
      </c>
      <c r="B308" s="1669">
        <v>0.77090000000000003</v>
      </c>
      <c r="C308" s="1669">
        <v>0.77090000000000003</v>
      </c>
      <c r="D308" s="1669">
        <v>0.73419999999999996</v>
      </c>
      <c r="E308" s="1669">
        <v>0.73419999999999996</v>
      </c>
      <c r="F308" s="1669">
        <v>0.73419999999999996</v>
      </c>
      <c r="G308" s="1669">
        <v>0.62949999999999995</v>
      </c>
      <c r="H308" s="1670">
        <v>0.62949999999999995</v>
      </c>
      <c r="I308" s="1670">
        <v>0.54990000000000006</v>
      </c>
      <c r="J308" s="1673">
        <v>0.54990000000000006</v>
      </c>
      <c r="K308" s="1673">
        <v>0.54990000000000006</v>
      </c>
      <c r="L308" s="1673">
        <v>0.54990000000000006</v>
      </c>
      <c r="M308" s="1673">
        <v>0.54990000000000006</v>
      </c>
    </row>
    <row r="309" spans="1:13">
      <c r="A309" s="1668">
        <v>4</v>
      </c>
      <c r="B309" s="1671">
        <v>0.7671</v>
      </c>
      <c r="C309" s="1671">
        <v>0.7671</v>
      </c>
      <c r="D309" s="1671">
        <v>0.72970000000000002</v>
      </c>
      <c r="E309" s="1671">
        <v>0.72970000000000002</v>
      </c>
      <c r="F309" s="1671">
        <v>0.72970000000000002</v>
      </c>
      <c r="G309" s="1671">
        <v>0.62450000000000006</v>
      </c>
      <c r="H309" s="1671">
        <v>0.62450000000000006</v>
      </c>
      <c r="I309" s="1671">
        <v>0.54449999999999998</v>
      </c>
      <c r="J309" s="1671">
        <v>0.54449999999999998</v>
      </c>
      <c r="K309" s="1671">
        <v>0.54449999999999998</v>
      </c>
      <c r="L309" s="1671">
        <v>0.54449999999999998</v>
      </c>
      <c r="M309" s="1671">
        <v>0.54449999999999998</v>
      </c>
    </row>
    <row r="310" spans="1:13">
      <c r="A310" s="1668">
        <v>4.0999999999999996</v>
      </c>
      <c r="B310" s="1671">
        <v>0.76349999999999996</v>
      </c>
      <c r="C310" s="1671">
        <v>0.76349999999999996</v>
      </c>
      <c r="D310" s="1671">
        <v>0.72540000000000004</v>
      </c>
      <c r="E310" s="1671">
        <v>0.72540000000000004</v>
      </c>
      <c r="F310" s="1671">
        <v>0.72540000000000004</v>
      </c>
      <c r="G310" s="1671">
        <v>0.61970000000000003</v>
      </c>
      <c r="H310" s="1671">
        <v>0.61970000000000003</v>
      </c>
      <c r="I310" s="1671">
        <v>0.53959999999999997</v>
      </c>
      <c r="J310" s="1671">
        <v>0.53959999999999997</v>
      </c>
      <c r="K310" s="1671">
        <v>0.53959999999999997</v>
      </c>
      <c r="L310" s="1671">
        <v>0.53959999999999997</v>
      </c>
      <c r="M310" s="1671">
        <v>0.53959999999999997</v>
      </c>
    </row>
    <row r="311" spans="1:13">
      <c r="A311" s="1668">
        <v>4.2</v>
      </c>
      <c r="B311" s="1671">
        <v>0.7601</v>
      </c>
      <c r="C311" s="1671">
        <v>0.7601</v>
      </c>
      <c r="D311" s="1671">
        <v>0.72140000000000004</v>
      </c>
      <c r="E311" s="1671">
        <v>0.72140000000000004</v>
      </c>
      <c r="F311" s="1671">
        <v>0.72140000000000004</v>
      </c>
      <c r="G311" s="1671">
        <v>0.61529999999999996</v>
      </c>
      <c r="H311" s="1671">
        <v>0.61529999999999996</v>
      </c>
      <c r="I311" s="1671">
        <v>0.53490000000000004</v>
      </c>
      <c r="J311" s="1671">
        <v>0.53490000000000004</v>
      </c>
      <c r="K311" s="1671">
        <v>0.53490000000000004</v>
      </c>
      <c r="L311" s="1671">
        <v>0.53490000000000004</v>
      </c>
      <c r="M311" s="1671">
        <v>0.53490000000000004</v>
      </c>
    </row>
    <row r="312" spans="1:13">
      <c r="A312" s="1668">
        <v>4.3</v>
      </c>
      <c r="B312" s="1671">
        <v>0.75700000000000001</v>
      </c>
      <c r="C312" s="1671">
        <v>0.75700000000000001</v>
      </c>
      <c r="D312" s="1671">
        <v>0.7177</v>
      </c>
      <c r="E312" s="1671">
        <v>0.7177</v>
      </c>
      <c r="F312" s="1671">
        <v>0.7177</v>
      </c>
      <c r="G312" s="1671">
        <v>0.61109999999999998</v>
      </c>
      <c r="H312" s="1671">
        <v>0.61109999999999998</v>
      </c>
      <c r="I312" s="1671">
        <v>0.53049999999999997</v>
      </c>
      <c r="J312" s="1671">
        <v>0.53049999999999997</v>
      </c>
      <c r="K312" s="1671">
        <v>0.53049999999999997</v>
      </c>
      <c r="L312" s="1671">
        <v>0.53049999999999997</v>
      </c>
      <c r="M312" s="1671">
        <v>0.53049999999999997</v>
      </c>
    </row>
    <row r="313" spans="1:13">
      <c r="A313" s="1668">
        <v>4.4000000000000004</v>
      </c>
      <c r="B313" s="1671">
        <v>0.754</v>
      </c>
      <c r="C313" s="1671">
        <v>0.754</v>
      </c>
      <c r="D313" s="1671">
        <v>0.71409999999999996</v>
      </c>
      <c r="E313" s="1671">
        <v>0.71409999999999996</v>
      </c>
      <c r="F313" s="1671">
        <v>0.71409999999999996</v>
      </c>
      <c r="G313" s="1671">
        <v>0.60709999999999997</v>
      </c>
      <c r="H313" s="1671">
        <v>0.60709999999999997</v>
      </c>
      <c r="I313" s="1671">
        <v>0.52639999999999998</v>
      </c>
      <c r="J313" s="1671">
        <v>0.52639999999999998</v>
      </c>
      <c r="K313" s="1671">
        <v>0.52639999999999998</v>
      </c>
      <c r="L313" s="1671">
        <v>0.52639999999999998</v>
      </c>
      <c r="M313" s="1671">
        <v>0.52639999999999998</v>
      </c>
    </row>
    <row r="314" spans="1:13">
      <c r="A314" s="1668">
        <v>4.5</v>
      </c>
      <c r="B314" s="1671">
        <v>0.75119999999999998</v>
      </c>
      <c r="C314" s="1671">
        <v>0.75119999999999998</v>
      </c>
      <c r="D314" s="1671">
        <v>0.71079999999999999</v>
      </c>
      <c r="E314" s="1671">
        <v>0.71079999999999999</v>
      </c>
      <c r="F314" s="1671">
        <v>0.71079999999999999</v>
      </c>
      <c r="G314" s="1671">
        <v>0.60329999999999995</v>
      </c>
      <c r="H314" s="1671">
        <v>0.60329999999999995</v>
      </c>
      <c r="I314" s="1671">
        <v>0.52249999999999996</v>
      </c>
      <c r="J314" s="1671">
        <v>0.52249999999999996</v>
      </c>
      <c r="K314" s="1671">
        <v>0.52249999999999996</v>
      </c>
      <c r="L314" s="1671">
        <v>0.52249999999999996</v>
      </c>
      <c r="M314" s="1671">
        <v>0.52249999999999996</v>
      </c>
    </row>
    <row r="315" spans="1:13">
      <c r="A315" s="1668">
        <v>4.5999999999999996</v>
      </c>
      <c r="B315" s="1671">
        <v>0.74860000000000004</v>
      </c>
      <c r="C315" s="1671">
        <v>0.74860000000000004</v>
      </c>
      <c r="D315" s="1671">
        <v>0.70760000000000001</v>
      </c>
      <c r="E315" s="1671">
        <v>0.70760000000000001</v>
      </c>
      <c r="F315" s="1671">
        <v>0.70760000000000001</v>
      </c>
      <c r="G315" s="1671">
        <v>0.59970000000000001</v>
      </c>
      <c r="H315" s="1671">
        <v>0.59970000000000001</v>
      </c>
      <c r="I315" s="1671">
        <v>0.51890000000000003</v>
      </c>
      <c r="J315" s="1671">
        <v>0.51890000000000003</v>
      </c>
      <c r="K315" s="1671">
        <v>0.51890000000000003</v>
      </c>
      <c r="L315" s="1671">
        <v>0.51890000000000003</v>
      </c>
      <c r="M315" s="1671">
        <v>0.51890000000000003</v>
      </c>
    </row>
    <row r="316" spans="1:13">
      <c r="A316" s="1668">
        <v>4.7</v>
      </c>
      <c r="B316" s="1671">
        <v>0.74609999999999999</v>
      </c>
      <c r="C316" s="1671">
        <v>0.74609999999999999</v>
      </c>
      <c r="D316" s="1671">
        <v>0.7046</v>
      </c>
      <c r="E316" s="1671">
        <v>0.7046</v>
      </c>
      <c r="F316" s="1671">
        <v>0.7046</v>
      </c>
      <c r="G316" s="1671">
        <v>0.59630000000000005</v>
      </c>
      <c r="H316" s="1671">
        <v>0.59630000000000005</v>
      </c>
      <c r="I316" s="1671">
        <v>0.51529999999999998</v>
      </c>
      <c r="J316" s="1671">
        <v>0.51529999999999998</v>
      </c>
      <c r="K316" s="1671">
        <v>0.51529999999999998</v>
      </c>
      <c r="L316" s="1671">
        <v>0.51529999999999998</v>
      </c>
      <c r="M316" s="1671">
        <v>0.51529999999999998</v>
      </c>
    </row>
    <row r="317" spans="1:13">
      <c r="A317" s="1668">
        <v>4.8</v>
      </c>
      <c r="B317" s="1671">
        <v>0.74380000000000002</v>
      </c>
      <c r="C317" s="1671">
        <v>0.74380000000000002</v>
      </c>
      <c r="D317" s="1671">
        <v>0.70169999999999999</v>
      </c>
      <c r="E317" s="1671">
        <v>0.70169999999999999</v>
      </c>
      <c r="F317" s="1671">
        <v>0.70169999999999999</v>
      </c>
      <c r="G317" s="1671">
        <v>0.59309999999999996</v>
      </c>
      <c r="H317" s="1671">
        <v>0.59309999999999996</v>
      </c>
      <c r="I317" s="1671">
        <v>0.5121</v>
      </c>
      <c r="J317" s="1671">
        <v>0.5121</v>
      </c>
      <c r="K317" s="1671">
        <v>0.5121</v>
      </c>
      <c r="L317" s="1671">
        <v>0.5121</v>
      </c>
      <c r="M317" s="1671">
        <v>0.5121</v>
      </c>
    </row>
    <row r="318" spans="1:13">
      <c r="A318" s="1668">
        <v>4.9000000000000004</v>
      </c>
      <c r="B318" s="1671">
        <v>0.74160000000000004</v>
      </c>
      <c r="C318" s="1671">
        <v>0.74160000000000004</v>
      </c>
      <c r="D318" s="1671">
        <v>0.69889999999999997</v>
      </c>
      <c r="E318" s="1671">
        <v>0.69889999999999997</v>
      </c>
      <c r="F318" s="1671">
        <v>0.69889999999999997</v>
      </c>
      <c r="G318" s="1671">
        <v>0.59009999999999996</v>
      </c>
      <c r="H318" s="1671">
        <v>0.59009999999999996</v>
      </c>
      <c r="I318" s="1671">
        <v>0.50900000000000001</v>
      </c>
      <c r="J318" s="1671">
        <v>0.50900000000000001</v>
      </c>
      <c r="K318" s="1671">
        <v>0.50900000000000001</v>
      </c>
      <c r="L318" s="1671">
        <v>0.50900000000000001</v>
      </c>
      <c r="M318" s="1671">
        <v>0.50900000000000001</v>
      </c>
    </row>
    <row r="319" spans="1:13">
      <c r="A319" s="1668">
        <v>5</v>
      </c>
      <c r="B319" s="1671">
        <v>0.73950000000000005</v>
      </c>
      <c r="C319" s="1671">
        <v>0.73950000000000005</v>
      </c>
      <c r="D319" s="1671">
        <v>0.69620000000000004</v>
      </c>
      <c r="E319" s="1671">
        <v>0.69620000000000004</v>
      </c>
      <c r="F319" s="1671">
        <v>0.69620000000000004</v>
      </c>
      <c r="G319" s="1671">
        <v>0.58720000000000006</v>
      </c>
      <c r="H319" s="1671">
        <v>0.58720000000000006</v>
      </c>
      <c r="I319" s="1671">
        <v>0.50609999999999999</v>
      </c>
      <c r="J319" s="1671">
        <v>0.50609999999999999</v>
      </c>
      <c r="K319" s="1671">
        <v>0.50609999999999999</v>
      </c>
      <c r="L319" s="1671">
        <v>0.50609999999999999</v>
      </c>
      <c r="M319" s="1671">
        <v>0.50609999999999999</v>
      </c>
    </row>
    <row r="320" spans="1:13">
      <c r="A320" s="1668">
        <v>5.0999999999999996</v>
      </c>
      <c r="B320" s="1671">
        <v>0.73750000000000004</v>
      </c>
      <c r="C320" s="1671">
        <v>0.73750000000000004</v>
      </c>
      <c r="D320" s="1671">
        <v>0.69359999999999999</v>
      </c>
      <c r="E320" s="1671">
        <v>0.69359999999999999</v>
      </c>
      <c r="F320" s="1671">
        <v>0.69359999999999999</v>
      </c>
      <c r="G320" s="1671">
        <v>0.58440000000000003</v>
      </c>
      <c r="H320" s="1671">
        <v>0.58440000000000003</v>
      </c>
      <c r="I320" s="1671">
        <v>0.50329999999999997</v>
      </c>
      <c r="J320" s="1671">
        <v>0.50329999999999997</v>
      </c>
      <c r="K320" s="1671">
        <v>0.50329999999999997</v>
      </c>
      <c r="L320" s="1671">
        <v>0.50329999999999997</v>
      </c>
      <c r="M320" s="1671">
        <v>0.50329999999999997</v>
      </c>
    </row>
    <row r="321" spans="1:13">
      <c r="A321" s="1668">
        <v>5.2</v>
      </c>
      <c r="B321" s="1671">
        <v>0.73560000000000003</v>
      </c>
      <c r="C321" s="1671">
        <v>0.73560000000000003</v>
      </c>
      <c r="D321" s="1671">
        <v>0.69110000000000005</v>
      </c>
      <c r="E321" s="1671">
        <v>0.69110000000000005</v>
      </c>
      <c r="F321" s="1671">
        <v>0.69110000000000005</v>
      </c>
      <c r="G321" s="1671">
        <v>0.58169999999999999</v>
      </c>
      <c r="H321" s="1671">
        <v>0.58169999999999999</v>
      </c>
      <c r="I321" s="1671">
        <v>0.50060000000000004</v>
      </c>
      <c r="J321" s="1671">
        <v>0.50060000000000004</v>
      </c>
      <c r="K321" s="1671">
        <v>0.50060000000000004</v>
      </c>
      <c r="L321" s="1671">
        <v>0.50060000000000004</v>
      </c>
      <c r="M321" s="1671">
        <v>0.50060000000000004</v>
      </c>
    </row>
    <row r="322" spans="1:13">
      <c r="A322" s="1668">
        <v>5.3</v>
      </c>
      <c r="B322" s="1671">
        <v>0.73380000000000001</v>
      </c>
      <c r="C322" s="1671">
        <v>0.73380000000000001</v>
      </c>
      <c r="D322" s="1671">
        <v>0.68869999999999998</v>
      </c>
      <c r="E322" s="1671">
        <v>0.68869999999999998</v>
      </c>
      <c r="F322" s="1671">
        <v>0.68869999999999998</v>
      </c>
      <c r="G322" s="1671">
        <v>0.57909999999999995</v>
      </c>
      <c r="H322" s="1671">
        <v>0.57909999999999995</v>
      </c>
      <c r="I322" s="1671">
        <v>0.49809999999999999</v>
      </c>
      <c r="J322" s="1671">
        <v>0.49809999999999999</v>
      </c>
      <c r="K322" s="1671">
        <v>0.49809999999999999</v>
      </c>
      <c r="L322" s="1671">
        <v>0.49809999999999999</v>
      </c>
      <c r="M322" s="1671">
        <v>0.49809999999999999</v>
      </c>
    </row>
    <row r="323" spans="1:13">
      <c r="A323" s="1668">
        <v>5.4</v>
      </c>
      <c r="B323" s="1671">
        <v>0.73199999999999998</v>
      </c>
      <c r="C323" s="1671">
        <v>0.73199999999999998</v>
      </c>
      <c r="D323" s="1671">
        <v>0.68640000000000001</v>
      </c>
      <c r="E323" s="1671">
        <v>0.68640000000000001</v>
      </c>
      <c r="F323" s="1671">
        <v>0.68640000000000001</v>
      </c>
      <c r="G323" s="1671">
        <v>0.57650000000000001</v>
      </c>
      <c r="H323" s="1671">
        <v>0.57650000000000001</v>
      </c>
      <c r="I323" s="1671">
        <v>0.49559999999999998</v>
      </c>
      <c r="J323" s="1671">
        <v>0.49559999999999998</v>
      </c>
      <c r="K323" s="1671">
        <v>0.49559999999999998</v>
      </c>
      <c r="L323" s="1671">
        <v>0.49559999999999998</v>
      </c>
      <c r="M323" s="1671">
        <v>0.49559999999999998</v>
      </c>
    </row>
    <row r="324" spans="1:13">
      <c r="A324" s="1668">
        <v>5.5</v>
      </c>
      <c r="B324" s="1671">
        <v>0.73009999999999997</v>
      </c>
      <c r="C324" s="1671">
        <v>0.73009999999999997</v>
      </c>
      <c r="D324" s="1671">
        <v>0.68420000000000003</v>
      </c>
      <c r="E324" s="1671">
        <v>0.68420000000000003</v>
      </c>
      <c r="F324" s="1671">
        <v>0.68420000000000003</v>
      </c>
      <c r="G324" s="1671">
        <v>0.57399999999999995</v>
      </c>
      <c r="H324" s="1671">
        <v>0.57399999999999995</v>
      </c>
      <c r="I324" s="1671">
        <v>0.49320000000000003</v>
      </c>
      <c r="J324" s="1671">
        <v>0.49320000000000003</v>
      </c>
      <c r="K324" s="1671">
        <v>0.49320000000000003</v>
      </c>
      <c r="L324" s="1671">
        <v>0.49320000000000003</v>
      </c>
      <c r="M324" s="1671">
        <v>0.49320000000000003</v>
      </c>
    </row>
    <row r="325" spans="1:13">
      <c r="A325" s="1668">
        <v>5.6</v>
      </c>
      <c r="B325" s="1671">
        <v>0.72819999999999996</v>
      </c>
      <c r="C325" s="1671">
        <v>0.72819999999999996</v>
      </c>
      <c r="D325" s="1671">
        <v>0.68200000000000005</v>
      </c>
      <c r="E325" s="1671">
        <v>0.68200000000000005</v>
      </c>
      <c r="F325" s="1671">
        <v>0.68200000000000005</v>
      </c>
      <c r="G325" s="1671">
        <v>0.57150000000000001</v>
      </c>
      <c r="H325" s="1671">
        <v>0.57150000000000001</v>
      </c>
      <c r="I325" s="1671">
        <v>0.49080000000000001</v>
      </c>
      <c r="J325" s="1671">
        <v>0.49080000000000001</v>
      </c>
      <c r="K325" s="1671">
        <v>0.49080000000000001</v>
      </c>
      <c r="L325" s="1671">
        <v>0.49080000000000001</v>
      </c>
      <c r="M325" s="1671">
        <v>0.49080000000000001</v>
      </c>
    </row>
    <row r="326" spans="1:13">
      <c r="A326" s="1668">
        <v>5.7</v>
      </c>
      <c r="B326" s="1671">
        <v>0.72640000000000005</v>
      </c>
      <c r="C326" s="1671">
        <v>0.72640000000000005</v>
      </c>
      <c r="D326" s="1671">
        <v>0.67989999999999995</v>
      </c>
      <c r="E326" s="1671">
        <v>0.67989999999999995</v>
      </c>
      <c r="F326" s="1671">
        <v>0.67989999999999995</v>
      </c>
      <c r="G326" s="1671">
        <v>0.56899999999999995</v>
      </c>
      <c r="H326" s="1671">
        <v>0.56899999999999995</v>
      </c>
      <c r="I326" s="1671">
        <v>0.4884</v>
      </c>
      <c r="J326" s="1671">
        <v>0.4884</v>
      </c>
      <c r="K326" s="1671">
        <v>0.4884</v>
      </c>
      <c r="L326" s="1671">
        <v>0.4884</v>
      </c>
      <c r="M326" s="1671">
        <v>0.4884</v>
      </c>
    </row>
    <row r="327" spans="1:13">
      <c r="A327" s="1668">
        <v>5.8</v>
      </c>
      <c r="B327" s="1671">
        <v>0.72460000000000002</v>
      </c>
      <c r="C327" s="1671">
        <v>0.72460000000000002</v>
      </c>
      <c r="D327" s="1671">
        <v>0.67779999999999996</v>
      </c>
      <c r="E327" s="1671">
        <v>0.67779999999999996</v>
      </c>
      <c r="F327" s="1671">
        <v>0.67779999999999996</v>
      </c>
      <c r="G327" s="1671">
        <v>0.56659999999999999</v>
      </c>
      <c r="H327" s="1671">
        <v>0.56659999999999999</v>
      </c>
      <c r="I327" s="1671">
        <v>0.48609999999999998</v>
      </c>
      <c r="J327" s="1671">
        <v>0.48609999999999998</v>
      </c>
      <c r="K327" s="1671">
        <v>0.48609999999999998</v>
      </c>
      <c r="L327" s="1671">
        <v>0.48609999999999998</v>
      </c>
      <c r="M327" s="1671">
        <v>0.48609999999999998</v>
      </c>
    </row>
    <row r="328" spans="1:13">
      <c r="A328" s="1668">
        <v>5.9</v>
      </c>
      <c r="B328" s="1671">
        <v>0.7228</v>
      </c>
      <c r="C328" s="1671">
        <v>0.7228</v>
      </c>
      <c r="D328" s="1671">
        <v>0.67569999999999997</v>
      </c>
      <c r="E328" s="1671">
        <v>0.67569999999999997</v>
      </c>
      <c r="F328" s="1671">
        <v>0.67569999999999997</v>
      </c>
      <c r="G328" s="1671">
        <v>0.56420000000000003</v>
      </c>
      <c r="H328" s="1671">
        <v>0.56420000000000003</v>
      </c>
      <c r="I328" s="1671">
        <v>0.48380000000000001</v>
      </c>
      <c r="J328" s="1671">
        <v>0.48380000000000001</v>
      </c>
      <c r="K328" s="1671">
        <v>0.48380000000000001</v>
      </c>
      <c r="L328" s="1671">
        <v>0.48380000000000001</v>
      </c>
      <c r="M328" s="1671">
        <v>0.48380000000000001</v>
      </c>
    </row>
    <row r="329" spans="1:13">
      <c r="A329" s="1672">
        <v>6</v>
      </c>
      <c r="B329" s="1671">
        <v>0.72099999999999997</v>
      </c>
      <c r="C329" s="1671">
        <v>0.72099999999999997</v>
      </c>
      <c r="D329" s="1671">
        <v>0.67359999999999998</v>
      </c>
      <c r="E329" s="1671">
        <v>0.67359999999999998</v>
      </c>
      <c r="F329" s="1671">
        <v>0.67359999999999998</v>
      </c>
      <c r="G329" s="1671">
        <v>0.56179999999999997</v>
      </c>
      <c r="H329" s="1671">
        <v>0.56179999999999997</v>
      </c>
      <c r="I329" s="1671">
        <v>0.48159999999999997</v>
      </c>
      <c r="J329" s="1671">
        <v>0.48159999999999997</v>
      </c>
      <c r="K329" s="1671">
        <v>0.48159999999999997</v>
      </c>
      <c r="L329" s="1671">
        <v>0.48159999999999997</v>
      </c>
      <c r="M329" s="1671">
        <v>0.48159999999999997</v>
      </c>
    </row>
    <row r="330" spans="1:13">
      <c r="A330" s="1672">
        <v>6.1</v>
      </c>
      <c r="B330" s="1671">
        <v>0.71930000000000005</v>
      </c>
      <c r="C330" s="1671">
        <v>0.71930000000000005</v>
      </c>
      <c r="D330" s="1671">
        <v>0.67159999999999997</v>
      </c>
      <c r="E330" s="1671">
        <v>0.67159999999999997</v>
      </c>
      <c r="F330" s="1671">
        <v>0.67159999999999997</v>
      </c>
      <c r="G330" s="1671">
        <v>0.55940000000000001</v>
      </c>
      <c r="H330" s="1671">
        <v>0.55940000000000001</v>
      </c>
      <c r="I330" s="1671">
        <v>0.4793</v>
      </c>
      <c r="J330" s="1671">
        <v>0.4793</v>
      </c>
      <c r="K330" s="1671">
        <v>0.4793</v>
      </c>
      <c r="L330" s="1671">
        <v>0.4793</v>
      </c>
      <c r="M330" s="1671">
        <v>0.4793</v>
      </c>
    </row>
    <row r="331" spans="1:13">
      <c r="A331" s="1672">
        <v>6.2</v>
      </c>
      <c r="B331" s="1671">
        <v>0.71760000000000002</v>
      </c>
      <c r="C331" s="1671">
        <v>0.71760000000000002</v>
      </c>
      <c r="D331" s="1671">
        <v>0.66959999999999997</v>
      </c>
      <c r="E331" s="1671">
        <v>0.66959999999999997</v>
      </c>
      <c r="F331" s="1671">
        <v>0.66959999999999997</v>
      </c>
      <c r="G331" s="1671">
        <v>0.55710000000000004</v>
      </c>
      <c r="H331" s="1671">
        <v>0.55710000000000004</v>
      </c>
      <c r="I331" s="1671">
        <v>0.47710000000000002</v>
      </c>
      <c r="J331" s="1671">
        <v>0.47710000000000002</v>
      </c>
      <c r="K331" s="1671">
        <v>0.47710000000000002</v>
      </c>
      <c r="L331" s="1671">
        <v>0.47710000000000002</v>
      </c>
      <c r="M331" s="1671">
        <v>0.47710000000000002</v>
      </c>
    </row>
    <row r="332" spans="1:13">
      <c r="A332" s="1672">
        <v>6.3</v>
      </c>
      <c r="B332" s="1671">
        <v>0.71589999999999998</v>
      </c>
      <c r="C332" s="1671">
        <v>0.71589999999999998</v>
      </c>
      <c r="D332" s="1671">
        <v>0.66759999999999997</v>
      </c>
      <c r="E332" s="1671">
        <v>0.66759999999999997</v>
      </c>
      <c r="F332" s="1671">
        <v>0.66759999999999997</v>
      </c>
      <c r="G332" s="1671">
        <v>0.55479999999999996</v>
      </c>
      <c r="H332" s="1671">
        <v>0.55479999999999996</v>
      </c>
      <c r="I332" s="1671">
        <v>0.47489999999999999</v>
      </c>
      <c r="J332" s="1671">
        <v>0.47489999999999999</v>
      </c>
      <c r="K332" s="1671">
        <v>0.47489999999999999</v>
      </c>
      <c r="L332" s="1671">
        <v>0.47489999999999999</v>
      </c>
      <c r="M332" s="1671">
        <v>0.47489999999999999</v>
      </c>
    </row>
    <row r="333" spans="1:13">
      <c r="A333" s="1672">
        <v>6.4</v>
      </c>
      <c r="B333" s="1671">
        <v>0.71419999999999995</v>
      </c>
      <c r="C333" s="1671">
        <v>0.71419999999999995</v>
      </c>
      <c r="D333" s="1671">
        <v>0.66559999999999997</v>
      </c>
      <c r="E333" s="1671">
        <v>0.66559999999999997</v>
      </c>
      <c r="F333" s="1671">
        <v>0.66559999999999997</v>
      </c>
      <c r="G333" s="1671">
        <v>0.55249999999999999</v>
      </c>
      <c r="H333" s="1671">
        <v>0.55249999999999999</v>
      </c>
      <c r="I333" s="1671">
        <v>0.47270000000000001</v>
      </c>
      <c r="J333" s="1671">
        <v>0.47270000000000001</v>
      </c>
      <c r="K333" s="1671">
        <v>0.47270000000000001</v>
      </c>
      <c r="L333" s="1671">
        <v>0.47270000000000001</v>
      </c>
      <c r="M333" s="1671">
        <v>0.47270000000000001</v>
      </c>
    </row>
    <row r="334" spans="1:13">
      <c r="A334" s="1672">
        <v>6.5</v>
      </c>
      <c r="B334" s="1671">
        <v>0.71250000000000002</v>
      </c>
      <c r="C334" s="1671">
        <v>0.71250000000000002</v>
      </c>
      <c r="D334" s="1671">
        <v>0.66359999999999997</v>
      </c>
      <c r="E334" s="1671">
        <v>0.66359999999999997</v>
      </c>
      <c r="F334" s="1671">
        <v>0.66359999999999997</v>
      </c>
      <c r="G334" s="1671">
        <v>0.55020000000000002</v>
      </c>
      <c r="H334" s="1671">
        <v>0.55020000000000002</v>
      </c>
      <c r="I334" s="1671">
        <v>0.47060000000000002</v>
      </c>
      <c r="J334" s="1671">
        <v>0.47060000000000002</v>
      </c>
      <c r="K334" s="1671">
        <v>0.47060000000000002</v>
      </c>
      <c r="L334" s="1671">
        <v>0.47060000000000002</v>
      </c>
      <c r="M334" s="1671">
        <v>0.47060000000000002</v>
      </c>
    </row>
    <row r="335" spans="1:13">
      <c r="A335" s="1672">
        <v>6.6</v>
      </c>
      <c r="B335" s="1671">
        <v>0.71089999999999998</v>
      </c>
      <c r="C335" s="1671">
        <v>0.71089999999999998</v>
      </c>
      <c r="D335" s="1671">
        <v>0.66159999999999997</v>
      </c>
      <c r="E335" s="1671">
        <v>0.66159999999999997</v>
      </c>
      <c r="F335" s="1671">
        <v>0.66159999999999997</v>
      </c>
      <c r="G335" s="1671">
        <v>0.54800000000000004</v>
      </c>
      <c r="H335" s="1671">
        <v>0.54800000000000004</v>
      </c>
      <c r="I335" s="1671">
        <v>0.46839999999999998</v>
      </c>
      <c r="J335" s="1671">
        <v>0.46839999999999998</v>
      </c>
      <c r="K335" s="1671">
        <v>0.46839999999999998</v>
      </c>
      <c r="L335" s="1671">
        <v>0.46839999999999998</v>
      </c>
      <c r="M335" s="1671">
        <v>0.46839999999999998</v>
      </c>
    </row>
    <row r="336" spans="1:13">
      <c r="A336" s="1672">
        <v>6.7</v>
      </c>
      <c r="B336" s="1671">
        <v>0.70930000000000004</v>
      </c>
      <c r="C336" s="1671">
        <v>0.70930000000000004</v>
      </c>
      <c r="D336" s="1671">
        <v>0.65969999999999995</v>
      </c>
      <c r="E336" s="1671">
        <v>0.65969999999999995</v>
      </c>
      <c r="F336" s="1671">
        <v>0.65969999999999995</v>
      </c>
      <c r="G336" s="1671">
        <v>0.54579999999999995</v>
      </c>
      <c r="H336" s="1671">
        <v>0.54579999999999995</v>
      </c>
      <c r="I336" s="1671">
        <v>0.46629999999999999</v>
      </c>
      <c r="J336" s="1671">
        <v>0.46629999999999999</v>
      </c>
      <c r="K336" s="1671">
        <v>0.46629999999999999</v>
      </c>
      <c r="L336" s="1671">
        <v>0.46629999999999999</v>
      </c>
      <c r="M336" s="1671">
        <v>0.46629999999999999</v>
      </c>
    </row>
    <row r="337" spans="1:13">
      <c r="A337" s="1672">
        <v>6.8</v>
      </c>
      <c r="B337" s="1671">
        <v>0.7077</v>
      </c>
      <c r="C337" s="1671">
        <v>0.7077</v>
      </c>
      <c r="D337" s="1671">
        <v>0.65780000000000005</v>
      </c>
      <c r="E337" s="1671">
        <v>0.65780000000000005</v>
      </c>
      <c r="F337" s="1671">
        <v>0.65780000000000005</v>
      </c>
      <c r="G337" s="1671">
        <v>0.54359999999999997</v>
      </c>
      <c r="H337" s="1671">
        <v>0.54359999999999997</v>
      </c>
      <c r="I337" s="1671">
        <v>0.46410000000000001</v>
      </c>
      <c r="J337" s="1671">
        <v>0.46410000000000001</v>
      </c>
      <c r="K337" s="1671">
        <v>0.46410000000000001</v>
      </c>
      <c r="L337" s="1671">
        <v>0.46410000000000001</v>
      </c>
      <c r="M337" s="1671">
        <v>0.46410000000000001</v>
      </c>
    </row>
    <row r="338" spans="1:13">
      <c r="A338" s="1672">
        <v>6.9</v>
      </c>
      <c r="B338" s="1671">
        <v>0.70609999999999995</v>
      </c>
      <c r="C338" s="1671">
        <v>0.70609999999999995</v>
      </c>
      <c r="D338" s="1671">
        <v>0.65590000000000004</v>
      </c>
      <c r="E338" s="1671">
        <v>0.65590000000000004</v>
      </c>
      <c r="F338" s="1671">
        <v>0.65590000000000004</v>
      </c>
      <c r="G338" s="1671">
        <v>0.54139999999999999</v>
      </c>
      <c r="H338" s="1671">
        <v>0.54139999999999999</v>
      </c>
      <c r="I338" s="1671">
        <v>0.46200000000000002</v>
      </c>
      <c r="J338" s="1671">
        <v>0.46200000000000002</v>
      </c>
      <c r="K338" s="1671">
        <v>0.46200000000000002</v>
      </c>
      <c r="L338" s="1671">
        <v>0.46200000000000002</v>
      </c>
      <c r="M338" s="1671">
        <v>0.46200000000000002</v>
      </c>
    </row>
    <row r="339" spans="1:13">
      <c r="A339" s="1672">
        <v>7</v>
      </c>
      <c r="B339" s="1671">
        <v>0.70450000000000002</v>
      </c>
      <c r="C339" s="1671">
        <v>0.70450000000000002</v>
      </c>
      <c r="D339" s="1671">
        <v>0.65400000000000003</v>
      </c>
      <c r="E339" s="1671">
        <v>0.65400000000000003</v>
      </c>
      <c r="F339" s="1671">
        <v>0.65400000000000003</v>
      </c>
      <c r="G339" s="1671">
        <v>0.53920000000000001</v>
      </c>
      <c r="H339" s="1671">
        <v>0.53920000000000001</v>
      </c>
      <c r="I339" s="1671">
        <v>0.45979999999999999</v>
      </c>
      <c r="J339" s="1671">
        <v>0.45979999999999999</v>
      </c>
      <c r="K339" s="1671">
        <v>0.45979999999999999</v>
      </c>
      <c r="L339" s="1671">
        <v>0.45979999999999999</v>
      </c>
      <c r="M339" s="1671">
        <v>0.45979999999999999</v>
      </c>
    </row>
    <row r="340" spans="1:13">
      <c r="A340" s="1672">
        <v>7.1</v>
      </c>
      <c r="B340" s="1671">
        <v>0.70289999999999997</v>
      </c>
      <c r="C340" s="1671">
        <v>0.70289999999999997</v>
      </c>
      <c r="D340" s="1671">
        <v>0.65210000000000001</v>
      </c>
      <c r="E340" s="1671">
        <v>0.65210000000000001</v>
      </c>
      <c r="F340" s="1671">
        <v>0.65210000000000001</v>
      </c>
      <c r="G340" s="1671">
        <v>0.53710000000000002</v>
      </c>
      <c r="H340" s="1671">
        <v>0.53710000000000002</v>
      </c>
      <c r="I340" s="1671">
        <v>0.45779999999999998</v>
      </c>
      <c r="J340" s="1671">
        <v>0.45779999999999998</v>
      </c>
      <c r="K340" s="1671">
        <v>0.45779999999999998</v>
      </c>
      <c r="L340" s="1671">
        <v>0.45779999999999998</v>
      </c>
      <c r="M340" s="1671">
        <v>0.45779999999999998</v>
      </c>
    </row>
    <row r="341" spans="1:13">
      <c r="A341" s="1672">
        <v>7.2</v>
      </c>
      <c r="B341" s="1671">
        <v>0.70140000000000002</v>
      </c>
      <c r="C341" s="1671">
        <v>0.70140000000000002</v>
      </c>
      <c r="D341" s="1671">
        <v>0.6502</v>
      </c>
      <c r="E341" s="1671">
        <v>0.6502</v>
      </c>
      <c r="F341" s="1671">
        <v>0.6502</v>
      </c>
      <c r="G341" s="1671">
        <v>0.53500000000000003</v>
      </c>
      <c r="H341" s="1671">
        <v>0.53500000000000003</v>
      </c>
      <c r="I341" s="1671">
        <v>0.45569999999999999</v>
      </c>
      <c r="J341" s="1671">
        <v>0.45569999999999999</v>
      </c>
      <c r="K341" s="1671">
        <v>0.45569999999999999</v>
      </c>
      <c r="L341" s="1671">
        <v>0.45569999999999999</v>
      </c>
      <c r="M341" s="1671">
        <v>0.45569999999999999</v>
      </c>
    </row>
    <row r="342" spans="1:13">
      <c r="A342" s="1672">
        <v>7.3</v>
      </c>
      <c r="B342" s="1671">
        <v>0.69989999999999997</v>
      </c>
      <c r="C342" s="1671">
        <v>0.69989999999999997</v>
      </c>
      <c r="D342" s="1671">
        <v>0.64829999999999999</v>
      </c>
      <c r="E342" s="1671">
        <v>0.64829999999999999</v>
      </c>
      <c r="F342" s="1671">
        <v>0.64829999999999999</v>
      </c>
      <c r="G342" s="1671">
        <v>0.53290000000000004</v>
      </c>
      <c r="H342" s="1671">
        <v>0.53290000000000004</v>
      </c>
      <c r="I342" s="1671">
        <v>0.45369999999999999</v>
      </c>
      <c r="J342" s="1671">
        <v>0.45369999999999999</v>
      </c>
      <c r="K342" s="1671">
        <v>0.45369999999999999</v>
      </c>
      <c r="L342" s="1671">
        <v>0.45369999999999999</v>
      </c>
      <c r="M342" s="1671">
        <v>0.45369999999999999</v>
      </c>
    </row>
    <row r="343" spans="1:13">
      <c r="A343" s="1672">
        <v>7.4</v>
      </c>
      <c r="B343" s="1671">
        <v>0.69840000000000002</v>
      </c>
      <c r="C343" s="1671">
        <v>0.69840000000000002</v>
      </c>
      <c r="D343" s="1671">
        <v>0.64649999999999996</v>
      </c>
      <c r="E343" s="1671">
        <v>0.64649999999999996</v>
      </c>
      <c r="F343" s="1671">
        <v>0.64649999999999996</v>
      </c>
      <c r="G343" s="1671">
        <v>0.53080000000000005</v>
      </c>
      <c r="H343" s="1671">
        <v>0.53080000000000005</v>
      </c>
      <c r="I343" s="1671">
        <v>0.4516</v>
      </c>
      <c r="J343" s="1671">
        <v>0.4516</v>
      </c>
      <c r="K343" s="1671">
        <v>0.4516</v>
      </c>
      <c r="L343" s="1671">
        <v>0.4516</v>
      </c>
      <c r="M343" s="1671">
        <v>0.4516</v>
      </c>
    </row>
    <row r="344" spans="1:13">
      <c r="A344" s="1672">
        <v>7.5</v>
      </c>
      <c r="B344" s="1671">
        <v>0.69689999999999996</v>
      </c>
      <c r="C344" s="1671">
        <v>0.69689999999999996</v>
      </c>
      <c r="D344" s="1671">
        <v>0.64470000000000005</v>
      </c>
      <c r="E344" s="1671">
        <v>0.64470000000000005</v>
      </c>
      <c r="F344" s="1671">
        <v>0.64470000000000005</v>
      </c>
      <c r="G344" s="1671">
        <v>0.52869999999999995</v>
      </c>
      <c r="H344" s="1671">
        <v>0.52869999999999995</v>
      </c>
      <c r="I344" s="1671">
        <v>0.44950000000000001</v>
      </c>
      <c r="J344" s="1671">
        <v>0.44950000000000001</v>
      </c>
      <c r="K344" s="1671">
        <v>0.44950000000000001</v>
      </c>
      <c r="L344" s="1671">
        <v>0.44950000000000001</v>
      </c>
      <c r="M344" s="1671">
        <v>0.44950000000000001</v>
      </c>
    </row>
    <row r="345" spans="1:13">
      <c r="A345" s="1672">
        <v>7.6</v>
      </c>
      <c r="B345" s="1671">
        <v>0.69540000000000002</v>
      </c>
      <c r="C345" s="1671">
        <v>0.69540000000000002</v>
      </c>
      <c r="D345" s="1671">
        <v>0.64290000000000003</v>
      </c>
      <c r="E345" s="1671">
        <v>0.64290000000000003</v>
      </c>
      <c r="F345" s="1671">
        <v>0.64290000000000003</v>
      </c>
      <c r="G345" s="1671">
        <v>0.52659999999999996</v>
      </c>
      <c r="H345" s="1671">
        <v>0.52659999999999996</v>
      </c>
      <c r="I345" s="1671">
        <v>0.44750000000000001</v>
      </c>
      <c r="J345" s="1671">
        <v>0.44750000000000001</v>
      </c>
      <c r="K345" s="1671">
        <v>0.44750000000000001</v>
      </c>
      <c r="L345" s="1671">
        <v>0.44750000000000001</v>
      </c>
      <c r="M345" s="1671">
        <v>0.44750000000000001</v>
      </c>
    </row>
    <row r="346" spans="1:13">
      <c r="A346" s="1672">
        <v>7.7</v>
      </c>
      <c r="B346" s="1671">
        <v>0.69389999999999996</v>
      </c>
      <c r="C346" s="1671">
        <v>0.69389999999999996</v>
      </c>
      <c r="D346" s="1671">
        <v>0.6411</v>
      </c>
      <c r="E346" s="1671">
        <v>0.6411</v>
      </c>
      <c r="F346" s="1671">
        <v>0.6411</v>
      </c>
      <c r="G346" s="1671">
        <v>0.52459999999999996</v>
      </c>
      <c r="H346" s="1671">
        <v>0.52459999999999996</v>
      </c>
      <c r="I346" s="1671">
        <v>0.44540000000000002</v>
      </c>
      <c r="J346" s="1671">
        <v>0.44540000000000002</v>
      </c>
      <c r="K346" s="1671">
        <v>0.44540000000000002</v>
      </c>
      <c r="L346" s="1671">
        <v>0.44540000000000002</v>
      </c>
      <c r="M346" s="1671">
        <v>0.44540000000000002</v>
      </c>
    </row>
    <row r="347" spans="1:13">
      <c r="A347" s="1672">
        <v>7.8</v>
      </c>
      <c r="B347" s="1671">
        <v>0.69240000000000002</v>
      </c>
      <c r="C347" s="1671">
        <v>0.69240000000000002</v>
      </c>
      <c r="D347" s="1671">
        <v>0.63929999999999998</v>
      </c>
      <c r="E347" s="1671">
        <v>0.63929999999999998</v>
      </c>
      <c r="F347" s="1671">
        <v>0.63929999999999998</v>
      </c>
      <c r="G347" s="1671">
        <v>0.52259999999999995</v>
      </c>
      <c r="H347" s="1671">
        <v>0.52259999999999995</v>
      </c>
      <c r="I347" s="1671">
        <v>0.44340000000000002</v>
      </c>
      <c r="J347" s="1671">
        <v>0.44340000000000002</v>
      </c>
      <c r="K347" s="1671">
        <v>0.44340000000000002</v>
      </c>
      <c r="L347" s="1671">
        <v>0.44340000000000002</v>
      </c>
      <c r="M347" s="1671">
        <v>0.44340000000000002</v>
      </c>
    </row>
    <row r="348" spans="1:13">
      <c r="A348" s="1672">
        <v>7.9</v>
      </c>
      <c r="B348" s="1671">
        <v>0.69099999999999995</v>
      </c>
      <c r="C348" s="1671">
        <v>0.69099999999999995</v>
      </c>
      <c r="D348" s="1671">
        <v>0.63749999999999996</v>
      </c>
      <c r="E348" s="1671">
        <v>0.63749999999999996</v>
      </c>
      <c r="F348" s="1671">
        <v>0.63749999999999996</v>
      </c>
      <c r="G348" s="1671">
        <v>0.52059999999999995</v>
      </c>
      <c r="H348" s="1671">
        <v>0.52059999999999995</v>
      </c>
      <c r="I348" s="1671">
        <v>0.44130000000000003</v>
      </c>
      <c r="J348" s="1671">
        <v>0.44130000000000003</v>
      </c>
      <c r="K348" s="1671">
        <v>0.44130000000000003</v>
      </c>
      <c r="L348" s="1671">
        <v>0.44130000000000003</v>
      </c>
      <c r="M348" s="1671">
        <v>0.44130000000000003</v>
      </c>
    </row>
    <row r="349" spans="1:13">
      <c r="A349" s="1672">
        <v>8</v>
      </c>
      <c r="B349" s="1671">
        <v>0.68959999999999999</v>
      </c>
      <c r="C349" s="1671">
        <v>0.68959999999999999</v>
      </c>
      <c r="D349" s="1671">
        <v>0.63570000000000004</v>
      </c>
      <c r="E349" s="1671">
        <v>0.63570000000000004</v>
      </c>
      <c r="F349" s="1671">
        <v>0.63570000000000004</v>
      </c>
      <c r="G349" s="1671">
        <v>0.51859999999999995</v>
      </c>
      <c r="H349" s="1671">
        <v>0.51859999999999995</v>
      </c>
      <c r="I349" s="1671">
        <v>0.43919999999999998</v>
      </c>
      <c r="J349" s="1671">
        <v>0.43919999999999998</v>
      </c>
      <c r="K349" s="1671">
        <v>0.43919999999999998</v>
      </c>
      <c r="L349" s="1671">
        <v>0.43919999999999998</v>
      </c>
      <c r="M349" s="1671">
        <v>0.43919999999999998</v>
      </c>
    </row>
    <row r="350" spans="1:13">
      <c r="A350" s="1672">
        <v>8.1</v>
      </c>
      <c r="B350" s="1671">
        <v>0.68820000000000003</v>
      </c>
      <c r="C350" s="1671">
        <v>0.68820000000000003</v>
      </c>
      <c r="D350" s="1671">
        <v>0.63390000000000002</v>
      </c>
      <c r="E350" s="1671">
        <v>0.63390000000000002</v>
      </c>
      <c r="F350" s="1671">
        <v>0.63390000000000002</v>
      </c>
      <c r="G350" s="1671">
        <v>0.51659999999999995</v>
      </c>
      <c r="H350" s="1671">
        <v>0.51659999999999995</v>
      </c>
      <c r="I350" s="1671">
        <v>0.43730000000000002</v>
      </c>
      <c r="J350" s="1671">
        <v>0.43730000000000002</v>
      </c>
      <c r="K350" s="1671">
        <v>0.43730000000000002</v>
      </c>
      <c r="L350" s="1671">
        <v>0.43730000000000002</v>
      </c>
      <c r="M350" s="1671">
        <v>0.43730000000000002</v>
      </c>
    </row>
    <row r="351" spans="1:13">
      <c r="A351" s="1672">
        <v>8.1999999999999993</v>
      </c>
      <c r="B351" s="1671">
        <v>0.68679999999999997</v>
      </c>
      <c r="C351" s="1671">
        <v>0.68679999999999997</v>
      </c>
      <c r="D351" s="1671">
        <v>0.63219999999999998</v>
      </c>
      <c r="E351" s="1671">
        <v>0.63219999999999998</v>
      </c>
      <c r="F351" s="1671">
        <v>0.63219999999999998</v>
      </c>
      <c r="G351" s="1671">
        <v>0.51459999999999995</v>
      </c>
      <c r="H351" s="1671">
        <v>0.51459999999999995</v>
      </c>
      <c r="I351" s="1671">
        <v>0.43530000000000002</v>
      </c>
      <c r="J351" s="1671">
        <v>0.43530000000000002</v>
      </c>
      <c r="K351" s="1671">
        <v>0.43530000000000002</v>
      </c>
      <c r="L351" s="1671">
        <v>0.43530000000000002</v>
      </c>
      <c r="M351" s="1671">
        <v>0.43530000000000002</v>
      </c>
    </row>
    <row r="352" spans="1:13">
      <c r="A352" s="1672">
        <v>8.3000000000000007</v>
      </c>
      <c r="B352" s="1671">
        <v>0.68540000000000001</v>
      </c>
      <c r="C352" s="1671">
        <v>0.68540000000000001</v>
      </c>
      <c r="D352" s="1671">
        <v>0.63049999999999995</v>
      </c>
      <c r="E352" s="1671">
        <v>0.63049999999999995</v>
      </c>
      <c r="F352" s="1671">
        <v>0.63049999999999995</v>
      </c>
      <c r="G352" s="1671">
        <v>0.51259999999999994</v>
      </c>
      <c r="H352" s="1671">
        <v>0.51259999999999994</v>
      </c>
      <c r="I352" s="1671">
        <v>0.43330000000000002</v>
      </c>
      <c r="J352" s="1671">
        <v>0.43330000000000002</v>
      </c>
      <c r="K352" s="1671">
        <v>0.43330000000000002</v>
      </c>
      <c r="L352" s="1671">
        <v>0.43330000000000002</v>
      </c>
      <c r="M352" s="1671">
        <v>0.43330000000000002</v>
      </c>
    </row>
    <row r="353" spans="1:13">
      <c r="A353" s="1672">
        <v>8.4</v>
      </c>
      <c r="B353" s="1671">
        <v>0.68400000000000005</v>
      </c>
      <c r="C353" s="1671">
        <v>0.68400000000000005</v>
      </c>
      <c r="D353" s="1671">
        <v>0.62880000000000003</v>
      </c>
      <c r="E353" s="1671">
        <v>0.62880000000000003</v>
      </c>
      <c r="F353" s="1671">
        <v>0.62880000000000003</v>
      </c>
      <c r="G353" s="1671">
        <v>0.51070000000000004</v>
      </c>
      <c r="H353" s="1671">
        <v>0.51070000000000004</v>
      </c>
      <c r="I353" s="1671">
        <v>0.43130000000000002</v>
      </c>
      <c r="J353" s="1671">
        <v>0.43130000000000002</v>
      </c>
      <c r="K353" s="1671">
        <v>0.43130000000000002</v>
      </c>
      <c r="L353" s="1671">
        <v>0.43130000000000002</v>
      </c>
      <c r="M353" s="1671">
        <v>0.43130000000000002</v>
      </c>
    </row>
    <row r="354" spans="1:13">
      <c r="A354" s="1672">
        <v>8.5</v>
      </c>
      <c r="B354" s="1671">
        <v>0.68259999999999998</v>
      </c>
      <c r="C354" s="1671">
        <v>0.68259999999999998</v>
      </c>
      <c r="D354" s="1671">
        <v>0.62709999999999999</v>
      </c>
      <c r="E354" s="1671">
        <v>0.62709999999999999</v>
      </c>
      <c r="F354" s="1671">
        <v>0.62709999999999999</v>
      </c>
      <c r="G354" s="1671">
        <v>0.50880000000000003</v>
      </c>
      <c r="H354" s="1671">
        <v>0.50880000000000003</v>
      </c>
      <c r="I354" s="1671">
        <v>0.4294</v>
      </c>
      <c r="J354" s="1671">
        <v>0.4294</v>
      </c>
      <c r="K354" s="1671">
        <v>0.4294</v>
      </c>
      <c r="L354" s="1671">
        <v>0.4294</v>
      </c>
      <c r="M354" s="1671">
        <v>0.4294</v>
      </c>
    </row>
    <row r="355" spans="1:13">
      <c r="A355" s="1672">
        <v>8.6</v>
      </c>
      <c r="B355" s="1671">
        <v>0.68120000000000003</v>
      </c>
      <c r="C355" s="1671">
        <v>0.68120000000000003</v>
      </c>
      <c r="D355" s="1671">
        <v>0.62539999999999996</v>
      </c>
      <c r="E355" s="1671">
        <v>0.62539999999999996</v>
      </c>
      <c r="F355" s="1671">
        <v>0.62539999999999996</v>
      </c>
      <c r="G355" s="1671">
        <v>0.50690000000000002</v>
      </c>
      <c r="H355" s="1671">
        <v>0.50690000000000002</v>
      </c>
      <c r="I355" s="1671">
        <v>0.4274</v>
      </c>
      <c r="J355" s="1671">
        <v>0.4274</v>
      </c>
      <c r="K355" s="1671">
        <v>0.4274</v>
      </c>
      <c r="L355" s="1671">
        <v>0.4274</v>
      </c>
      <c r="M355" s="1671">
        <v>0.4274</v>
      </c>
    </row>
    <row r="356" spans="1:13">
      <c r="A356" s="1672">
        <v>8.6999999999999993</v>
      </c>
      <c r="B356" s="1671">
        <v>0.67989999999999995</v>
      </c>
      <c r="C356" s="1671">
        <v>0.67989999999999995</v>
      </c>
      <c r="D356" s="1671">
        <v>0.62370000000000003</v>
      </c>
      <c r="E356" s="1671">
        <v>0.62370000000000003</v>
      </c>
      <c r="F356" s="1671">
        <v>0.62370000000000003</v>
      </c>
      <c r="G356" s="1671">
        <v>0.505</v>
      </c>
      <c r="H356" s="1671">
        <v>0.505</v>
      </c>
      <c r="I356" s="1671">
        <v>0.4254</v>
      </c>
      <c r="J356" s="1671">
        <v>0.4254</v>
      </c>
      <c r="K356" s="1671">
        <v>0.4254</v>
      </c>
      <c r="L356" s="1671">
        <v>0.4254</v>
      </c>
      <c r="M356" s="1671">
        <v>0.4254</v>
      </c>
    </row>
    <row r="357" spans="1:13">
      <c r="A357" s="1672">
        <v>8.8000000000000007</v>
      </c>
      <c r="B357" s="1671">
        <v>0.67859999999999998</v>
      </c>
      <c r="C357" s="1671">
        <v>0.67859999999999998</v>
      </c>
      <c r="D357" s="1671">
        <v>0.622</v>
      </c>
      <c r="E357" s="1671">
        <v>0.622</v>
      </c>
      <c r="F357" s="1671">
        <v>0.622</v>
      </c>
      <c r="G357" s="1671">
        <v>0.50309999999999999</v>
      </c>
      <c r="H357" s="1671">
        <v>0.50309999999999999</v>
      </c>
      <c r="I357" s="1671">
        <v>0.4234</v>
      </c>
      <c r="J357" s="1671">
        <v>0.4234</v>
      </c>
      <c r="K357" s="1671">
        <v>0.4234</v>
      </c>
      <c r="L357" s="1671">
        <v>0.4234</v>
      </c>
      <c r="M357" s="1671">
        <v>0.4234</v>
      </c>
    </row>
    <row r="358" spans="1:13">
      <c r="A358" s="1672">
        <v>8.9</v>
      </c>
      <c r="B358" s="1671">
        <v>0.67730000000000001</v>
      </c>
      <c r="C358" s="1671">
        <v>0.67730000000000001</v>
      </c>
      <c r="D358" s="1671">
        <v>0.62029999999999996</v>
      </c>
      <c r="E358" s="1671">
        <v>0.62029999999999996</v>
      </c>
      <c r="F358" s="1671">
        <v>0.62029999999999996</v>
      </c>
      <c r="G358" s="1671">
        <v>0.50119999999999998</v>
      </c>
      <c r="H358" s="1671">
        <v>0.50119999999999998</v>
      </c>
      <c r="I358" s="1671">
        <v>0.42149999999999999</v>
      </c>
      <c r="J358" s="1671">
        <v>0.42149999999999999</v>
      </c>
      <c r="K358" s="1671">
        <v>0.42149999999999999</v>
      </c>
      <c r="L358" s="1671">
        <v>0.42149999999999999</v>
      </c>
      <c r="M358" s="1671">
        <v>0.42149999999999999</v>
      </c>
    </row>
    <row r="359" spans="1:13">
      <c r="A359" s="1668">
        <v>9</v>
      </c>
      <c r="B359" s="1671">
        <v>0.67600000000000005</v>
      </c>
      <c r="C359" s="1671">
        <v>0.67600000000000005</v>
      </c>
      <c r="D359" s="1671">
        <v>0.61870000000000003</v>
      </c>
      <c r="E359" s="1671">
        <v>0.61870000000000003</v>
      </c>
      <c r="F359" s="1671">
        <v>0.61870000000000003</v>
      </c>
      <c r="G359" s="1671">
        <v>0.49930000000000002</v>
      </c>
      <c r="H359" s="1671">
        <v>0.49930000000000002</v>
      </c>
      <c r="I359" s="1671">
        <v>0.41949999999999998</v>
      </c>
      <c r="J359" s="1671">
        <v>0.41949999999999998</v>
      </c>
      <c r="K359" s="1671">
        <v>0.41949999999999998</v>
      </c>
      <c r="L359" s="1671">
        <v>0.41949999999999998</v>
      </c>
      <c r="M359" s="1671">
        <v>0.41949999999999998</v>
      </c>
    </row>
    <row r="360" spans="1:13">
      <c r="A360" s="1668">
        <v>9.1</v>
      </c>
      <c r="B360" s="1671">
        <v>0.67469999999999997</v>
      </c>
      <c r="C360" s="1671">
        <v>0.67469999999999997</v>
      </c>
      <c r="D360" s="1671">
        <v>0.61709999999999998</v>
      </c>
      <c r="E360" s="1671">
        <v>0.61709999999999998</v>
      </c>
      <c r="F360" s="1671">
        <v>0.61709999999999998</v>
      </c>
      <c r="G360" s="1671">
        <v>0.49740000000000001</v>
      </c>
      <c r="H360" s="1671">
        <v>0.49740000000000001</v>
      </c>
      <c r="I360" s="1671">
        <v>0.41760000000000003</v>
      </c>
      <c r="J360" s="1671">
        <v>0.41760000000000003</v>
      </c>
      <c r="K360" s="1671">
        <v>0.41760000000000003</v>
      </c>
      <c r="L360" s="1671">
        <v>0.41760000000000003</v>
      </c>
      <c r="M360" s="1671">
        <v>0.41760000000000003</v>
      </c>
    </row>
    <row r="361" spans="1:13">
      <c r="A361" s="1668">
        <v>9.1999999999999993</v>
      </c>
      <c r="B361" s="1671">
        <v>0.6734</v>
      </c>
      <c r="C361" s="1671">
        <v>0.6734</v>
      </c>
      <c r="D361" s="1671">
        <v>0.61550000000000005</v>
      </c>
      <c r="E361" s="1671">
        <v>0.61550000000000005</v>
      </c>
      <c r="F361" s="1671">
        <v>0.61550000000000005</v>
      </c>
      <c r="G361" s="1671">
        <v>0.49559999999999998</v>
      </c>
      <c r="H361" s="1671">
        <v>0.49559999999999998</v>
      </c>
      <c r="I361" s="1671">
        <v>0.41570000000000001</v>
      </c>
      <c r="J361" s="1671">
        <v>0.41570000000000001</v>
      </c>
      <c r="K361" s="1671">
        <v>0.41570000000000001</v>
      </c>
      <c r="L361" s="1671">
        <v>0.41570000000000001</v>
      </c>
      <c r="M361" s="1671">
        <v>0.41570000000000001</v>
      </c>
    </row>
    <row r="362" spans="1:13">
      <c r="A362" s="1668">
        <v>9.3000000000000007</v>
      </c>
      <c r="B362" s="1671">
        <v>0.67210000000000003</v>
      </c>
      <c r="C362" s="1671">
        <v>0.67210000000000003</v>
      </c>
      <c r="D362" s="1671">
        <v>0.6139</v>
      </c>
      <c r="E362" s="1671">
        <v>0.6139</v>
      </c>
      <c r="F362" s="1671">
        <v>0.6139</v>
      </c>
      <c r="G362" s="1671">
        <v>0.49380000000000002</v>
      </c>
      <c r="H362" s="1671">
        <v>0.49380000000000002</v>
      </c>
      <c r="I362" s="1671">
        <v>0.4138</v>
      </c>
      <c r="J362" s="1671">
        <v>0.4138</v>
      </c>
      <c r="K362" s="1671">
        <v>0.4138</v>
      </c>
      <c r="L362" s="1671">
        <v>0.4138</v>
      </c>
      <c r="M362" s="1671">
        <v>0.4138</v>
      </c>
    </row>
    <row r="363" spans="1:13">
      <c r="A363" s="1668">
        <v>9.4</v>
      </c>
      <c r="B363" s="1671">
        <v>0.67079999999999995</v>
      </c>
      <c r="C363" s="1671">
        <v>0.67079999999999995</v>
      </c>
      <c r="D363" s="1671">
        <v>0.61229999999999996</v>
      </c>
      <c r="E363" s="1671">
        <v>0.61229999999999996</v>
      </c>
      <c r="F363" s="1671">
        <v>0.61229999999999996</v>
      </c>
      <c r="G363" s="1671">
        <v>0.49199999999999999</v>
      </c>
      <c r="H363" s="1671">
        <v>0.49199999999999999</v>
      </c>
      <c r="I363" s="1671">
        <v>0.41189999999999999</v>
      </c>
      <c r="J363" s="1671">
        <v>0.41189999999999999</v>
      </c>
      <c r="K363" s="1671">
        <v>0.41189999999999999</v>
      </c>
      <c r="L363" s="1671">
        <v>0.41189999999999999</v>
      </c>
      <c r="M363" s="1671">
        <v>0.41189999999999999</v>
      </c>
    </row>
    <row r="364" spans="1:13">
      <c r="A364" s="1668">
        <v>9.5</v>
      </c>
      <c r="B364" s="1671">
        <v>0.66959999999999997</v>
      </c>
      <c r="C364" s="1671">
        <v>0.66959999999999997</v>
      </c>
      <c r="D364" s="1671">
        <v>0.61070000000000002</v>
      </c>
      <c r="E364" s="1671">
        <v>0.61070000000000002</v>
      </c>
      <c r="F364" s="1671">
        <v>0.61070000000000002</v>
      </c>
      <c r="G364" s="1671">
        <v>0.49020000000000002</v>
      </c>
      <c r="H364" s="1671">
        <v>0.49020000000000002</v>
      </c>
      <c r="I364" s="1671">
        <v>0.41</v>
      </c>
      <c r="J364" s="1671">
        <v>0.41</v>
      </c>
      <c r="K364" s="1671">
        <v>0.41</v>
      </c>
      <c r="L364" s="1671">
        <v>0.41</v>
      </c>
      <c r="M364" s="1671">
        <v>0.41</v>
      </c>
    </row>
    <row r="365" spans="1:13">
      <c r="A365" s="1672">
        <v>9.6</v>
      </c>
      <c r="B365" s="1671">
        <v>0.66839999999999999</v>
      </c>
      <c r="C365" s="1671">
        <v>0.66839999999999999</v>
      </c>
      <c r="D365" s="1671">
        <v>0.60909999999999997</v>
      </c>
      <c r="E365" s="1671">
        <v>0.60909999999999997</v>
      </c>
      <c r="F365" s="1671">
        <v>0.60909999999999997</v>
      </c>
      <c r="G365" s="1671">
        <v>0.4884</v>
      </c>
      <c r="H365" s="1671">
        <v>0.4884</v>
      </c>
      <c r="I365" s="1671">
        <v>0.40810000000000002</v>
      </c>
      <c r="J365" s="1671">
        <v>0.40810000000000002</v>
      </c>
      <c r="K365" s="1671">
        <v>0.40810000000000002</v>
      </c>
      <c r="L365" s="1671">
        <v>0.40810000000000002</v>
      </c>
      <c r="M365" s="1671">
        <v>0.40810000000000002</v>
      </c>
    </row>
    <row r="366" spans="1:13">
      <c r="A366" s="1668">
        <v>9.6999999999999993</v>
      </c>
      <c r="B366" s="1671">
        <v>0.66720000000000002</v>
      </c>
      <c r="C366" s="1671">
        <v>0.66720000000000002</v>
      </c>
      <c r="D366" s="1671">
        <v>0.60750000000000004</v>
      </c>
      <c r="E366" s="1671">
        <v>0.60750000000000004</v>
      </c>
      <c r="F366" s="1671">
        <v>0.60750000000000004</v>
      </c>
      <c r="G366" s="1671">
        <v>0.48659999999999998</v>
      </c>
      <c r="H366" s="1671">
        <v>0.48659999999999998</v>
      </c>
      <c r="I366" s="1671">
        <v>0.40620000000000001</v>
      </c>
      <c r="J366" s="1671">
        <v>0.40620000000000001</v>
      </c>
      <c r="K366" s="1671">
        <v>0.40620000000000001</v>
      </c>
      <c r="L366" s="1671">
        <v>0.40620000000000001</v>
      </c>
      <c r="M366" s="1671">
        <v>0.40620000000000001</v>
      </c>
    </row>
    <row r="367" spans="1:13">
      <c r="A367" s="1668">
        <v>9.8000000000000007</v>
      </c>
      <c r="B367" s="1671">
        <v>0.66600000000000004</v>
      </c>
      <c r="C367" s="1671">
        <v>0.66600000000000004</v>
      </c>
      <c r="D367" s="1671">
        <v>0.60599999999999998</v>
      </c>
      <c r="E367" s="1671">
        <v>0.60599999999999998</v>
      </c>
      <c r="F367" s="1671">
        <v>0.60599999999999998</v>
      </c>
      <c r="G367" s="1671">
        <v>0.48480000000000001</v>
      </c>
      <c r="H367" s="1671">
        <v>0.48480000000000001</v>
      </c>
      <c r="I367" s="1671">
        <v>0.40429999999999999</v>
      </c>
      <c r="J367" s="1671">
        <v>0.40429999999999999</v>
      </c>
      <c r="K367" s="1671">
        <v>0.40429999999999999</v>
      </c>
      <c r="L367" s="1671">
        <v>0.40429999999999999</v>
      </c>
      <c r="M367" s="1671">
        <v>0.40429999999999999</v>
      </c>
    </row>
    <row r="368" spans="1:13">
      <c r="A368" s="1668">
        <v>9.9</v>
      </c>
      <c r="B368" s="1671">
        <v>0.66479999999999995</v>
      </c>
      <c r="C368" s="1671">
        <v>0.66479999999999995</v>
      </c>
      <c r="D368" s="1671">
        <v>0.60450000000000004</v>
      </c>
      <c r="E368" s="1671">
        <v>0.60450000000000004</v>
      </c>
      <c r="F368" s="1671">
        <v>0.60450000000000004</v>
      </c>
      <c r="G368" s="1671">
        <v>0.48299999999999998</v>
      </c>
      <c r="H368" s="1671">
        <v>0.48299999999999998</v>
      </c>
      <c r="I368" s="1671">
        <v>0.40239999999999998</v>
      </c>
      <c r="J368" s="1671">
        <v>0.40239999999999998</v>
      </c>
      <c r="K368" s="1671">
        <v>0.40239999999999998</v>
      </c>
      <c r="L368" s="1671">
        <v>0.40239999999999998</v>
      </c>
      <c r="M368" s="1671">
        <v>0.40239999999999998</v>
      </c>
    </row>
    <row r="369" spans="1:14" ht="14.25">
      <c r="A369" s="1666" t="s">
        <v>1899</v>
      </c>
      <c r="B369" s="1671"/>
      <c r="C369" s="1671"/>
      <c r="D369" s="1671"/>
      <c r="E369" s="1671"/>
      <c r="F369" s="1671"/>
      <c r="G369" s="1671"/>
      <c r="H369" s="1671"/>
      <c r="I369" s="1671"/>
      <c r="J369" s="1671"/>
      <c r="K369" s="1671"/>
      <c r="L369" s="1671"/>
      <c r="M369" s="1671"/>
    </row>
    <row r="370" spans="1:14">
      <c r="A370" s="1668" t="s">
        <v>105</v>
      </c>
      <c r="B370" s="1671" t="s">
        <v>238</v>
      </c>
      <c r="C370" s="1671" t="s">
        <v>251</v>
      </c>
      <c r="D370" s="1671" t="s">
        <v>263</v>
      </c>
      <c r="E370" s="1671" t="s">
        <v>273</v>
      </c>
      <c r="F370" s="1671" t="s">
        <v>282</v>
      </c>
      <c r="G370" s="1671" t="s">
        <v>290</v>
      </c>
      <c r="H370" s="1671" t="s">
        <v>295</v>
      </c>
      <c r="I370" s="1671" t="s">
        <v>301</v>
      </c>
      <c r="J370" s="1671" t="s">
        <v>305</v>
      </c>
      <c r="K370" s="1671" t="s">
        <v>309</v>
      </c>
      <c r="L370" s="1671" t="s">
        <v>313</v>
      </c>
      <c r="M370" s="1671" t="s">
        <v>317</v>
      </c>
      <c r="N370" s="1665" t="e">
        <f>SUMPRODUCT((A371:A460=ROUNDDOWN([2]基准地价修正!G3,1))*(B370:M370=[2]基准地价修正!G2)*(B371:M460))</f>
        <v>#REF!</v>
      </c>
    </row>
    <row r="371" spans="1:14">
      <c r="A371" s="1668">
        <v>1</v>
      </c>
      <c r="B371" s="1671">
        <v>1.1839999999999999</v>
      </c>
      <c r="C371" s="1671">
        <v>1.1839999999999999</v>
      </c>
      <c r="D371" s="1671">
        <v>1.1565000000000001</v>
      </c>
      <c r="E371" s="1671">
        <v>1.1565000000000001</v>
      </c>
      <c r="F371" s="1671">
        <v>1.1565000000000001</v>
      </c>
      <c r="G371" s="1671">
        <v>1.1565000000000001</v>
      </c>
      <c r="H371" s="1671">
        <v>1.1565000000000001</v>
      </c>
      <c r="I371" s="1671">
        <v>1.1198999999999999</v>
      </c>
      <c r="J371" s="1671">
        <v>1.1198999999999999</v>
      </c>
      <c r="K371" s="1671">
        <v>1.1198999999999999</v>
      </c>
      <c r="L371" s="1671">
        <v>1.1198999999999999</v>
      </c>
      <c r="M371" s="1671">
        <v>1.1198999999999999</v>
      </c>
    </row>
    <row r="372" spans="1:14">
      <c r="A372" s="1668">
        <v>1.1000000000000001</v>
      </c>
      <c r="B372" s="1671">
        <v>1.1658999999999999</v>
      </c>
      <c r="C372" s="1671">
        <v>1.1658999999999999</v>
      </c>
      <c r="D372" s="1671">
        <v>1.1364000000000001</v>
      </c>
      <c r="E372" s="1671">
        <v>1.1364000000000001</v>
      </c>
      <c r="F372" s="1671">
        <v>1.1364000000000001</v>
      </c>
      <c r="G372" s="1671">
        <v>1.1364000000000001</v>
      </c>
      <c r="H372" s="1671">
        <v>1.1364000000000001</v>
      </c>
      <c r="I372" s="1671">
        <v>1.0931</v>
      </c>
      <c r="J372" s="1671">
        <v>1.0931</v>
      </c>
      <c r="K372" s="1671">
        <v>1.0931</v>
      </c>
      <c r="L372" s="1671">
        <v>1.0931</v>
      </c>
      <c r="M372" s="1671">
        <v>1.0931</v>
      </c>
    </row>
    <row r="373" spans="1:14">
      <c r="A373" s="1668">
        <v>1.2</v>
      </c>
      <c r="B373" s="1671">
        <v>1.1489</v>
      </c>
      <c r="C373" s="1671">
        <v>1.1489</v>
      </c>
      <c r="D373" s="1671">
        <v>1.1174999999999999</v>
      </c>
      <c r="E373" s="1671">
        <v>1.1174999999999999</v>
      </c>
      <c r="F373" s="1671">
        <v>1.1174999999999999</v>
      </c>
      <c r="G373" s="1671">
        <v>1.1174999999999999</v>
      </c>
      <c r="H373" s="1671">
        <v>1.1174999999999999</v>
      </c>
      <c r="I373" s="1671">
        <v>1.0678000000000001</v>
      </c>
      <c r="J373" s="1671">
        <v>1.0678000000000001</v>
      </c>
      <c r="K373" s="1671">
        <v>1.0678000000000001</v>
      </c>
      <c r="L373" s="1671">
        <v>1.0678000000000001</v>
      </c>
      <c r="M373" s="1671">
        <v>1.0678000000000001</v>
      </c>
    </row>
    <row r="374" spans="1:14">
      <c r="A374" s="1668">
        <v>1.3</v>
      </c>
      <c r="B374" s="1671">
        <v>1.1328</v>
      </c>
      <c r="C374" s="1671">
        <v>1.1328</v>
      </c>
      <c r="D374" s="1671">
        <v>1.0995999999999999</v>
      </c>
      <c r="E374" s="1671">
        <v>1.0995999999999999</v>
      </c>
      <c r="F374" s="1671">
        <v>1.0995999999999999</v>
      </c>
      <c r="G374" s="1671">
        <v>1.0995999999999999</v>
      </c>
      <c r="H374" s="1671">
        <v>1.0995999999999999</v>
      </c>
      <c r="I374" s="1671">
        <v>1.044</v>
      </c>
      <c r="J374" s="1671">
        <v>1.044</v>
      </c>
      <c r="K374" s="1671">
        <v>1.044</v>
      </c>
      <c r="L374" s="1671">
        <v>1.044</v>
      </c>
      <c r="M374" s="1671">
        <v>1.044</v>
      </c>
    </row>
    <row r="375" spans="1:14">
      <c r="A375" s="1668">
        <v>1.4</v>
      </c>
      <c r="B375" s="1671">
        <v>1.1175999999999999</v>
      </c>
      <c r="C375" s="1671">
        <v>1.1175999999999999</v>
      </c>
      <c r="D375" s="1671">
        <v>1.0827</v>
      </c>
      <c r="E375" s="1671">
        <v>1.0827</v>
      </c>
      <c r="F375" s="1671">
        <v>1.0827</v>
      </c>
      <c r="G375" s="1671">
        <v>1.0827</v>
      </c>
      <c r="H375" s="1671">
        <v>1.0827</v>
      </c>
      <c r="I375" s="1671">
        <v>1.0214000000000001</v>
      </c>
      <c r="J375" s="1671">
        <v>1.0214000000000001</v>
      </c>
      <c r="K375" s="1671">
        <v>1.0214000000000001</v>
      </c>
      <c r="L375" s="1671">
        <v>1.0214000000000001</v>
      </c>
      <c r="M375" s="1671">
        <v>1.0214000000000001</v>
      </c>
    </row>
    <row r="376" spans="1:14">
      <c r="A376" s="1668">
        <v>1.5</v>
      </c>
      <c r="B376" s="1671">
        <v>1.1032999999999999</v>
      </c>
      <c r="C376" s="1671">
        <v>1.1032999999999999</v>
      </c>
      <c r="D376" s="1671">
        <v>1.0668</v>
      </c>
      <c r="E376" s="1671">
        <v>1.0668</v>
      </c>
      <c r="F376" s="1671">
        <v>1.0668</v>
      </c>
      <c r="G376" s="1671">
        <v>1.0668</v>
      </c>
      <c r="H376" s="1671">
        <v>1.0668</v>
      </c>
      <c r="I376" s="1671">
        <v>1</v>
      </c>
      <c r="J376" s="1671">
        <v>1</v>
      </c>
      <c r="K376" s="1671">
        <v>1</v>
      </c>
      <c r="L376" s="1671">
        <v>1</v>
      </c>
      <c r="M376" s="1671">
        <v>1</v>
      </c>
    </row>
    <row r="377" spans="1:14">
      <c r="A377" s="1668">
        <v>1.6</v>
      </c>
      <c r="B377" s="1671">
        <v>1.0899000000000001</v>
      </c>
      <c r="C377" s="1671">
        <v>1.0899000000000001</v>
      </c>
      <c r="D377" s="1671">
        <v>1.0517000000000001</v>
      </c>
      <c r="E377" s="1671">
        <v>1.0517000000000001</v>
      </c>
      <c r="F377" s="1671">
        <v>1.0517000000000001</v>
      </c>
      <c r="G377" s="1671">
        <v>1.0517000000000001</v>
      </c>
      <c r="H377" s="1671">
        <v>1.0517000000000001</v>
      </c>
      <c r="I377" s="1671">
        <v>0.97989999999999999</v>
      </c>
      <c r="J377" s="1671">
        <v>0.97989999999999999</v>
      </c>
      <c r="K377" s="1671">
        <v>0.97989999999999999</v>
      </c>
      <c r="L377" s="1671">
        <v>0.97989999999999999</v>
      </c>
      <c r="M377" s="1671">
        <v>0.97989999999999999</v>
      </c>
    </row>
    <row r="378" spans="1:14">
      <c r="A378" s="1668">
        <v>1.7</v>
      </c>
      <c r="B378" s="1671">
        <v>1.0771999999999999</v>
      </c>
      <c r="C378" s="1671">
        <v>1.0771999999999999</v>
      </c>
      <c r="D378" s="1671">
        <v>1.0376000000000001</v>
      </c>
      <c r="E378" s="1671">
        <v>1.0376000000000001</v>
      </c>
      <c r="F378" s="1671">
        <v>1.0376000000000001</v>
      </c>
      <c r="G378" s="1671">
        <v>1.0376000000000001</v>
      </c>
      <c r="H378" s="1671">
        <v>1.0376000000000001</v>
      </c>
      <c r="I378" s="1671">
        <v>0.96089999999999998</v>
      </c>
      <c r="J378" s="1671">
        <v>0.96089999999999998</v>
      </c>
      <c r="K378" s="1671">
        <v>0.96089999999999998</v>
      </c>
      <c r="L378" s="1671">
        <v>0.96089999999999998</v>
      </c>
      <c r="M378" s="1671">
        <v>0.96089999999999998</v>
      </c>
    </row>
    <row r="379" spans="1:14">
      <c r="A379" s="1668">
        <v>1.8</v>
      </c>
      <c r="B379" s="1671">
        <v>1.0652999999999999</v>
      </c>
      <c r="C379" s="1671">
        <v>1.0652999999999999</v>
      </c>
      <c r="D379" s="1671">
        <v>1.0243</v>
      </c>
      <c r="E379" s="1671">
        <v>1.0243</v>
      </c>
      <c r="F379" s="1671">
        <v>1.0243</v>
      </c>
      <c r="G379" s="1671">
        <v>1.0243</v>
      </c>
      <c r="H379" s="1671">
        <v>1.0243</v>
      </c>
      <c r="I379" s="1671">
        <v>0.94299999999999995</v>
      </c>
      <c r="J379" s="1671">
        <v>0.94299999999999995</v>
      </c>
      <c r="K379" s="1671">
        <v>0.94299999999999995</v>
      </c>
      <c r="L379" s="1671">
        <v>0.94299999999999995</v>
      </c>
      <c r="M379" s="1671">
        <v>0.94299999999999995</v>
      </c>
    </row>
    <row r="380" spans="1:14">
      <c r="A380" s="1668">
        <v>1.9</v>
      </c>
      <c r="B380" s="1671">
        <v>1.054</v>
      </c>
      <c r="C380" s="1671">
        <v>1.054</v>
      </c>
      <c r="D380" s="1671">
        <v>1.0118</v>
      </c>
      <c r="E380" s="1671">
        <v>1.0118</v>
      </c>
      <c r="F380" s="1671">
        <v>1.0118</v>
      </c>
      <c r="G380" s="1671">
        <v>1.0118</v>
      </c>
      <c r="H380" s="1671">
        <v>1.0118</v>
      </c>
      <c r="I380" s="1671">
        <v>0.92620000000000002</v>
      </c>
      <c r="J380" s="1671">
        <v>0.92620000000000002</v>
      </c>
      <c r="K380" s="1671">
        <v>0.92620000000000002</v>
      </c>
      <c r="L380" s="1671">
        <v>0.92620000000000002</v>
      </c>
      <c r="M380" s="1671">
        <v>0.92620000000000002</v>
      </c>
    </row>
    <row r="381" spans="1:14">
      <c r="A381" s="1668">
        <v>2</v>
      </c>
      <c r="B381" s="1671">
        <v>1.0435000000000001</v>
      </c>
      <c r="C381" s="1671">
        <v>1.0435000000000001</v>
      </c>
      <c r="D381" s="1671">
        <v>1</v>
      </c>
      <c r="E381" s="1671">
        <v>1</v>
      </c>
      <c r="F381" s="1671">
        <v>1</v>
      </c>
      <c r="G381" s="1671">
        <v>1</v>
      </c>
      <c r="H381" s="1671">
        <v>1</v>
      </c>
      <c r="I381" s="1671">
        <v>0.9103</v>
      </c>
      <c r="J381" s="1671">
        <v>0.9103</v>
      </c>
      <c r="K381" s="1671">
        <v>0.9103</v>
      </c>
      <c r="L381" s="1671">
        <v>0.9103</v>
      </c>
      <c r="M381" s="1671">
        <v>0.9103</v>
      </c>
    </row>
    <row r="382" spans="1:14">
      <c r="A382" s="1668">
        <v>2.1</v>
      </c>
      <c r="B382" s="1671">
        <v>1.0336000000000001</v>
      </c>
      <c r="C382" s="1671">
        <v>1.0336000000000001</v>
      </c>
      <c r="D382" s="1671">
        <v>0.98899999999999999</v>
      </c>
      <c r="E382" s="1671">
        <v>0.98899999999999999</v>
      </c>
      <c r="F382" s="1671">
        <v>0.98899999999999999</v>
      </c>
      <c r="G382" s="1671">
        <v>0.98899999999999999</v>
      </c>
      <c r="H382" s="1671">
        <v>0.98899999999999999</v>
      </c>
      <c r="I382" s="1671">
        <v>0.89539999999999997</v>
      </c>
      <c r="J382" s="1671">
        <v>0.89539999999999997</v>
      </c>
      <c r="K382" s="1671">
        <v>0.89539999999999997</v>
      </c>
      <c r="L382" s="1671">
        <v>0.89539999999999997</v>
      </c>
      <c r="M382" s="1671">
        <v>0.89539999999999997</v>
      </c>
    </row>
    <row r="383" spans="1:14">
      <c r="A383" s="1668">
        <v>2.2000000000000002</v>
      </c>
      <c r="B383" s="1671">
        <v>1.0243</v>
      </c>
      <c r="C383" s="1671">
        <v>1.0243</v>
      </c>
      <c r="D383" s="1671">
        <v>0.97860000000000003</v>
      </c>
      <c r="E383" s="1671">
        <v>0.97860000000000003</v>
      </c>
      <c r="F383" s="1671">
        <v>0.97860000000000003</v>
      </c>
      <c r="G383" s="1671">
        <v>0.97860000000000003</v>
      </c>
      <c r="H383" s="1671">
        <v>0.97860000000000003</v>
      </c>
      <c r="I383" s="1671">
        <v>0.88139999999999996</v>
      </c>
      <c r="J383" s="1671">
        <v>0.88139999999999996</v>
      </c>
      <c r="K383" s="1671">
        <v>0.88139999999999996</v>
      </c>
      <c r="L383" s="1671">
        <v>0.88139999999999996</v>
      </c>
      <c r="M383" s="1671">
        <v>0.88139999999999996</v>
      </c>
    </row>
    <row r="384" spans="1:14">
      <c r="A384" s="1668">
        <v>2.2999999999999998</v>
      </c>
      <c r="B384" s="1671">
        <v>1.0157</v>
      </c>
      <c r="C384" s="1671">
        <v>1.0157</v>
      </c>
      <c r="D384" s="1671">
        <v>0.96889999999999998</v>
      </c>
      <c r="E384" s="1671">
        <v>0.96889999999999998</v>
      </c>
      <c r="F384" s="1671">
        <v>0.96889999999999998</v>
      </c>
      <c r="G384" s="1671">
        <v>0.96889999999999998</v>
      </c>
      <c r="H384" s="1671">
        <v>0.96889999999999998</v>
      </c>
      <c r="I384" s="1671">
        <v>0.86819999999999997</v>
      </c>
      <c r="J384" s="1671">
        <v>0.86819999999999997</v>
      </c>
      <c r="K384" s="1671">
        <v>0.86819999999999997</v>
      </c>
      <c r="L384" s="1671">
        <v>0.86819999999999997</v>
      </c>
      <c r="M384" s="1671">
        <v>0.86819999999999997</v>
      </c>
    </row>
    <row r="385" spans="1:13">
      <c r="A385" s="1668">
        <v>2.4</v>
      </c>
      <c r="B385" s="1671">
        <v>1.0076000000000001</v>
      </c>
      <c r="C385" s="1671">
        <v>1.0076000000000001</v>
      </c>
      <c r="D385" s="1671">
        <v>0.95979999999999999</v>
      </c>
      <c r="E385" s="1671">
        <v>0.95979999999999999</v>
      </c>
      <c r="F385" s="1671">
        <v>0.95979999999999999</v>
      </c>
      <c r="G385" s="1671">
        <v>0.95979999999999999</v>
      </c>
      <c r="H385" s="1671">
        <v>0.95979999999999999</v>
      </c>
      <c r="I385" s="1671">
        <v>0.85580000000000001</v>
      </c>
      <c r="J385" s="1671">
        <v>0.85580000000000001</v>
      </c>
      <c r="K385" s="1671">
        <v>0.85580000000000001</v>
      </c>
      <c r="L385" s="1671">
        <v>0.85580000000000001</v>
      </c>
      <c r="M385" s="1671">
        <v>0.85580000000000001</v>
      </c>
    </row>
    <row r="386" spans="1:13">
      <c r="A386" s="1668">
        <v>2.5</v>
      </c>
      <c r="B386" s="1671">
        <v>1</v>
      </c>
      <c r="C386" s="1671">
        <v>1</v>
      </c>
      <c r="D386" s="1671">
        <v>0.95120000000000005</v>
      </c>
      <c r="E386" s="1671">
        <v>0.95120000000000005</v>
      </c>
      <c r="F386" s="1671">
        <v>0.95120000000000005</v>
      </c>
      <c r="G386" s="1671">
        <v>0.95120000000000005</v>
      </c>
      <c r="H386" s="1671">
        <v>0.95120000000000005</v>
      </c>
      <c r="I386" s="1671">
        <v>0.84419999999999995</v>
      </c>
      <c r="J386" s="1671">
        <v>0.84419999999999995</v>
      </c>
      <c r="K386" s="1671">
        <v>0.84419999999999995</v>
      </c>
      <c r="L386" s="1671">
        <v>0.84419999999999995</v>
      </c>
      <c r="M386" s="1671">
        <v>0.84419999999999995</v>
      </c>
    </row>
    <row r="387" spans="1:13">
      <c r="A387" s="1668">
        <v>2.6</v>
      </c>
      <c r="B387" s="1671">
        <v>0.9929</v>
      </c>
      <c r="C387" s="1671">
        <v>0.9929</v>
      </c>
      <c r="D387" s="1671">
        <v>0.94320000000000004</v>
      </c>
      <c r="E387" s="1671">
        <v>0.94320000000000004</v>
      </c>
      <c r="F387" s="1671">
        <v>0.94320000000000004</v>
      </c>
      <c r="G387" s="1671">
        <v>0.94320000000000004</v>
      </c>
      <c r="H387" s="1671">
        <v>0.94320000000000004</v>
      </c>
      <c r="I387" s="1671">
        <v>0.83330000000000004</v>
      </c>
      <c r="J387" s="1671">
        <v>0.83330000000000004</v>
      </c>
      <c r="K387" s="1671">
        <v>0.83330000000000004</v>
      </c>
      <c r="L387" s="1671">
        <v>0.83330000000000004</v>
      </c>
      <c r="M387" s="1671">
        <v>0.83330000000000004</v>
      </c>
    </row>
    <row r="388" spans="1:13">
      <c r="A388" s="1668">
        <v>2.7</v>
      </c>
      <c r="B388" s="1671">
        <v>0.98629999999999995</v>
      </c>
      <c r="C388" s="1671">
        <v>0.98629999999999995</v>
      </c>
      <c r="D388" s="1671">
        <v>0.93569999999999998</v>
      </c>
      <c r="E388" s="1671">
        <v>0.93569999999999998</v>
      </c>
      <c r="F388" s="1671">
        <v>0.93569999999999998</v>
      </c>
      <c r="G388" s="1671">
        <v>0.93569999999999998</v>
      </c>
      <c r="H388" s="1671">
        <v>0.93569999999999998</v>
      </c>
      <c r="I388" s="1671">
        <v>0.82320000000000004</v>
      </c>
      <c r="J388" s="1671">
        <v>0.82320000000000004</v>
      </c>
      <c r="K388" s="1671">
        <v>0.82320000000000004</v>
      </c>
      <c r="L388" s="1671">
        <v>0.82320000000000004</v>
      </c>
      <c r="M388" s="1671">
        <v>0.82320000000000004</v>
      </c>
    </row>
    <row r="389" spans="1:13">
      <c r="A389" s="1668">
        <v>2.8</v>
      </c>
      <c r="B389" s="1671">
        <v>0.98009999999999997</v>
      </c>
      <c r="C389" s="1671">
        <v>0.98009999999999997</v>
      </c>
      <c r="D389" s="1671">
        <v>0.92879999999999996</v>
      </c>
      <c r="E389" s="1671">
        <v>0.92879999999999996</v>
      </c>
      <c r="F389" s="1671">
        <v>0.92879999999999996</v>
      </c>
      <c r="G389" s="1671">
        <v>0.92879999999999996</v>
      </c>
      <c r="H389" s="1671">
        <v>0.92879999999999996</v>
      </c>
      <c r="I389" s="1671">
        <v>0.81359999999999999</v>
      </c>
      <c r="J389" s="1671">
        <v>0.81359999999999999</v>
      </c>
      <c r="K389" s="1671">
        <v>0.81359999999999999</v>
      </c>
      <c r="L389" s="1671">
        <v>0.81359999999999999</v>
      </c>
      <c r="M389" s="1671">
        <v>0.81359999999999999</v>
      </c>
    </row>
    <row r="390" spans="1:13">
      <c r="A390" s="1668">
        <v>2.9</v>
      </c>
      <c r="B390" s="1671">
        <v>0.97430000000000005</v>
      </c>
      <c r="C390" s="1671">
        <v>0.97430000000000005</v>
      </c>
      <c r="D390" s="1671">
        <v>0.92220000000000002</v>
      </c>
      <c r="E390" s="1671">
        <v>0.92220000000000002</v>
      </c>
      <c r="F390" s="1671">
        <v>0.92220000000000002</v>
      </c>
      <c r="G390" s="1671">
        <v>0.92220000000000002</v>
      </c>
      <c r="H390" s="1671">
        <v>0.92220000000000002</v>
      </c>
      <c r="I390" s="1671">
        <v>0.80459999999999998</v>
      </c>
      <c r="J390" s="1671">
        <v>0.80459999999999998</v>
      </c>
      <c r="K390" s="1671">
        <v>0.80459999999999998</v>
      </c>
      <c r="L390" s="1671">
        <v>0.80459999999999998</v>
      </c>
      <c r="M390" s="1671">
        <v>0.80459999999999998</v>
      </c>
    </row>
    <row r="391" spans="1:13">
      <c r="A391" s="1668">
        <v>3</v>
      </c>
      <c r="B391" s="1671">
        <v>0.96889999999999998</v>
      </c>
      <c r="C391" s="1671">
        <v>0.96889999999999998</v>
      </c>
      <c r="D391" s="1671">
        <v>0.91610000000000003</v>
      </c>
      <c r="E391" s="1671">
        <v>0.91610000000000003</v>
      </c>
      <c r="F391" s="1671">
        <v>0.91610000000000003</v>
      </c>
      <c r="G391" s="1671">
        <v>0.91610000000000003</v>
      </c>
      <c r="H391" s="1671">
        <v>0.91610000000000003</v>
      </c>
      <c r="I391" s="1671">
        <v>0.79620000000000002</v>
      </c>
      <c r="J391" s="1671">
        <v>0.79620000000000002</v>
      </c>
      <c r="K391" s="1671">
        <v>0.79620000000000002</v>
      </c>
      <c r="L391" s="1671">
        <v>0.79620000000000002</v>
      </c>
      <c r="M391" s="1671">
        <v>0.79620000000000002</v>
      </c>
    </row>
    <row r="392" spans="1:13">
      <c r="A392" s="1668">
        <v>3.1</v>
      </c>
      <c r="B392" s="1671">
        <v>0.96389999999999998</v>
      </c>
      <c r="C392" s="1671">
        <v>0.96389999999999998</v>
      </c>
      <c r="D392" s="1671">
        <v>0.91039999999999999</v>
      </c>
      <c r="E392" s="1671">
        <v>0.91039999999999999</v>
      </c>
      <c r="F392" s="1671">
        <v>0.91039999999999999</v>
      </c>
      <c r="G392" s="1671">
        <v>0.91039999999999999</v>
      </c>
      <c r="H392" s="1671">
        <v>0.91039999999999999</v>
      </c>
      <c r="I392" s="1671">
        <v>0.7883</v>
      </c>
      <c r="J392" s="1671">
        <v>0.7883</v>
      </c>
      <c r="K392" s="1671">
        <v>0.7883</v>
      </c>
      <c r="L392" s="1671">
        <v>0.7883</v>
      </c>
      <c r="M392" s="1671">
        <v>0.7883</v>
      </c>
    </row>
    <row r="393" spans="1:13">
      <c r="A393" s="1668">
        <v>3.2</v>
      </c>
      <c r="B393" s="1671">
        <v>0.95930000000000004</v>
      </c>
      <c r="C393" s="1671">
        <v>0.95930000000000004</v>
      </c>
      <c r="D393" s="1671">
        <v>0.9052</v>
      </c>
      <c r="E393" s="1671">
        <v>0.9052</v>
      </c>
      <c r="F393" s="1671">
        <v>0.9052</v>
      </c>
      <c r="G393" s="1671">
        <v>0.9052</v>
      </c>
      <c r="H393" s="1671">
        <v>0.9052</v>
      </c>
      <c r="I393" s="1671">
        <v>0.78090000000000004</v>
      </c>
      <c r="J393" s="1671">
        <v>0.78090000000000004</v>
      </c>
      <c r="K393" s="1671">
        <v>0.78090000000000004</v>
      </c>
      <c r="L393" s="1671">
        <v>0.78090000000000004</v>
      </c>
      <c r="M393" s="1671">
        <v>0.78090000000000004</v>
      </c>
    </row>
    <row r="394" spans="1:13">
      <c r="A394" s="1668">
        <v>3.3</v>
      </c>
      <c r="B394" s="1671">
        <v>0.95489999999999997</v>
      </c>
      <c r="C394" s="1671">
        <v>0.95489999999999997</v>
      </c>
      <c r="D394" s="1671">
        <v>0.9002</v>
      </c>
      <c r="E394" s="1671">
        <v>0.9002</v>
      </c>
      <c r="F394" s="1671">
        <v>0.9002</v>
      </c>
      <c r="G394" s="1671">
        <v>0.9002</v>
      </c>
      <c r="H394" s="1671">
        <v>0.9002</v>
      </c>
      <c r="I394" s="1671">
        <v>0.77410000000000001</v>
      </c>
      <c r="J394" s="1671">
        <v>0.77410000000000001</v>
      </c>
      <c r="K394" s="1671">
        <v>0.77410000000000001</v>
      </c>
      <c r="L394" s="1671">
        <v>0.77410000000000001</v>
      </c>
      <c r="M394" s="1671">
        <v>0.77410000000000001</v>
      </c>
    </row>
    <row r="395" spans="1:13">
      <c r="A395" s="1668">
        <v>3.4</v>
      </c>
      <c r="B395" s="1671">
        <v>0.95089999999999997</v>
      </c>
      <c r="C395" s="1671">
        <v>0.95089999999999997</v>
      </c>
      <c r="D395" s="1671">
        <v>0.89559999999999995</v>
      </c>
      <c r="E395" s="1671">
        <v>0.89559999999999995</v>
      </c>
      <c r="F395" s="1671">
        <v>0.89559999999999995</v>
      </c>
      <c r="G395" s="1671">
        <v>0.89559999999999995</v>
      </c>
      <c r="H395" s="1671">
        <v>0.89559999999999995</v>
      </c>
      <c r="I395" s="1671">
        <v>0.76759999999999995</v>
      </c>
      <c r="J395" s="1671">
        <v>0.76759999999999995</v>
      </c>
      <c r="K395" s="1671">
        <v>0.76759999999999995</v>
      </c>
      <c r="L395" s="1671">
        <v>0.76759999999999995</v>
      </c>
      <c r="M395" s="1671">
        <v>0.76759999999999995</v>
      </c>
    </row>
    <row r="396" spans="1:13">
      <c r="A396" s="1668">
        <v>3.5</v>
      </c>
      <c r="B396" s="1671">
        <v>0.94710000000000005</v>
      </c>
      <c r="C396" s="1671">
        <v>0.94710000000000005</v>
      </c>
      <c r="D396" s="1671">
        <v>0.89129999999999998</v>
      </c>
      <c r="E396" s="1671">
        <v>0.89129999999999998</v>
      </c>
      <c r="F396" s="1671">
        <v>0.89129999999999998</v>
      </c>
      <c r="G396" s="1671">
        <v>0.89129999999999998</v>
      </c>
      <c r="H396" s="1671">
        <v>0.89129999999999998</v>
      </c>
      <c r="I396" s="1671">
        <v>0.76160000000000005</v>
      </c>
      <c r="J396" s="1671">
        <v>0.76160000000000005</v>
      </c>
      <c r="K396" s="1671">
        <v>0.76160000000000005</v>
      </c>
      <c r="L396" s="1671">
        <v>0.76160000000000005</v>
      </c>
      <c r="M396" s="1671">
        <v>0.76160000000000005</v>
      </c>
    </row>
    <row r="397" spans="1:13">
      <c r="A397" s="1668">
        <v>3.6</v>
      </c>
      <c r="B397" s="1671">
        <v>0.94359999999999999</v>
      </c>
      <c r="C397" s="1671">
        <v>0.94359999999999999</v>
      </c>
      <c r="D397" s="1671">
        <v>0.88729999999999998</v>
      </c>
      <c r="E397" s="1671">
        <v>0.88729999999999998</v>
      </c>
      <c r="F397" s="1671">
        <v>0.88729999999999998</v>
      </c>
      <c r="G397" s="1671">
        <v>0.88729999999999998</v>
      </c>
      <c r="H397" s="1671">
        <v>0.88729999999999998</v>
      </c>
      <c r="I397" s="1671">
        <v>0.75590000000000002</v>
      </c>
      <c r="J397" s="1671">
        <v>0.75590000000000002</v>
      </c>
      <c r="K397" s="1671">
        <v>0.75590000000000002</v>
      </c>
      <c r="L397" s="1671">
        <v>0.75590000000000002</v>
      </c>
      <c r="M397" s="1671">
        <v>0.75590000000000002</v>
      </c>
    </row>
    <row r="398" spans="1:13">
      <c r="A398" s="1672">
        <v>3.7</v>
      </c>
      <c r="B398" s="1671">
        <v>0.94040000000000001</v>
      </c>
      <c r="C398" s="1671">
        <v>0.94040000000000001</v>
      </c>
      <c r="D398" s="1671">
        <v>0.88349999999999995</v>
      </c>
      <c r="E398" s="1671">
        <v>0.88349999999999995</v>
      </c>
      <c r="F398" s="1671">
        <v>0.88349999999999995</v>
      </c>
      <c r="G398" s="1671">
        <v>0.88349999999999995</v>
      </c>
      <c r="H398" s="1671">
        <v>0.88349999999999995</v>
      </c>
      <c r="I398" s="1671">
        <v>0.75070000000000003</v>
      </c>
      <c r="J398" s="1671">
        <v>0.75070000000000003</v>
      </c>
      <c r="K398" s="1671">
        <v>0.75070000000000003</v>
      </c>
      <c r="L398" s="1671">
        <v>0.75070000000000003</v>
      </c>
      <c r="M398" s="1671">
        <v>0.75070000000000003</v>
      </c>
    </row>
    <row r="399" spans="1:13">
      <c r="A399" s="1672">
        <v>3.8</v>
      </c>
      <c r="B399" s="1671">
        <v>0.93740000000000001</v>
      </c>
      <c r="C399" s="1671">
        <v>0.93740000000000001</v>
      </c>
      <c r="D399" s="1671">
        <v>0.88009999999999999</v>
      </c>
      <c r="E399" s="1671">
        <v>0.88009999999999999</v>
      </c>
      <c r="F399" s="1671">
        <v>0.88009999999999999</v>
      </c>
      <c r="G399" s="1671">
        <v>0.88009999999999999</v>
      </c>
      <c r="H399" s="1671">
        <v>0.88009999999999999</v>
      </c>
      <c r="I399" s="1671">
        <v>0.74570000000000003</v>
      </c>
      <c r="J399" s="1671">
        <v>0.74570000000000003</v>
      </c>
      <c r="K399" s="1671">
        <v>0.74570000000000003</v>
      </c>
      <c r="L399" s="1671">
        <v>0.74570000000000003</v>
      </c>
      <c r="M399" s="1671">
        <v>0.74570000000000003</v>
      </c>
    </row>
    <row r="400" spans="1:13">
      <c r="A400" s="1672">
        <v>3.9</v>
      </c>
      <c r="B400" s="1671">
        <v>0.93459999999999999</v>
      </c>
      <c r="C400" s="1671">
        <v>0.93459999999999999</v>
      </c>
      <c r="D400" s="1671">
        <v>0.87680000000000002</v>
      </c>
      <c r="E400" s="1671">
        <v>0.87680000000000002</v>
      </c>
      <c r="F400" s="1671">
        <v>0.87680000000000002</v>
      </c>
      <c r="G400" s="1671">
        <v>0.87680000000000002</v>
      </c>
      <c r="H400" s="1671">
        <v>0.87680000000000002</v>
      </c>
      <c r="I400" s="1671">
        <v>0.74109999999999998</v>
      </c>
      <c r="J400" s="1671">
        <v>0.74109999999999998</v>
      </c>
      <c r="K400" s="1671">
        <v>0.74109999999999998</v>
      </c>
      <c r="L400" s="1671">
        <v>0.74109999999999998</v>
      </c>
      <c r="M400" s="1671">
        <v>0.74109999999999998</v>
      </c>
    </row>
    <row r="401" spans="1:13">
      <c r="A401" s="1672">
        <v>4</v>
      </c>
      <c r="B401" s="1671">
        <v>0.93179999999999996</v>
      </c>
      <c r="C401" s="1671">
        <v>0.93179999999999996</v>
      </c>
      <c r="D401" s="1671">
        <v>0.87380000000000002</v>
      </c>
      <c r="E401" s="1671">
        <v>0.87380000000000002</v>
      </c>
      <c r="F401" s="1671">
        <v>0.87380000000000002</v>
      </c>
      <c r="G401" s="1671">
        <v>0.87380000000000002</v>
      </c>
      <c r="H401" s="1671">
        <v>0.87380000000000002</v>
      </c>
      <c r="I401" s="1671">
        <v>0.73680000000000001</v>
      </c>
      <c r="J401" s="1671">
        <v>0.73680000000000001</v>
      </c>
      <c r="K401" s="1671">
        <v>0.73680000000000001</v>
      </c>
      <c r="L401" s="1671">
        <v>0.73680000000000001</v>
      </c>
      <c r="M401" s="1671">
        <v>0.73680000000000001</v>
      </c>
    </row>
    <row r="402" spans="1:13">
      <c r="A402" s="1672">
        <v>4.0999999999999996</v>
      </c>
      <c r="B402" s="1671">
        <v>0.92920000000000003</v>
      </c>
      <c r="C402" s="1671">
        <v>0.92920000000000003</v>
      </c>
      <c r="D402" s="1671">
        <v>0.87090000000000001</v>
      </c>
      <c r="E402" s="1671">
        <v>0.87090000000000001</v>
      </c>
      <c r="F402" s="1671">
        <v>0.87090000000000001</v>
      </c>
      <c r="G402" s="1671">
        <v>0.87090000000000001</v>
      </c>
      <c r="H402" s="1671">
        <v>0.87090000000000001</v>
      </c>
      <c r="I402" s="1671">
        <v>0.73270000000000002</v>
      </c>
      <c r="J402" s="1671">
        <v>0.73270000000000002</v>
      </c>
      <c r="K402" s="1671">
        <v>0.73270000000000002</v>
      </c>
      <c r="L402" s="1671">
        <v>0.73270000000000002</v>
      </c>
      <c r="M402" s="1671">
        <v>0.73270000000000002</v>
      </c>
    </row>
    <row r="403" spans="1:13">
      <c r="A403" s="1672">
        <v>4.2</v>
      </c>
      <c r="B403" s="1671">
        <v>0.92659999999999998</v>
      </c>
      <c r="C403" s="1671">
        <v>0.92659999999999998</v>
      </c>
      <c r="D403" s="1671">
        <v>0.86819999999999997</v>
      </c>
      <c r="E403" s="1671">
        <v>0.86819999999999997</v>
      </c>
      <c r="F403" s="1671">
        <v>0.86819999999999997</v>
      </c>
      <c r="G403" s="1671">
        <v>0.86819999999999997</v>
      </c>
      <c r="H403" s="1671">
        <v>0.86819999999999997</v>
      </c>
      <c r="I403" s="1671">
        <v>0.7288</v>
      </c>
      <c r="J403" s="1671">
        <v>0.7288</v>
      </c>
      <c r="K403" s="1671">
        <v>0.7288</v>
      </c>
      <c r="L403" s="1671">
        <v>0.7288</v>
      </c>
      <c r="M403" s="1671">
        <v>0.7288</v>
      </c>
    </row>
    <row r="404" spans="1:13">
      <c r="A404" s="1672">
        <v>4.3</v>
      </c>
      <c r="B404" s="1671">
        <v>0.92410000000000003</v>
      </c>
      <c r="C404" s="1671">
        <v>0.92410000000000003</v>
      </c>
      <c r="D404" s="1671">
        <v>0.86550000000000005</v>
      </c>
      <c r="E404" s="1671">
        <v>0.86550000000000005</v>
      </c>
      <c r="F404" s="1671">
        <v>0.86550000000000005</v>
      </c>
      <c r="G404" s="1671">
        <v>0.86550000000000005</v>
      </c>
      <c r="H404" s="1671">
        <v>0.86550000000000005</v>
      </c>
      <c r="I404" s="1671">
        <v>0.72509999999999997</v>
      </c>
      <c r="J404" s="1671">
        <v>0.72509999999999997</v>
      </c>
      <c r="K404" s="1671">
        <v>0.72509999999999997</v>
      </c>
      <c r="L404" s="1671">
        <v>0.72509999999999997</v>
      </c>
      <c r="M404" s="1671">
        <v>0.72509999999999997</v>
      </c>
    </row>
    <row r="405" spans="1:13">
      <c r="A405" s="1672">
        <v>4.4000000000000004</v>
      </c>
      <c r="B405" s="1671">
        <v>0.92179999999999995</v>
      </c>
      <c r="C405" s="1671">
        <v>0.92179999999999995</v>
      </c>
      <c r="D405" s="1671">
        <v>0.8629</v>
      </c>
      <c r="E405" s="1671">
        <v>0.8629</v>
      </c>
      <c r="F405" s="1671">
        <v>0.8629</v>
      </c>
      <c r="G405" s="1671">
        <v>0.8629</v>
      </c>
      <c r="H405" s="1671">
        <v>0.8629</v>
      </c>
      <c r="I405" s="1671">
        <v>0.72150000000000003</v>
      </c>
      <c r="J405" s="1671">
        <v>0.72150000000000003</v>
      </c>
      <c r="K405" s="1671">
        <v>0.72150000000000003</v>
      </c>
      <c r="L405" s="1671">
        <v>0.72150000000000003</v>
      </c>
      <c r="M405" s="1671">
        <v>0.72150000000000003</v>
      </c>
    </row>
    <row r="406" spans="1:13">
      <c r="A406" s="1672">
        <v>4.5</v>
      </c>
      <c r="B406" s="1671">
        <v>0.91949999999999998</v>
      </c>
      <c r="C406" s="1671">
        <v>0.91949999999999998</v>
      </c>
      <c r="D406" s="1671">
        <v>0.86050000000000004</v>
      </c>
      <c r="E406" s="1671">
        <v>0.86050000000000004</v>
      </c>
      <c r="F406" s="1671">
        <v>0.86050000000000004</v>
      </c>
      <c r="G406" s="1671">
        <v>0.86050000000000004</v>
      </c>
      <c r="H406" s="1671">
        <v>0.86050000000000004</v>
      </c>
      <c r="I406" s="1671">
        <v>0.71819999999999995</v>
      </c>
      <c r="J406" s="1671">
        <v>0.71819999999999995</v>
      </c>
      <c r="K406" s="1671">
        <v>0.71819999999999995</v>
      </c>
      <c r="L406" s="1671">
        <v>0.71819999999999995</v>
      </c>
      <c r="M406" s="1671">
        <v>0.71819999999999995</v>
      </c>
    </row>
    <row r="407" spans="1:13">
      <c r="A407" s="1672">
        <v>4.5999999999999996</v>
      </c>
      <c r="B407" s="1671">
        <v>0.9173</v>
      </c>
      <c r="C407" s="1671">
        <v>0.9173</v>
      </c>
      <c r="D407" s="1671">
        <v>0.85809999999999997</v>
      </c>
      <c r="E407" s="1671">
        <v>0.85809999999999997</v>
      </c>
      <c r="F407" s="1671">
        <v>0.85809999999999997</v>
      </c>
      <c r="G407" s="1671">
        <v>0.85809999999999997</v>
      </c>
      <c r="H407" s="1671">
        <v>0.85809999999999997</v>
      </c>
      <c r="I407" s="1671">
        <v>0.71499999999999997</v>
      </c>
      <c r="J407" s="1671">
        <v>0.71499999999999997</v>
      </c>
      <c r="K407" s="1671">
        <v>0.71499999999999997</v>
      </c>
      <c r="L407" s="1671">
        <v>0.71499999999999997</v>
      </c>
      <c r="M407" s="1671">
        <v>0.71499999999999997</v>
      </c>
    </row>
    <row r="408" spans="1:13">
      <c r="A408" s="1672">
        <v>4.7</v>
      </c>
      <c r="B408" s="1671">
        <v>0.91520000000000001</v>
      </c>
      <c r="C408" s="1671">
        <v>0.91520000000000001</v>
      </c>
      <c r="D408" s="1671">
        <v>0.85570000000000002</v>
      </c>
      <c r="E408" s="1671">
        <v>0.85570000000000002</v>
      </c>
      <c r="F408" s="1671">
        <v>0.85570000000000002</v>
      </c>
      <c r="G408" s="1671">
        <v>0.85570000000000002</v>
      </c>
      <c r="H408" s="1671">
        <v>0.85570000000000002</v>
      </c>
      <c r="I408" s="1671">
        <v>0.71199999999999997</v>
      </c>
      <c r="J408" s="1671">
        <v>0.71199999999999997</v>
      </c>
      <c r="K408" s="1671">
        <v>0.71199999999999997</v>
      </c>
      <c r="L408" s="1671">
        <v>0.71199999999999997</v>
      </c>
      <c r="M408" s="1671">
        <v>0.71199999999999997</v>
      </c>
    </row>
    <row r="409" spans="1:13">
      <c r="A409" s="1672">
        <v>4.8</v>
      </c>
      <c r="B409" s="1671">
        <v>0.91310000000000002</v>
      </c>
      <c r="C409" s="1671">
        <v>0.91310000000000002</v>
      </c>
      <c r="D409" s="1671">
        <v>0.85340000000000005</v>
      </c>
      <c r="E409" s="1671">
        <v>0.85340000000000005</v>
      </c>
      <c r="F409" s="1671">
        <v>0.85340000000000005</v>
      </c>
      <c r="G409" s="1671">
        <v>0.85340000000000005</v>
      </c>
      <c r="H409" s="1671">
        <v>0.85340000000000005</v>
      </c>
      <c r="I409" s="1671">
        <v>0.70909999999999995</v>
      </c>
      <c r="J409" s="1671">
        <v>0.70909999999999995</v>
      </c>
      <c r="K409" s="1671">
        <v>0.70909999999999995</v>
      </c>
      <c r="L409" s="1671">
        <v>0.70909999999999995</v>
      </c>
      <c r="M409" s="1671">
        <v>0.70909999999999995</v>
      </c>
    </row>
    <row r="410" spans="1:13">
      <c r="A410" s="1672">
        <v>4.9000000000000004</v>
      </c>
      <c r="B410" s="1671">
        <v>0.91120000000000001</v>
      </c>
      <c r="C410" s="1671">
        <v>0.91120000000000001</v>
      </c>
      <c r="D410" s="1671">
        <v>0.85109999999999997</v>
      </c>
      <c r="E410" s="1671">
        <v>0.85109999999999997</v>
      </c>
      <c r="F410" s="1671">
        <v>0.85109999999999997</v>
      </c>
      <c r="G410" s="1671">
        <v>0.85109999999999997</v>
      </c>
      <c r="H410" s="1671">
        <v>0.85109999999999997</v>
      </c>
      <c r="I410" s="1671">
        <v>0.70620000000000005</v>
      </c>
      <c r="J410" s="1671">
        <v>0.70620000000000005</v>
      </c>
      <c r="K410" s="1671">
        <v>0.70620000000000005</v>
      </c>
      <c r="L410" s="1671">
        <v>0.70620000000000005</v>
      </c>
      <c r="M410" s="1671">
        <v>0.70620000000000005</v>
      </c>
    </row>
    <row r="411" spans="1:13">
      <c r="A411" s="1672">
        <v>5</v>
      </c>
      <c r="B411" s="1671">
        <v>0.90920000000000001</v>
      </c>
      <c r="C411" s="1671">
        <v>0.90920000000000001</v>
      </c>
      <c r="D411" s="1671">
        <v>0.84889999999999999</v>
      </c>
      <c r="E411" s="1671">
        <v>0.84889999999999999</v>
      </c>
      <c r="F411" s="1671">
        <v>0.84889999999999999</v>
      </c>
      <c r="G411" s="1671">
        <v>0.84889999999999999</v>
      </c>
      <c r="H411" s="1671">
        <v>0.84889999999999999</v>
      </c>
      <c r="I411" s="1671">
        <v>0.70350000000000001</v>
      </c>
      <c r="J411" s="1671">
        <v>0.70350000000000001</v>
      </c>
      <c r="K411" s="1671">
        <v>0.70350000000000001</v>
      </c>
      <c r="L411" s="1671">
        <v>0.70350000000000001</v>
      </c>
      <c r="M411" s="1671">
        <v>0.70350000000000001</v>
      </c>
    </row>
    <row r="412" spans="1:13">
      <c r="A412" s="1672">
        <v>5.0999999999999996</v>
      </c>
      <c r="B412" s="1671">
        <v>0.90720000000000001</v>
      </c>
      <c r="C412" s="1671">
        <v>0.90720000000000001</v>
      </c>
      <c r="D412" s="1671">
        <v>0.84670000000000001</v>
      </c>
      <c r="E412" s="1671">
        <v>0.84670000000000001</v>
      </c>
      <c r="F412" s="1671">
        <v>0.84670000000000001</v>
      </c>
      <c r="G412" s="1671">
        <v>0.84670000000000001</v>
      </c>
      <c r="H412" s="1671">
        <v>0.84670000000000001</v>
      </c>
      <c r="I412" s="1671">
        <v>0.70089999999999997</v>
      </c>
      <c r="J412" s="1671">
        <v>0.70089999999999997</v>
      </c>
      <c r="K412" s="1671">
        <v>0.70089999999999997</v>
      </c>
      <c r="L412" s="1671">
        <v>0.70089999999999997</v>
      </c>
      <c r="M412" s="1671">
        <v>0.70089999999999997</v>
      </c>
    </row>
    <row r="413" spans="1:13">
      <c r="A413" s="1672">
        <v>5.2</v>
      </c>
      <c r="B413" s="1671">
        <v>0.90529999999999999</v>
      </c>
      <c r="C413" s="1671">
        <v>0.90529999999999999</v>
      </c>
      <c r="D413" s="1671">
        <v>0.84450000000000003</v>
      </c>
      <c r="E413" s="1671">
        <v>0.84450000000000003</v>
      </c>
      <c r="F413" s="1671">
        <v>0.84450000000000003</v>
      </c>
      <c r="G413" s="1671">
        <v>0.84450000000000003</v>
      </c>
      <c r="H413" s="1671">
        <v>0.84450000000000003</v>
      </c>
      <c r="I413" s="1671">
        <v>0.69820000000000004</v>
      </c>
      <c r="J413" s="1671">
        <v>0.69820000000000004</v>
      </c>
      <c r="K413" s="1671">
        <v>0.69820000000000004</v>
      </c>
      <c r="L413" s="1671">
        <v>0.69820000000000004</v>
      </c>
      <c r="M413" s="1671">
        <v>0.69820000000000004</v>
      </c>
    </row>
    <row r="414" spans="1:13">
      <c r="A414" s="1672">
        <v>5.3</v>
      </c>
      <c r="B414" s="1671">
        <v>0.90339999999999998</v>
      </c>
      <c r="C414" s="1671">
        <v>0.90339999999999998</v>
      </c>
      <c r="D414" s="1671">
        <v>0.84230000000000005</v>
      </c>
      <c r="E414" s="1671">
        <v>0.84230000000000005</v>
      </c>
      <c r="F414" s="1671">
        <v>0.84230000000000005</v>
      </c>
      <c r="G414" s="1671">
        <v>0.84230000000000005</v>
      </c>
      <c r="H414" s="1671">
        <v>0.84230000000000005</v>
      </c>
      <c r="I414" s="1671">
        <v>0.69569999999999999</v>
      </c>
      <c r="J414" s="1671">
        <v>0.69569999999999999</v>
      </c>
      <c r="K414" s="1671">
        <v>0.69569999999999999</v>
      </c>
      <c r="L414" s="1671">
        <v>0.69569999999999999</v>
      </c>
      <c r="M414" s="1671">
        <v>0.69569999999999999</v>
      </c>
    </row>
    <row r="415" spans="1:13">
      <c r="A415" s="1672">
        <v>5.4</v>
      </c>
      <c r="B415" s="1671">
        <v>0.90149999999999997</v>
      </c>
      <c r="C415" s="1671">
        <v>0.90149999999999997</v>
      </c>
      <c r="D415" s="1671">
        <v>0.84019999999999995</v>
      </c>
      <c r="E415" s="1671">
        <v>0.84019999999999995</v>
      </c>
      <c r="F415" s="1671">
        <v>0.84019999999999995</v>
      </c>
      <c r="G415" s="1671">
        <v>0.84019999999999995</v>
      </c>
      <c r="H415" s="1671">
        <v>0.84019999999999995</v>
      </c>
      <c r="I415" s="1671">
        <v>0.69310000000000005</v>
      </c>
      <c r="J415" s="1671">
        <v>0.69310000000000005</v>
      </c>
      <c r="K415" s="1671">
        <v>0.69310000000000005</v>
      </c>
      <c r="L415" s="1671">
        <v>0.69310000000000005</v>
      </c>
      <c r="M415" s="1671">
        <v>0.69310000000000005</v>
      </c>
    </row>
    <row r="416" spans="1:13">
      <c r="A416" s="1672">
        <v>5.5</v>
      </c>
      <c r="B416" s="1671">
        <v>0.89959999999999996</v>
      </c>
      <c r="C416" s="1671">
        <v>0.89959999999999996</v>
      </c>
      <c r="D416" s="1671">
        <v>0.83809999999999996</v>
      </c>
      <c r="E416" s="1671">
        <v>0.83809999999999996</v>
      </c>
      <c r="F416" s="1671">
        <v>0.83809999999999996</v>
      </c>
      <c r="G416" s="1671">
        <v>0.83809999999999996</v>
      </c>
      <c r="H416" s="1671">
        <v>0.83809999999999996</v>
      </c>
      <c r="I416" s="1671">
        <v>0.69059999999999999</v>
      </c>
      <c r="J416" s="1671">
        <v>0.69059999999999999</v>
      </c>
      <c r="K416" s="1671">
        <v>0.69059999999999999</v>
      </c>
      <c r="L416" s="1671">
        <v>0.69059999999999999</v>
      </c>
      <c r="M416" s="1671">
        <v>0.69059999999999999</v>
      </c>
    </row>
    <row r="417" spans="1:13">
      <c r="A417" s="1672">
        <v>5.6</v>
      </c>
      <c r="B417" s="1671">
        <v>0.89780000000000004</v>
      </c>
      <c r="C417" s="1671">
        <v>0.89780000000000004</v>
      </c>
      <c r="D417" s="1671">
        <v>0.83599999999999997</v>
      </c>
      <c r="E417" s="1671">
        <v>0.83599999999999997</v>
      </c>
      <c r="F417" s="1671">
        <v>0.83599999999999997</v>
      </c>
      <c r="G417" s="1671">
        <v>0.83599999999999997</v>
      </c>
      <c r="H417" s="1671">
        <v>0.83599999999999997</v>
      </c>
      <c r="I417" s="1671">
        <v>0.68810000000000004</v>
      </c>
      <c r="J417" s="1671">
        <v>0.68810000000000004</v>
      </c>
      <c r="K417" s="1671">
        <v>0.68810000000000004</v>
      </c>
      <c r="L417" s="1671">
        <v>0.68810000000000004</v>
      </c>
      <c r="M417" s="1671">
        <v>0.68810000000000004</v>
      </c>
    </row>
    <row r="418" spans="1:13">
      <c r="A418" s="1672">
        <v>5.7</v>
      </c>
      <c r="B418" s="1671">
        <v>0.89600000000000002</v>
      </c>
      <c r="C418" s="1671">
        <v>0.89600000000000002</v>
      </c>
      <c r="D418" s="1671">
        <v>0.83389999999999997</v>
      </c>
      <c r="E418" s="1671">
        <v>0.83389999999999997</v>
      </c>
      <c r="F418" s="1671">
        <v>0.83389999999999997</v>
      </c>
      <c r="G418" s="1671">
        <v>0.83389999999999997</v>
      </c>
      <c r="H418" s="1671">
        <v>0.83389999999999997</v>
      </c>
      <c r="I418" s="1671">
        <v>0.68569999999999998</v>
      </c>
      <c r="J418" s="1671">
        <v>0.68569999999999998</v>
      </c>
      <c r="K418" s="1671">
        <v>0.68569999999999998</v>
      </c>
      <c r="L418" s="1671">
        <v>0.68569999999999998</v>
      </c>
      <c r="M418" s="1671">
        <v>0.68569999999999998</v>
      </c>
    </row>
    <row r="419" spans="1:13">
      <c r="A419" s="1672">
        <v>5.8</v>
      </c>
      <c r="B419" s="1671">
        <v>0.89419999999999999</v>
      </c>
      <c r="C419" s="1671">
        <v>0.89419999999999999</v>
      </c>
      <c r="D419" s="1671">
        <v>0.83189999999999997</v>
      </c>
      <c r="E419" s="1671">
        <v>0.83189999999999997</v>
      </c>
      <c r="F419" s="1671">
        <v>0.83189999999999997</v>
      </c>
      <c r="G419" s="1671">
        <v>0.83189999999999997</v>
      </c>
      <c r="H419" s="1671">
        <v>0.83189999999999997</v>
      </c>
      <c r="I419" s="1671">
        <v>0.68320000000000003</v>
      </c>
      <c r="J419" s="1671">
        <v>0.68320000000000003</v>
      </c>
      <c r="K419" s="1671">
        <v>0.68320000000000003</v>
      </c>
      <c r="L419" s="1671">
        <v>0.68320000000000003</v>
      </c>
      <c r="M419" s="1671">
        <v>0.68320000000000003</v>
      </c>
    </row>
    <row r="420" spans="1:13">
      <c r="A420" s="1672">
        <v>5.9</v>
      </c>
      <c r="B420" s="1671">
        <v>0.89239999999999997</v>
      </c>
      <c r="C420" s="1671">
        <v>0.89239999999999997</v>
      </c>
      <c r="D420" s="1671">
        <v>0.82989999999999997</v>
      </c>
      <c r="E420" s="1671">
        <v>0.82989999999999997</v>
      </c>
      <c r="F420" s="1671">
        <v>0.82989999999999997</v>
      </c>
      <c r="G420" s="1671">
        <v>0.82989999999999997</v>
      </c>
      <c r="H420" s="1671">
        <v>0.82989999999999997</v>
      </c>
      <c r="I420" s="1671">
        <v>0.68069999999999997</v>
      </c>
      <c r="J420" s="1671">
        <v>0.68069999999999997</v>
      </c>
      <c r="K420" s="1671">
        <v>0.68069999999999997</v>
      </c>
      <c r="L420" s="1671">
        <v>0.68069999999999997</v>
      </c>
      <c r="M420" s="1671">
        <v>0.68069999999999997</v>
      </c>
    </row>
    <row r="421" spans="1:13">
      <c r="A421" s="1672">
        <v>6</v>
      </c>
      <c r="B421" s="1671">
        <v>0.89070000000000005</v>
      </c>
      <c r="C421" s="1671">
        <v>0.89070000000000005</v>
      </c>
      <c r="D421" s="1671">
        <v>0.82789999999999997</v>
      </c>
      <c r="E421" s="1671">
        <v>0.82789999999999997</v>
      </c>
      <c r="F421" s="1671">
        <v>0.82789999999999997</v>
      </c>
      <c r="G421" s="1671">
        <v>0.82789999999999997</v>
      </c>
      <c r="H421" s="1671">
        <v>0.82789999999999997</v>
      </c>
      <c r="I421" s="1671">
        <v>0.6784</v>
      </c>
      <c r="J421" s="1671">
        <v>0.6784</v>
      </c>
      <c r="K421" s="1671">
        <v>0.6784</v>
      </c>
      <c r="L421" s="1671">
        <v>0.6784</v>
      </c>
      <c r="M421" s="1671">
        <v>0.6784</v>
      </c>
    </row>
    <row r="422" spans="1:13">
      <c r="A422" s="1672">
        <v>6.1</v>
      </c>
      <c r="B422" s="1671">
        <v>0.88900000000000001</v>
      </c>
      <c r="C422" s="1671">
        <v>0.88900000000000001</v>
      </c>
      <c r="D422" s="1671">
        <v>0.82589999999999997</v>
      </c>
      <c r="E422" s="1671">
        <v>0.82589999999999997</v>
      </c>
      <c r="F422" s="1671">
        <v>0.82589999999999997</v>
      </c>
      <c r="G422" s="1671">
        <v>0.82589999999999997</v>
      </c>
      <c r="H422" s="1671">
        <v>0.82589999999999997</v>
      </c>
      <c r="I422" s="1671">
        <v>0.67600000000000005</v>
      </c>
      <c r="J422" s="1671">
        <v>0.67600000000000005</v>
      </c>
      <c r="K422" s="1671">
        <v>0.67600000000000005</v>
      </c>
      <c r="L422" s="1671">
        <v>0.67600000000000005</v>
      </c>
      <c r="M422" s="1671">
        <v>0.67600000000000005</v>
      </c>
    </row>
    <row r="423" spans="1:13">
      <c r="A423" s="1672">
        <v>6.2</v>
      </c>
      <c r="B423" s="1671">
        <v>0.88729999999999998</v>
      </c>
      <c r="C423" s="1671">
        <v>0.88729999999999998</v>
      </c>
      <c r="D423" s="1671">
        <v>0.82389999999999997</v>
      </c>
      <c r="E423" s="1671">
        <v>0.82389999999999997</v>
      </c>
      <c r="F423" s="1671">
        <v>0.82389999999999997</v>
      </c>
      <c r="G423" s="1671">
        <v>0.82389999999999997</v>
      </c>
      <c r="H423" s="1671">
        <v>0.82389999999999997</v>
      </c>
      <c r="I423" s="1671">
        <v>0.67359999999999998</v>
      </c>
      <c r="J423" s="1671">
        <v>0.67359999999999998</v>
      </c>
      <c r="K423" s="1671">
        <v>0.67359999999999998</v>
      </c>
      <c r="L423" s="1671">
        <v>0.67359999999999998</v>
      </c>
      <c r="M423" s="1671">
        <v>0.67359999999999998</v>
      </c>
    </row>
    <row r="424" spans="1:13">
      <c r="A424" s="1672">
        <v>6.3</v>
      </c>
      <c r="B424" s="1671">
        <v>0.88560000000000005</v>
      </c>
      <c r="C424" s="1671">
        <v>0.88560000000000005</v>
      </c>
      <c r="D424" s="1671">
        <v>0.82189999999999996</v>
      </c>
      <c r="E424" s="1671">
        <v>0.82189999999999996</v>
      </c>
      <c r="F424" s="1671">
        <v>0.82189999999999996</v>
      </c>
      <c r="G424" s="1671">
        <v>0.82189999999999996</v>
      </c>
      <c r="H424" s="1671">
        <v>0.82189999999999996</v>
      </c>
      <c r="I424" s="1671">
        <v>0.67130000000000001</v>
      </c>
      <c r="J424" s="1671">
        <v>0.67130000000000001</v>
      </c>
      <c r="K424" s="1671">
        <v>0.67130000000000001</v>
      </c>
      <c r="L424" s="1671">
        <v>0.67130000000000001</v>
      </c>
      <c r="M424" s="1671">
        <v>0.67130000000000001</v>
      </c>
    </row>
    <row r="425" spans="1:13">
      <c r="A425" s="1672">
        <v>6.4</v>
      </c>
      <c r="B425" s="1671">
        <v>0.88390000000000002</v>
      </c>
      <c r="C425" s="1671">
        <v>0.88390000000000002</v>
      </c>
      <c r="D425" s="1671">
        <v>0.82</v>
      </c>
      <c r="E425" s="1671">
        <v>0.82</v>
      </c>
      <c r="F425" s="1671">
        <v>0.82</v>
      </c>
      <c r="G425" s="1671">
        <v>0.82</v>
      </c>
      <c r="H425" s="1671">
        <v>0.82</v>
      </c>
      <c r="I425" s="1671">
        <v>0.66890000000000005</v>
      </c>
      <c r="J425" s="1671">
        <v>0.66890000000000005</v>
      </c>
      <c r="K425" s="1671">
        <v>0.66890000000000005</v>
      </c>
      <c r="L425" s="1671">
        <v>0.66890000000000005</v>
      </c>
      <c r="M425" s="1671">
        <v>0.66890000000000005</v>
      </c>
    </row>
    <row r="426" spans="1:13">
      <c r="A426" s="1672">
        <v>6.5</v>
      </c>
      <c r="B426" s="1671">
        <v>0.88229999999999997</v>
      </c>
      <c r="C426" s="1671">
        <v>0.88229999999999997</v>
      </c>
      <c r="D426" s="1671">
        <v>0.81810000000000005</v>
      </c>
      <c r="E426" s="1671">
        <v>0.81810000000000005</v>
      </c>
      <c r="F426" s="1671">
        <v>0.81810000000000005</v>
      </c>
      <c r="G426" s="1671">
        <v>0.81810000000000005</v>
      </c>
      <c r="H426" s="1671">
        <v>0.81810000000000005</v>
      </c>
      <c r="I426" s="1671">
        <v>0.66659999999999997</v>
      </c>
      <c r="J426" s="1671">
        <v>0.66659999999999997</v>
      </c>
      <c r="K426" s="1671">
        <v>0.66659999999999997</v>
      </c>
      <c r="L426" s="1671">
        <v>0.66659999999999997</v>
      </c>
      <c r="M426" s="1671">
        <v>0.66659999999999997</v>
      </c>
    </row>
    <row r="427" spans="1:13">
      <c r="A427" s="1672">
        <v>6.6</v>
      </c>
      <c r="B427" s="1671">
        <v>0.88070000000000004</v>
      </c>
      <c r="C427" s="1671">
        <v>0.88070000000000004</v>
      </c>
      <c r="D427" s="1671">
        <v>0.81620000000000004</v>
      </c>
      <c r="E427" s="1671">
        <v>0.81620000000000004</v>
      </c>
      <c r="F427" s="1671">
        <v>0.81620000000000004</v>
      </c>
      <c r="G427" s="1671">
        <v>0.81620000000000004</v>
      </c>
      <c r="H427" s="1671">
        <v>0.81620000000000004</v>
      </c>
      <c r="I427" s="1671">
        <v>0.66439999999999999</v>
      </c>
      <c r="J427" s="1671">
        <v>0.66439999999999999</v>
      </c>
      <c r="K427" s="1671">
        <v>0.66439999999999999</v>
      </c>
      <c r="L427" s="1671">
        <v>0.66439999999999999</v>
      </c>
      <c r="M427" s="1671">
        <v>0.66439999999999999</v>
      </c>
    </row>
    <row r="428" spans="1:13">
      <c r="A428" s="1672">
        <v>6.7</v>
      </c>
      <c r="B428" s="1671">
        <v>0.879</v>
      </c>
      <c r="C428" s="1671">
        <v>0.879</v>
      </c>
      <c r="D428" s="1671">
        <v>0.81430000000000002</v>
      </c>
      <c r="E428" s="1671">
        <v>0.81430000000000002</v>
      </c>
      <c r="F428" s="1671">
        <v>0.81430000000000002</v>
      </c>
      <c r="G428" s="1671">
        <v>0.81430000000000002</v>
      </c>
      <c r="H428" s="1671">
        <v>0.81430000000000002</v>
      </c>
      <c r="I428" s="1671">
        <v>0.66210000000000002</v>
      </c>
      <c r="J428" s="1671">
        <v>0.66210000000000002</v>
      </c>
      <c r="K428" s="1671">
        <v>0.66210000000000002</v>
      </c>
      <c r="L428" s="1671">
        <v>0.66210000000000002</v>
      </c>
      <c r="M428" s="1671">
        <v>0.66210000000000002</v>
      </c>
    </row>
    <row r="429" spans="1:13">
      <c r="A429" s="1672">
        <v>6.8</v>
      </c>
      <c r="B429" s="1671">
        <v>0.87739999999999996</v>
      </c>
      <c r="C429" s="1671">
        <v>0.87739999999999996</v>
      </c>
      <c r="D429" s="1671">
        <v>0.81240000000000001</v>
      </c>
      <c r="E429" s="1671">
        <v>0.81240000000000001</v>
      </c>
      <c r="F429" s="1671">
        <v>0.81240000000000001</v>
      </c>
      <c r="G429" s="1671">
        <v>0.81240000000000001</v>
      </c>
      <c r="H429" s="1671">
        <v>0.81240000000000001</v>
      </c>
      <c r="I429" s="1671">
        <v>0.65980000000000005</v>
      </c>
      <c r="J429" s="1671">
        <v>0.65980000000000005</v>
      </c>
      <c r="K429" s="1671">
        <v>0.65980000000000005</v>
      </c>
      <c r="L429" s="1671">
        <v>0.65980000000000005</v>
      </c>
      <c r="M429" s="1671">
        <v>0.65980000000000005</v>
      </c>
    </row>
    <row r="430" spans="1:13">
      <c r="A430" s="1672">
        <v>6.9</v>
      </c>
      <c r="B430" s="1671">
        <v>0.87580000000000002</v>
      </c>
      <c r="C430" s="1671">
        <v>0.87580000000000002</v>
      </c>
      <c r="D430" s="1671">
        <v>0.8105</v>
      </c>
      <c r="E430" s="1671">
        <v>0.8105</v>
      </c>
      <c r="F430" s="1671">
        <v>0.8105</v>
      </c>
      <c r="G430" s="1671">
        <v>0.8105</v>
      </c>
      <c r="H430" s="1671">
        <v>0.8105</v>
      </c>
      <c r="I430" s="1671">
        <v>0.65749999999999997</v>
      </c>
      <c r="J430" s="1671">
        <v>0.65749999999999997</v>
      </c>
      <c r="K430" s="1671">
        <v>0.65749999999999997</v>
      </c>
      <c r="L430" s="1671">
        <v>0.65749999999999997</v>
      </c>
      <c r="M430" s="1671">
        <v>0.65749999999999997</v>
      </c>
    </row>
    <row r="431" spans="1:13">
      <c r="A431" s="1672">
        <v>7</v>
      </c>
      <c r="B431" s="1671">
        <v>0.87419999999999998</v>
      </c>
      <c r="C431" s="1671">
        <v>0.87419999999999998</v>
      </c>
      <c r="D431" s="1671">
        <v>0.80869999999999997</v>
      </c>
      <c r="E431" s="1671">
        <v>0.80869999999999997</v>
      </c>
      <c r="F431" s="1671">
        <v>0.80869999999999997</v>
      </c>
      <c r="G431" s="1671">
        <v>0.80869999999999997</v>
      </c>
      <c r="H431" s="1671">
        <v>0.80869999999999997</v>
      </c>
      <c r="I431" s="1671">
        <v>0.65529999999999999</v>
      </c>
      <c r="J431" s="1671">
        <v>0.65529999999999999</v>
      </c>
      <c r="K431" s="1671">
        <v>0.65529999999999999</v>
      </c>
      <c r="L431" s="1671">
        <v>0.65529999999999999</v>
      </c>
      <c r="M431" s="1671">
        <v>0.65529999999999999</v>
      </c>
    </row>
    <row r="432" spans="1:13">
      <c r="A432" s="1672">
        <v>7.1</v>
      </c>
      <c r="B432" s="1671">
        <v>0.87270000000000003</v>
      </c>
      <c r="C432" s="1671">
        <v>0.87270000000000003</v>
      </c>
      <c r="D432" s="1671">
        <v>0.80689999999999995</v>
      </c>
      <c r="E432" s="1671">
        <v>0.80689999999999995</v>
      </c>
      <c r="F432" s="1671">
        <v>0.80689999999999995</v>
      </c>
      <c r="G432" s="1671">
        <v>0.80689999999999995</v>
      </c>
      <c r="H432" s="1671">
        <v>0.80689999999999995</v>
      </c>
      <c r="I432" s="1671">
        <v>0.6532</v>
      </c>
      <c r="J432" s="1671">
        <v>0.6532</v>
      </c>
      <c r="K432" s="1671">
        <v>0.6532</v>
      </c>
      <c r="L432" s="1671">
        <v>0.6532</v>
      </c>
      <c r="M432" s="1671">
        <v>0.6532</v>
      </c>
    </row>
    <row r="433" spans="1:13">
      <c r="A433" s="1672">
        <v>7.2</v>
      </c>
      <c r="B433" s="1671">
        <v>0.87119999999999997</v>
      </c>
      <c r="C433" s="1671">
        <v>0.87119999999999997</v>
      </c>
      <c r="D433" s="1671">
        <v>0.80510000000000004</v>
      </c>
      <c r="E433" s="1671">
        <v>0.80510000000000004</v>
      </c>
      <c r="F433" s="1671">
        <v>0.80510000000000004</v>
      </c>
      <c r="G433" s="1671">
        <v>0.80510000000000004</v>
      </c>
      <c r="H433" s="1671">
        <v>0.80510000000000004</v>
      </c>
      <c r="I433" s="1671">
        <v>0.65100000000000002</v>
      </c>
      <c r="J433" s="1671">
        <v>0.65100000000000002</v>
      </c>
      <c r="K433" s="1671">
        <v>0.65100000000000002</v>
      </c>
      <c r="L433" s="1671">
        <v>0.65100000000000002</v>
      </c>
      <c r="M433" s="1671">
        <v>0.65100000000000002</v>
      </c>
    </row>
    <row r="434" spans="1:13">
      <c r="A434" s="1672">
        <v>7.3</v>
      </c>
      <c r="B434" s="1671">
        <v>0.86970000000000003</v>
      </c>
      <c r="C434" s="1671">
        <v>0.86970000000000003</v>
      </c>
      <c r="D434" s="1671">
        <v>0.80330000000000001</v>
      </c>
      <c r="E434" s="1671">
        <v>0.80330000000000001</v>
      </c>
      <c r="F434" s="1671">
        <v>0.80330000000000001</v>
      </c>
      <c r="G434" s="1671">
        <v>0.80330000000000001</v>
      </c>
      <c r="H434" s="1671">
        <v>0.80330000000000001</v>
      </c>
      <c r="I434" s="1671">
        <v>0.64880000000000004</v>
      </c>
      <c r="J434" s="1671">
        <v>0.64880000000000004</v>
      </c>
      <c r="K434" s="1671">
        <v>0.64880000000000004</v>
      </c>
      <c r="L434" s="1671">
        <v>0.64880000000000004</v>
      </c>
      <c r="M434" s="1671">
        <v>0.64880000000000004</v>
      </c>
    </row>
    <row r="435" spans="1:13">
      <c r="A435" s="1672">
        <v>7.4</v>
      </c>
      <c r="B435" s="1671">
        <v>0.86819999999999997</v>
      </c>
      <c r="C435" s="1671">
        <v>0.86819999999999997</v>
      </c>
      <c r="D435" s="1671">
        <v>0.80149999999999999</v>
      </c>
      <c r="E435" s="1671">
        <v>0.80149999999999999</v>
      </c>
      <c r="F435" s="1671">
        <v>0.80149999999999999</v>
      </c>
      <c r="G435" s="1671">
        <v>0.80149999999999999</v>
      </c>
      <c r="H435" s="1671">
        <v>0.80149999999999999</v>
      </c>
      <c r="I435" s="1671">
        <v>0.64659999999999995</v>
      </c>
      <c r="J435" s="1671">
        <v>0.64659999999999995</v>
      </c>
      <c r="K435" s="1671">
        <v>0.64659999999999995</v>
      </c>
      <c r="L435" s="1671">
        <v>0.64659999999999995</v>
      </c>
      <c r="M435" s="1671">
        <v>0.64659999999999995</v>
      </c>
    </row>
    <row r="436" spans="1:13">
      <c r="A436" s="1672">
        <v>7.5</v>
      </c>
      <c r="B436" s="1671">
        <v>0.86660000000000004</v>
      </c>
      <c r="C436" s="1671">
        <v>0.86660000000000004</v>
      </c>
      <c r="D436" s="1671">
        <v>0.79969999999999997</v>
      </c>
      <c r="E436" s="1671">
        <v>0.79969999999999997</v>
      </c>
      <c r="F436" s="1671">
        <v>0.79969999999999997</v>
      </c>
      <c r="G436" s="1671">
        <v>0.79969999999999997</v>
      </c>
      <c r="H436" s="1671">
        <v>0.79969999999999997</v>
      </c>
      <c r="I436" s="1671">
        <v>0.64449999999999996</v>
      </c>
      <c r="J436" s="1671">
        <v>0.64449999999999996</v>
      </c>
      <c r="K436" s="1671">
        <v>0.64449999999999996</v>
      </c>
      <c r="L436" s="1671">
        <v>0.64449999999999996</v>
      </c>
      <c r="M436" s="1671">
        <v>0.64449999999999996</v>
      </c>
    </row>
    <row r="437" spans="1:13">
      <c r="A437" s="1672">
        <v>7.6</v>
      </c>
      <c r="B437" s="1671">
        <v>0.86509999999999998</v>
      </c>
      <c r="C437" s="1671">
        <v>0.86509999999999998</v>
      </c>
      <c r="D437" s="1671">
        <v>0.79800000000000004</v>
      </c>
      <c r="E437" s="1671">
        <v>0.79800000000000004</v>
      </c>
      <c r="F437" s="1671">
        <v>0.79800000000000004</v>
      </c>
      <c r="G437" s="1671">
        <v>0.79800000000000004</v>
      </c>
      <c r="H437" s="1671">
        <v>0.79800000000000004</v>
      </c>
      <c r="I437" s="1671">
        <v>0.64239999999999997</v>
      </c>
      <c r="J437" s="1671">
        <v>0.64239999999999997</v>
      </c>
      <c r="K437" s="1671">
        <v>0.64239999999999997</v>
      </c>
      <c r="L437" s="1671">
        <v>0.64239999999999997</v>
      </c>
      <c r="M437" s="1671">
        <v>0.64239999999999997</v>
      </c>
    </row>
    <row r="438" spans="1:13">
      <c r="A438" s="1672">
        <v>7.7</v>
      </c>
      <c r="B438" s="1671">
        <v>0.86370000000000002</v>
      </c>
      <c r="C438" s="1671">
        <v>0.86370000000000002</v>
      </c>
      <c r="D438" s="1671">
        <v>0.79630000000000001</v>
      </c>
      <c r="E438" s="1671">
        <v>0.79630000000000001</v>
      </c>
      <c r="F438" s="1671">
        <v>0.79630000000000001</v>
      </c>
      <c r="G438" s="1671">
        <v>0.79630000000000001</v>
      </c>
      <c r="H438" s="1671">
        <v>0.79630000000000001</v>
      </c>
      <c r="I438" s="1671">
        <v>0.64029999999999998</v>
      </c>
      <c r="J438" s="1671">
        <v>0.64029999999999998</v>
      </c>
      <c r="K438" s="1671">
        <v>0.64029999999999998</v>
      </c>
      <c r="L438" s="1671">
        <v>0.64029999999999998</v>
      </c>
      <c r="M438" s="1671">
        <v>0.64029999999999998</v>
      </c>
    </row>
    <row r="439" spans="1:13">
      <c r="A439" s="1672">
        <v>7.8</v>
      </c>
      <c r="B439" s="1671">
        <v>0.86229999999999996</v>
      </c>
      <c r="C439" s="1671">
        <v>0.86229999999999996</v>
      </c>
      <c r="D439" s="1671">
        <v>0.79449999999999998</v>
      </c>
      <c r="E439" s="1671">
        <v>0.79449999999999998</v>
      </c>
      <c r="F439" s="1671">
        <v>0.79449999999999998</v>
      </c>
      <c r="G439" s="1671">
        <v>0.79449999999999998</v>
      </c>
      <c r="H439" s="1671">
        <v>0.79449999999999998</v>
      </c>
      <c r="I439" s="1671">
        <v>0.63819999999999999</v>
      </c>
      <c r="J439" s="1671">
        <v>0.63819999999999999</v>
      </c>
      <c r="K439" s="1671">
        <v>0.63819999999999999</v>
      </c>
      <c r="L439" s="1671">
        <v>0.63819999999999999</v>
      </c>
      <c r="M439" s="1671">
        <v>0.63819999999999999</v>
      </c>
    </row>
    <row r="440" spans="1:13">
      <c r="A440" s="1672">
        <v>7.9</v>
      </c>
      <c r="B440" s="1671">
        <v>0.8609</v>
      </c>
      <c r="C440" s="1671">
        <v>0.8609</v>
      </c>
      <c r="D440" s="1671">
        <v>0.79279999999999995</v>
      </c>
      <c r="E440" s="1671">
        <v>0.79279999999999995</v>
      </c>
      <c r="F440" s="1671">
        <v>0.79279999999999995</v>
      </c>
      <c r="G440" s="1671">
        <v>0.79279999999999995</v>
      </c>
      <c r="H440" s="1671">
        <v>0.79279999999999995</v>
      </c>
      <c r="I440" s="1671">
        <v>0.6361</v>
      </c>
      <c r="J440" s="1671">
        <v>0.6361</v>
      </c>
      <c r="K440" s="1671">
        <v>0.6361</v>
      </c>
      <c r="L440" s="1671">
        <v>0.6361</v>
      </c>
      <c r="M440" s="1671">
        <v>0.6361</v>
      </c>
    </row>
    <row r="441" spans="1:13">
      <c r="A441" s="1672">
        <v>8</v>
      </c>
      <c r="B441" s="1671">
        <v>0.85940000000000005</v>
      </c>
      <c r="C441" s="1671">
        <v>0.85940000000000005</v>
      </c>
      <c r="D441" s="1671">
        <v>0.79110000000000003</v>
      </c>
      <c r="E441" s="1671">
        <v>0.79110000000000003</v>
      </c>
      <c r="F441" s="1671">
        <v>0.79110000000000003</v>
      </c>
      <c r="G441" s="1671">
        <v>0.79110000000000003</v>
      </c>
      <c r="H441" s="1671">
        <v>0.79110000000000003</v>
      </c>
      <c r="I441" s="1671">
        <v>0.6341</v>
      </c>
      <c r="J441" s="1671">
        <v>0.6341</v>
      </c>
      <c r="K441" s="1671">
        <v>0.6341</v>
      </c>
      <c r="L441" s="1671">
        <v>0.6341</v>
      </c>
      <c r="M441" s="1671">
        <v>0.6341</v>
      </c>
    </row>
    <row r="442" spans="1:13">
      <c r="A442" s="1672">
        <v>8.1</v>
      </c>
      <c r="B442" s="1671">
        <v>0.85799999999999998</v>
      </c>
      <c r="C442" s="1671">
        <v>0.85799999999999998</v>
      </c>
      <c r="D442" s="1671">
        <v>0.78939999999999999</v>
      </c>
      <c r="E442" s="1671">
        <v>0.78939999999999999</v>
      </c>
      <c r="F442" s="1671">
        <v>0.78939999999999999</v>
      </c>
      <c r="G442" s="1671">
        <v>0.78939999999999999</v>
      </c>
      <c r="H442" s="1671">
        <v>0.78939999999999999</v>
      </c>
      <c r="I442" s="1671">
        <v>0.6321</v>
      </c>
      <c r="J442" s="1671">
        <v>0.6321</v>
      </c>
      <c r="K442" s="1671">
        <v>0.6321</v>
      </c>
      <c r="L442" s="1671">
        <v>0.6321</v>
      </c>
      <c r="M442" s="1671">
        <v>0.6321</v>
      </c>
    </row>
    <row r="443" spans="1:13">
      <c r="A443" s="1672">
        <v>8.1999999999999993</v>
      </c>
      <c r="B443" s="1671">
        <v>0.85660000000000003</v>
      </c>
      <c r="C443" s="1671">
        <v>0.85660000000000003</v>
      </c>
      <c r="D443" s="1671">
        <v>0.78779999999999994</v>
      </c>
      <c r="E443" s="1671">
        <v>0.78779999999999994</v>
      </c>
      <c r="F443" s="1671">
        <v>0.78779999999999994</v>
      </c>
      <c r="G443" s="1671">
        <v>0.78779999999999994</v>
      </c>
      <c r="H443" s="1671">
        <v>0.78779999999999994</v>
      </c>
      <c r="I443" s="1671">
        <v>0.63009999999999999</v>
      </c>
      <c r="J443" s="1671">
        <v>0.63009999999999999</v>
      </c>
      <c r="K443" s="1671">
        <v>0.63009999999999999</v>
      </c>
      <c r="L443" s="1671">
        <v>0.63009999999999999</v>
      </c>
      <c r="M443" s="1671">
        <v>0.63009999999999999</v>
      </c>
    </row>
    <row r="444" spans="1:13">
      <c r="A444" s="1672">
        <v>8.3000000000000007</v>
      </c>
      <c r="B444" s="1671">
        <v>0.85529999999999995</v>
      </c>
      <c r="C444" s="1671">
        <v>0.85529999999999995</v>
      </c>
      <c r="D444" s="1671">
        <v>0.78620000000000001</v>
      </c>
      <c r="E444" s="1671">
        <v>0.78620000000000001</v>
      </c>
      <c r="F444" s="1671">
        <v>0.78620000000000001</v>
      </c>
      <c r="G444" s="1671">
        <v>0.78620000000000001</v>
      </c>
      <c r="H444" s="1671">
        <v>0.78620000000000001</v>
      </c>
      <c r="I444" s="1671">
        <v>0.62809999999999999</v>
      </c>
      <c r="J444" s="1671">
        <v>0.62809999999999999</v>
      </c>
      <c r="K444" s="1671">
        <v>0.62809999999999999</v>
      </c>
      <c r="L444" s="1671">
        <v>0.62809999999999999</v>
      </c>
      <c r="M444" s="1671">
        <v>0.62809999999999999</v>
      </c>
    </row>
    <row r="445" spans="1:13">
      <c r="A445" s="1672">
        <v>8.4</v>
      </c>
      <c r="B445" s="1671">
        <v>0.85389999999999999</v>
      </c>
      <c r="C445" s="1671">
        <v>0.85389999999999999</v>
      </c>
      <c r="D445" s="1671">
        <v>0.78459999999999996</v>
      </c>
      <c r="E445" s="1671">
        <v>0.78459999999999996</v>
      </c>
      <c r="F445" s="1671">
        <v>0.78459999999999996</v>
      </c>
      <c r="G445" s="1671">
        <v>0.78459999999999996</v>
      </c>
      <c r="H445" s="1671">
        <v>0.78459999999999996</v>
      </c>
      <c r="I445" s="1671">
        <v>0.62609999999999999</v>
      </c>
      <c r="J445" s="1671">
        <v>0.62609999999999999</v>
      </c>
      <c r="K445" s="1671">
        <v>0.62609999999999999</v>
      </c>
      <c r="L445" s="1671">
        <v>0.62609999999999999</v>
      </c>
      <c r="M445" s="1671">
        <v>0.62609999999999999</v>
      </c>
    </row>
    <row r="446" spans="1:13">
      <c r="A446" s="1672">
        <v>8.5</v>
      </c>
      <c r="B446" s="1671">
        <v>0.85260000000000002</v>
      </c>
      <c r="C446" s="1671">
        <v>0.85260000000000002</v>
      </c>
      <c r="D446" s="1671">
        <v>0.78290000000000004</v>
      </c>
      <c r="E446" s="1671">
        <v>0.78290000000000004</v>
      </c>
      <c r="F446" s="1671">
        <v>0.78290000000000004</v>
      </c>
      <c r="G446" s="1671">
        <v>0.78290000000000004</v>
      </c>
      <c r="H446" s="1671">
        <v>0.78290000000000004</v>
      </c>
      <c r="I446" s="1671">
        <v>0.62419999999999998</v>
      </c>
      <c r="J446" s="1671">
        <v>0.62419999999999998</v>
      </c>
      <c r="K446" s="1671">
        <v>0.62419999999999998</v>
      </c>
      <c r="L446" s="1671">
        <v>0.62419999999999998</v>
      </c>
      <c r="M446" s="1671">
        <v>0.62419999999999998</v>
      </c>
    </row>
    <row r="447" spans="1:13">
      <c r="A447" s="1672">
        <v>8.6</v>
      </c>
      <c r="B447" s="1671">
        <v>0.85129999999999995</v>
      </c>
      <c r="C447" s="1671">
        <v>0.85129999999999995</v>
      </c>
      <c r="D447" s="1671">
        <v>0.78129999999999999</v>
      </c>
      <c r="E447" s="1671">
        <v>0.78129999999999999</v>
      </c>
      <c r="F447" s="1671">
        <v>0.78129999999999999</v>
      </c>
      <c r="G447" s="1671">
        <v>0.78129999999999999</v>
      </c>
      <c r="H447" s="1671">
        <v>0.78129999999999999</v>
      </c>
      <c r="I447" s="1671">
        <v>0.62229999999999996</v>
      </c>
      <c r="J447" s="1671">
        <v>0.62229999999999996</v>
      </c>
      <c r="K447" s="1671">
        <v>0.62229999999999996</v>
      </c>
      <c r="L447" s="1671">
        <v>0.62229999999999996</v>
      </c>
      <c r="M447" s="1671">
        <v>0.62229999999999996</v>
      </c>
    </row>
    <row r="448" spans="1:13">
      <c r="A448" s="1672">
        <v>8.6999999999999993</v>
      </c>
      <c r="B448" s="1671">
        <v>0.85</v>
      </c>
      <c r="C448" s="1671">
        <v>0.85</v>
      </c>
      <c r="D448" s="1671">
        <v>0.77969999999999995</v>
      </c>
      <c r="E448" s="1671">
        <v>0.77969999999999995</v>
      </c>
      <c r="F448" s="1671">
        <v>0.77969999999999995</v>
      </c>
      <c r="G448" s="1671">
        <v>0.77969999999999995</v>
      </c>
      <c r="H448" s="1671">
        <v>0.77969999999999995</v>
      </c>
      <c r="I448" s="1671">
        <v>0.62039999999999995</v>
      </c>
      <c r="J448" s="1671">
        <v>0.62039999999999995</v>
      </c>
      <c r="K448" s="1671">
        <v>0.62039999999999995</v>
      </c>
      <c r="L448" s="1671">
        <v>0.62039999999999995</v>
      </c>
      <c r="M448" s="1671">
        <v>0.62039999999999995</v>
      </c>
    </row>
    <row r="449" spans="1:13">
      <c r="A449" s="1672">
        <v>8.8000000000000007</v>
      </c>
      <c r="B449" s="1671">
        <v>0.84860000000000002</v>
      </c>
      <c r="C449" s="1671">
        <v>0.84860000000000002</v>
      </c>
      <c r="D449" s="1671">
        <v>0.7782</v>
      </c>
      <c r="E449" s="1671">
        <v>0.7782</v>
      </c>
      <c r="F449" s="1671">
        <v>0.7782</v>
      </c>
      <c r="G449" s="1671">
        <v>0.7782</v>
      </c>
      <c r="H449" s="1671">
        <v>0.7782</v>
      </c>
      <c r="I449" s="1671">
        <v>0.61850000000000005</v>
      </c>
      <c r="J449" s="1671">
        <v>0.61850000000000005</v>
      </c>
      <c r="K449" s="1671">
        <v>0.61850000000000005</v>
      </c>
      <c r="L449" s="1671">
        <v>0.61850000000000005</v>
      </c>
      <c r="M449" s="1671">
        <v>0.61850000000000005</v>
      </c>
    </row>
    <row r="450" spans="1:13">
      <c r="A450" s="1672">
        <v>8.9</v>
      </c>
      <c r="B450" s="1671">
        <v>0.84740000000000004</v>
      </c>
      <c r="C450" s="1671">
        <v>0.84740000000000004</v>
      </c>
      <c r="D450" s="1671">
        <v>0.77669999999999995</v>
      </c>
      <c r="E450" s="1671">
        <v>0.77669999999999995</v>
      </c>
      <c r="F450" s="1671">
        <v>0.77669999999999995</v>
      </c>
      <c r="G450" s="1671">
        <v>0.77669999999999995</v>
      </c>
      <c r="H450" s="1671">
        <v>0.77669999999999995</v>
      </c>
      <c r="I450" s="1671">
        <v>0.61670000000000003</v>
      </c>
      <c r="J450" s="1671">
        <v>0.61670000000000003</v>
      </c>
      <c r="K450" s="1671">
        <v>0.61670000000000003</v>
      </c>
      <c r="L450" s="1671">
        <v>0.61670000000000003</v>
      </c>
      <c r="M450" s="1671">
        <v>0.61670000000000003</v>
      </c>
    </row>
    <row r="451" spans="1:13">
      <c r="A451" s="1672">
        <v>9</v>
      </c>
      <c r="B451" s="1671">
        <v>0.84619999999999995</v>
      </c>
      <c r="C451" s="1671">
        <v>0.84619999999999995</v>
      </c>
      <c r="D451" s="1671">
        <v>0.77510000000000001</v>
      </c>
      <c r="E451" s="1671">
        <v>0.77510000000000001</v>
      </c>
      <c r="F451" s="1671">
        <v>0.77510000000000001</v>
      </c>
      <c r="G451" s="1671">
        <v>0.77510000000000001</v>
      </c>
      <c r="H451" s="1671">
        <v>0.77510000000000001</v>
      </c>
      <c r="I451" s="1671">
        <v>0.61480000000000001</v>
      </c>
      <c r="J451" s="1671">
        <v>0.61480000000000001</v>
      </c>
      <c r="K451" s="1671">
        <v>0.61480000000000001</v>
      </c>
      <c r="L451" s="1671">
        <v>0.61480000000000001</v>
      </c>
      <c r="M451" s="1671">
        <v>0.61480000000000001</v>
      </c>
    </row>
    <row r="452" spans="1:13">
      <c r="A452" s="1672">
        <v>9.1</v>
      </c>
      <c r="B452" s="1671">
        <v>0.84499999999999997</v>
      </c>
      <c r="C452" s="1671">
        <v>0.84499999999999997</v>
      </c>
      <c r="D452" s="1671">
        <v>0.77359999999999995</v>
      </c>
      <c r="E452" s="1671">
        <v>0.77359999999999995</v>
      </c>
      <c r="F452" s="1671">
        <v>0.77359999999999995</v>
      </c>
      <c r="G452" s="1671">
        <v>0.77359999999999995</v>
      </c>
      <c r="H452" s="1671">
        <v>0.77359999999999995</v>
      </c>
      <c r="I452" s="1671">
        <v>0.61299999999999999</v>
      </c>
      <c r="J452" s="1671">
        <v>0.61299999999999999</v>
      </c>
      <c r="K452" s="1671">
        <v>0.61299999999999999</v>
      </c>
      <c r="L452" s="1671">
        <v>0.61299999999999999</v>
      </c>
      <c r="M452" s="1671">
        <v>0.61299999999999999</v>
      </c>
    </row>
    <row r="453" spans="1:13">
      <c r="A453" s="1672">
        <v>9.1999999999999993</v>
      </c>
      <c r="B453" s="1671">
        <v>0.84370000000000001</v>
      </c>
      <c r="C453" s="1671">
        <v>0.84370000000000001</v>
      </c>
      <c r="D453" s="1671">
        <v>0.77210000000000001</v>
      </c>
      <c r="E453" s="1671">
        <v>0.77210000000000001</v>
      </c>
      <c r="F453" s="1671">
        <v>0.77210000000000001</v>
      </c>
      <c r="G453" s="1671">
        <v>0.77210000000000001</v>
      </c>
      <c r="H453" s="1671">
        <v>0.77210000000000001</v>
      </c>
      <c r="I453" s="1671">
        <v>0.61119999999999997</v>
      </c>
      <c r="J453" s="1671">
        <v>0.61119999999999997</v>
      </c>
      <c r="K453" s="1671">
        <v>0.61119999999999997</v>
      </c>
      <c r="L453" s="1671">
        <v>0.61119999999999997</v>
      </c>
      <c r="M453" s="1671">
        <v>0.61119999999999997</v>
      </c>
    </row>
    <row r="454" spans="1:13">
      <c r="A454" s="1672">
        <v>9.3000000000000007</v>
      </c>
      <c r="B454" s="1671">
        <v>0.84250000000000003</v>
      </c>
      <c r="C454" s="1671">
        <v>0.84250000000000003</v>
      </c>
      <c r="D454" s="1671">
        <v>0.77059999999999995</v>
      </c>
      <c r="E454" s="1671">
        <v>0.77059999999999995</v>
      </c>
      <c r="F454" s="1671">
        <v>0.77059999999999995</v>
      </c>
      <c r="G454" s="1671">
        <v>0.77059999999999995</v>
      </c>
      <c r="H454" s="1671">
        <v>0.77059999999999995</v>
      </c>
      <c r="I454" s="1671">
        <v>0.60940000000000005</v>
      </c>
      <c r="J454" s="1671">
        <v>0.60940000000000005</v>
      </c>
      <c r="K454" s="1671">
        <v>0.60940000000000005</v>
      </c>
      <c r="L454" s="1671">
        <v>0.60940000000000005</v>
      </c>
      <c r="M454" s="1671">
        <v>0.60940000000000005</v>
      </c>
    </row>
    <row r="455" spans="1:13">
      <c r="A455" s="1672">
        <v>9.4</v>
      </c>
      <c r="B455" s="1671">
        <v>0.84130000000000005</v>
      </c>
      <c r="C455" s="1671">
        <v>0.84130000000000005</v>
      </c>
      <c r="D455" s="1671">
        <v>0.76900000000000002</v>
      </c>
      <c r="E455" s="1671">
        <v>0.76900000000000002</v>
      </c>
      <c r="F455" s="1671">
        <v>0.76900000000000002</v>
      </c>
      <c r="G455" s="1671">
        <v>0.76900000000000002</v>
      </c>
      <c r="H455" s="1671">
        <v>0.76900000000000002</v>
      </c>
      <c r="I455" s="1671">
        <v>0.60760000000000003</v>
      </c>
      <c r="J455" s="1671">
        <v>0.60760000000000003</v>
      </c>
      <c r="K455" s="1671">
        <v>0.60760000000000003</v>
      </c>
      <c r="L455" s="1671">
        <v>0.60760000000000003</v>
      </c>
      <c r="M455" s="1671">
        <v>0.60760000000000003</v>
      </c>
    </row>
    <row r="456" spans="1:13">
      <c r="A456" s="1672">
        <v>9.5</v>
      </c>
      <c r="B456" s="1671">
        <v>0.84009999999999996</v>
      </c>
      <c r="C456" s="1671">
        <v>0.84009999999999996</v>
      </c>
      <c r="D456" s="1671">
        <v>0.76759999999999995</v>
      </c>
      <c r="E456" s="1671">
        <v>0.76759999999999995</v>
      </c>
      <c r="F456" s="1671">
        <v>0.76759999999999995</v>
      </c>
      <c r="G456" s="1671">
        <v>0.76759999999999995</v>
      </c>
      <c r="H456" s="1671">
        <v>0.76759999999999995</v>
      </c>
      <c r="I456" s="1671">
        <v>0.60580000000000001</v>
      </c>
      <c r="J456" s="1671">
        <v>0.60580000000000001</v>
      </c>
      <c r="K456" s="1671">
        <v>0.60580000000000001</v>
      </c>
      <c r="L456" s="1671">
        <v>0.60580000000000001</v>
      </c>
      <c r="M456" s="1671">
        <v>0.60580000000000001</v>
      </c>
    </row>
    <row r="457" spans="1:13">
      <c r="A457" s="1672">
        <v>9.6</v>
      </c>
      <c r="B457" s="1671">
        <v>0.83899999999999997</v>
      </c>
      <c r="C457" s="1671">
        <v>0.83899999999999997</v>
      </c>
      <c r="D457" s="1671">
        <v>0.76619999999999999</v>
      </c>
      <c r="E457" s="1671">
        <v>0.76619999999999999</v>
      </c>
      <c r="F457" s="1671">
        <v>0.76619999999999999</v>
      </c>
      <c r="G457" s="1671">
        <v>0.76619999999999999</v>
      </c>
      <c r="H457" s="1671">
        <v>0.76619999999999999</v>
      </c>
      <c r="I457" s="1671">
        <v>0.60409999999999997</v>
      </c>
      <c r="J457" s="1671">
        <v>0.60409999999999997</v>
      </c>
      <c r="K457" s="1671">
        <v>0.60409999999999997</v>
      </c>
      <c r="L457" s="1671">
        <v>0.60409999999999997</v>
      </c>
      <c r="M457" s="1671">
        <v>0.60409999999999997</v>
      </c>
    </row>
    <row r="458" spans="1:13">
      <c r="A458" s="1672">
        <v>9.6999999999999993</v>
      </c>
      <c r="B458" s="1671">
        <v>0.83779999999999999</v>
      </c>
      <c r="C458" s="1671">
        <v>0.83779999999999999</v>
      </c>
      <c r="D458" s="1671">
        <v>0.76480000000000004</v>
      </c>
      <c r="E458" s="1671">
        <v>0.76480000000000004</v>
      </c>
      <c r="F458" s="1671">
        <v>0.76480000000000004</v>
      </c>
      <c r="G458" s="1671">
        <v>0.76480000000000004</v>
      </c>
      <c r="H458" s="1671">
        <v>0.76480000000000004</v>
      </c>
      <c r="I458" s="1671">
        <v>0.60240000000000005</v>
      </c>
      <c r="J458" s="1671">
        <v>0.60240000000000005</v>
      </c>
      <c r="K458" s="1671">
        <v>0.60240000000000005</v>
      </c>
      <c r="L458" s="1671">
        <v>0.60240000000000005</v>
      </c>
      <c r="M458" s="1671">
        <v>0.60240000000000005</v>
      </c>
    </row>
    <row r="459" spans="1:13">
      <c r="A459" s="1672">
        <v>9.8000000000000007</v>
      </c>
      <c r="B459" s="1671">
        <v>0.8367</v>
      </c>
      <c r="C459" s="1671">
        <v>0.8367</v>
      </c>
      <c r="D459" s="1671">
        <v>0.76329999999999998</v>
      </c>
      <c r="E459" s="1671">
        <v>0.76329999999999998</v>
      </c>
      <c r="F459" s="1671">
        <v>0.76329999999999998</v>
      </c>
      <c r="G459" s="1671">
        <v>0.76329999999999998</v>
      </c>
      <c r="H459" s="1671">
        <v>0.76329999999999998</v>
      </c>
      <c r="I459" s="1671">
        <v>0.60060000000000002</v>
      </c>
      <c r="J459" s="1671">
        <v>0.60060000000000002</v>
      </c>
      <c r="K459" s="1671">
        <v>0.60060000000000002</v>
      </c>
      <c r="L459" s="1671">
        <v>0.60060000000000002</v>
      </c>
      <c r="M459" s="1671">
        <v>0.60060000000000002</v>
      </c>
    </row>
    <row r="460" spans="1:13">
      <c r="A460" s="1672">
        <v>9.9</v>
      </c>
      <c r="B460" s="1671">
        <v>0.83560000000000001</v>
      </c>
      <c r="C460" s="1671">
        <v>0.83560000000000001</v>
      </c>
      <c r="D460" s="1671">
        <v>0.76190000000000002</v>
      </c>
      <c r="E460" s="1671">
        <v>0.76190000000000002</v>
      </c>
      <c r="F460" s="1671">
        <v>0.76190000000000002</v>
      </c>
      <c r="G460" s="1671">
        <v>0.76190000000000002</v>
      </c>
      <c r="H460" s="1671">
        <v>0.76190000000000002</v>
      </c>
      <c r="I460" s="1671">
        <v>0.59889999999999999</v>
      </c>
      <c r="J460" s="1671">
        <v>0.59889999999999999</v>
      </c>
      <c r="K460" s="1671">
        <v>0.59889999999999999</v>
      </c>
      <c r="L460" s="1671">
        <v>0.59889999999999999</v>
      </c>
      <c r="M460" s="1671">
        <v>0.59889999999999999</v>
      </c>
    </row>
  </sheetData>
  <sheetProtection password="CEE9" sheet="1" objects="1" scenarios="1" formatCells="0" formatColumns="0" formatRows="0"/>
  <phoneticPr fontId="2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7" customWidth="1"/>
    <col min="2" max="2" width="13.875" style="1627" customWidth="1"/>
    <col min="3" max="7" width="8.875" style="1628"/>
    <col min="8" max="16384" width="8.875" style="1629"/>
  </cols>
  <sheetData>
    <row r="1" spans="1:7">
      <c r="A1" s="3931" t="s">
        <v>1900</v>
      </c>
      <c r="B1" s="3931"/>
    </row>
    <row r="2" spans="1:7">
      <c r="A2" s="1630"/>
      <c r="B2" s="1630"/>
    </row>
    <row r="3" spans="1:7">
      <c r="A3" s="1630"/>
      <c r="B3" s="1630"/>
      <c r="C3" s="1631" t="s">
        <v>435</v>
      </c>
      <c r="D3" s="1631" t="s">
        <v>436</v>
      </c>
      <c r="E3" s="1631" t="s">
        <v>402</v>
      </c>
      <c r="F3" s="1631" t="s">
        <v>164</v>
      </c>
      <c r="G3" s="1631" t="s">
        <v>297</v>
      </c>
    </row>
    <row r="4" spans="1:7">
      <c r="A4" s="1632" t="s">
        <v>1521</v>
      </c>
      <c r="B4" s="1633" t="s">
        <v>478</v>
      </c>
      <c r="C4" s="1631"/>
      <c r="D4" s="1631"/>
      <c r="E4" s="1631"/>
      <c r="F4" s="1631"/>
      <c r="G4" s="1631"/>
    </row>
    <row r="5" spans="1:7">
      <c r="A5" s="1634" t="s">
        <v>238</v>
      </c>
      <c r="B5" s="1635" t="s">
        <v>1509</v>
      </c>
      <c r="C5" s="1636">
        <v>9.8000000000000004E-2</v>
      </c>
      <c r="D5" s="1636">
        <v>8.6999999999999994E-2</v>
      </c>
      <c r="E5" s="1636">
        <v>8.6999999999999994E-2</v>
      </c>
      <c r="F5" s="1636">
        <v>9.8000000000000004E-2</v>
      </c>
      <c r="G5" s="1637">
        <v>9.5000000000000001E-2</v>
      </c>
    </row>
    <row r="6" spans="1:7">
      <c r="A6" s="1638" t="s">
        <v>238</v>
      </c>
      <c r="B6" s="1639" t="s">
        <v>1522</v>
      </c>
      <c r="C6" s="1640">
        <v>9.8000000000000004E-2</v>
      </c>
      <c r="D6" s="1640">
        <v>9.8000000000000004E-2</v>
      </c>
      <c r="E6" s="1640">
        <v>9.8000000000000004E-2</v>
      </c>
      <c r="F6" s="1640">
        <v>0.1</v>
      </c>
      <c r="G6" s="1641">
        <v>9.9000000000000005E-2</v>
      </c>
    </row>
    <row r="7" spans="1:7">
      <c r="A7" s="1638" t="s">
        <v>238</v>
      </c>
      <c r="B7" s="1639" t="s">
        <v>1535</v>
      </c>
      <c r="C7" s="1640">
        <v>9.7000000000000003E-2</v>
      </c>
      <c r="D7" s="1640">
        <v>9.7000000000000003E-2</v>
      </c>
      <c r="E7" s="1640">
        <v>9.6000000000000002E-2</v>
      </c>
      <c r="F7" s="1640">
        <v>0.1</v>
      </c>
      <c r="G7" s="1641">
        <v>9.8000000000000004E-2</v>
      </c>
    </row>
    <row r="8" spans="1:7">
      <c r="A8" s="1638" t="s">
        <v>238</v>
      </c>
      <c r="B8" s="1639" t="s">
        <v>1547</v>
      </c>
      <c r="C8" s="1640">
        <v>8.1000000000000003E-2</v>
      </c>
      <c r="D8" s="1640">
        <v>8.2000000000000003E-2</v>
      </c>
      <c r="E8" s="1640">
        <v>7.0000000000000007E-2</v>
      </c>
      <c r="F8" s="1640">
        <v>9.6000000000000002E-2</v>
      </c>
      <c r="G8" s="1641">
        <v>8.8999999999999996E-2</v>
      </c>
    </row>
    <row r="9" spans="1:7">
      <c r="A9" s="1642" t="s">
        <v>238</v>
      </c>
      <c r="B9" s="1643" t="s">
        <v>1559</v>
      </c>
      <c r="C9" s="1644">
        <v>0.1</v>
      </c>
      <c r="D9" s="1644">
        <v>0.1</v>
      </c>
      <c r="E9" s="1644">
        <v>0.1</v>
      </c>
      <c r="F9" s="1645"/>
      <c r="G9" s="1646">
        <v>0.1</v>
      </c>
    </row>
    <row r="10" spans="1:7">
      <c r="A10" s="1634" t="s">
        <v>251</v>
      </c>
      <c r="B10" s="1635" t="s">
        <v>1510</v>
      </c>
      <c r="C10" s="1636">
        <v>6.7000000000000004E-2</v>
      </c>
      <c r="D10" s="1636">
        <v>7.9000000000000001E-2</v>
      </c>
      <c r="E10" s="1636">
        <v>7.9000000000000001E-2</v>
      </c>
      <c r="F10" s="1636">
        <v>0.1</v>
      </c>
      <c r="G10" s="1637">
        <v>9.0999999999999998E-2</v>
      </c>
    </row>
    <row r="11" spans="1:7">
      <c r="A11" s="1638" t="s">
        <v>251</v>
      </c>
      <c r="B11" s="1639" t="s">
        <v>1523</v>
      </c>
      <c r="C11" s="1640">
        <v>0.05</v>
      </c>
      <c r="D11" s="1640">
        <v>5.2999999999999999E-2</v>
      </c>
      <c r="E11" s="1640">
        <v>6.3E-2</v>
      </c>
      <c r="F11" s="1640">
        <v>0.1</v>
      </c>
      <c r="G11" s="1641">
        <v>7.1999999999999995E-2</v>
      </c>
    </row>
    <row r="12" spans="1:7">
      <c r="A12" s="1638" t="s">
        <v>251</v>
      </c>
      <c r="B12" s="1639" t="s">
        <v>1536</v>
      </c>
      <c r="C12" s="1640">
        <v>5.2999999999999999E-2</v>
      </c>
      <c r="D12" s="1640">
        <v>0.09</v>
      </c>
      <c r="E12" s="1640">
        <v>7.1999999999999995E-2</v>
      </c>
      <c r="F12" s="1640">
        <v>0.1</v>
      </c>
      <c r="G12" s="1641">
        <v>9.7000000000000003E-2</v>
      </c>
    </row>
    <row r="13" spans="1:7">
      <c r="A13" s="1638" t="s">
        <v>251</v>
      </c>
      <c r="B13" s="1639" t="s">
        <v>1548</v>
      </c>
      <c r="C13" s="1640">
        <v>9.7000000000000003E-2</v>
      </c>
      <c r="D13" s="1640">
        <v>9.1999999999999998E-2</v>
      </c>
      <c r="E13" s="1640">
        <v>9.5000000000000001E-2</v>
      </c>
      <c r="F13" s="1640">
        <v>0.1</v>
      </c>
      <c r="G13" s="1641">
        <v>9.7000000000000003E-2</v>
      </c>
    </row>
    <row r="14" spans="1:7">
      <c r="A14" s="1638" t="s">
        <v>251</v>
      </c>
      <c r="B14" s="1639" t="s">
        <v>1560</v>
      </c>
      <c r="C14" s="1640">
        <v>9.7000000000000003E-2</v>
      </c>
      <c r="D14" s="1640">
        <v>9.7000000000000003E-2</v>
      </c>
      <c r="E14" s="1640">
        <v>9.7000000000000003E-2</v>
      </c>
      <c r="F14" s="1640">
        <v>0.1</v>
      </c>
      <c r="G14" s="1641">
        <v>9.8000000000000004E-2</v>
      </c>
    </row>
    <row r="15" spans="1:7">
      <c r="A15" s="1638" t="s">
        <v>251</v>
      </c>
      <c r="B15" s="1639" t="s">
        <v>1571</v>
      </c>
      <c r="C15" s="1640">
        <v>9.8000000000000004E-2</v>
      </c>
      <c r="D15" s="1640">
        <v>9.0999999999999998E-2</v>
      </c>
      <c r="E15" s="1640">
        <v>0.06</v>
      </c>
      <c r="F15" s="1640">
        <v>0.1</v>
      </c>
      <c r="G15" s="1641">
        <v>9.7000000000000003E-2</v>
      </c>
    </row>
    <row r="16" spans="1:7">
      <c r="A16" s="1638" t="s">
        <v>251</v>
      </c>
      <c r="B16" s="1639" t="s">
        <v>1582</v>
      </c>
      <c r="C16" s="1640">
        <v>9.8000000000000004E-2</v>
      </c>
      <c r="D16" s="1640">
        <v>9.7000000000000003E-2</v>
      </c>
      <c r="E16" s="1640">
        <v>9.5000000000000001E-2</v>
      </c>
      <c r="F16" s="1640">
        <v>0.1</v>
      </c>
      <c r="G16" s="1641">
        <v>9.9000000000000005E-2</v>
      </c>
    </row>
    <row r="17" spans="1:7">
      <c r="A17" s="1638" t="s">
        <v>251</v>
      </c>
      <c r="B17" s="1639" t="s">
        <v>1593</v>
      </c>
      <c r="C17" s="1640">
        <v>8.8999999999999996E-2</v>
      </c>
      <c r="D17" s="1640">
        <v>9.1999999999999998E-2</v>
      </c>
      <c r="E17" s="1640">
        <v>6.0999999999999999E-2</v>
      </c>
      <c r="F17" s="1640">
        <v>0.1</v>
      </c>
      <c r="G17" s="1641">
        <v>9.7000000000000003E-2</v>
      </c>
    </row>
    <row r="18" spans="1:7">
      <c r="A18" s="1638" t="s">
        <v>251</v>
      </c>
      <c r="B18" s="1639" t="s">
        <v>1603</v>
      </c>
      <c r="C18" s="1640">
        <v>9.8000000000000004E-2</v>
      </c>
      <c r="D18" s="1640">
        <v>9.8000000000000004E-2</v>
      </c>
      <c r="E18" s="1640">
        <v>9.8000000000000004E-2</v>
      </c>
      <c r="F18" s="1647"/>
      <c r="G18" s="1641">
        <v>9.9000000000000005E-2</v>
      </c>
    </row>
    <row r="19" spans="1:7">
      <c r="A19" s="1638" t="s">
        <v>251</v>
      </c>
      <c r="B19" s="1639" t="s">
        <v>1613</v>
      </c>
      <c r="C19" s="1640">
        <v>9.9000000000000005E-2</v>
      </c>
      <c r="D19" s="1640">
        <v>7.3999999999999996E-2</v>
      </c>
      <c r="E19" s="1640">
        <v>8.1000000000000003E-2</v>
      </c>
      <c r="F19" s="1647"/>
      <c r="G19" s="1641">
        <v>9.2999999999999999E-2</v>
      </c>
    </row>
    <row r="20" spans="1:7">
      <c r="A20" s="1638" t="s">
        <v>251</v>
      </c>
      <c r="B20" s="1639" t="s">
        <v>1623</v>
      </c>
      <c r="C20" s="1640">
        <v>0.1</v>
      </c>
      <c r="D20" s="1640">
        <v>8.8999999999999996E-2</v>
      </c>
      <c r="E20" s="1640">
        <v>8.8999999999999996E-2</v>
      </c>
      <c r="F20" s="1647"/>
      <c r="G20" s="1641">
        <v>9.5000000000000001E-2</v>
      </c>
    </row>
    <row r="21" spans="1:7">
      <c r="A21" s="1638" t="s">
        <v>251</v>
      </c>
      <c r="B21" s="1639" t="s">
        <v>1633</v>
      </c>
      <c r="C21" s="1640">
        <v>0.1</v>
      </c>
      <c r="D21" s="1640">
        <v>9.0999999999999998E-2</v>
      </c>
      <c r="E21" s="1640">
        <v>8.2000000000000003E-2</v>
      </c>
      <c r="F21" s="1647"/>
      <c r="G21" s="1641">
        <v>9.7000000000000003E-2</v>
      </c>
    </row>
    <row r="22" spans="1:7">
      <c r="A22" s="1638" t="s">
        <v>251</v>
      </c>
      <c r="B22" s="1639" t="s">
        <v>1643</v>
      </c>
      <c r="C22" s="1640">
        <v>9.5000000000000001E-2</v>
      </c>
      <c r="D22" s="1640">
        <v>9.9000000000000005E-2</v>
      </c>
      <c r="E22" s="1640">
        <v>9.8000000000000004E-2</v>
      </c>
      <c r="F22" s="1647"/>
      <c r="G22" s="1641">
        <v>0.1</v>
      </c>
    </row>
    <row r="23" spans="1:7">
      <c r="A23" s="1638" t="s">
        <v>251</v>
      </c>
      <c r="B23" s="1639" t="s">
        <v>1653</v>
      </c>
      <c r="C23" s="1640">
        <v>9.9000000000000005E-2</v>
      </c>
      <c r="D23" s="1640">
        <v>0.1</v>
      </c>
      <c r="E23" s="1640">
        <v>0.1</v>
      </c>
      <c r="F23" s="1647"/>
      <c r="G23" s="1641">
        <v>0.1</v>
      </c>
    </row>
    <row r="24" spans="1:7">
      <c r="A24" s="1638" t="s">
        <v>251</v>
      </c>
      <c r="B24" s="1639" t="s">
        <v>1663</v>
      </c>
      <c r="C24" s="1640">
        <v>9.5000000000000001E-2</v>
      </c>
      <c r="D24" s="1640">
        <v>0.1</v>
      </c>
      <c r="E24" s="1640">
        <v>9.8000000000000004E-2</v>
      </c>
      <c r="F24" s="1647"/>
      <c r="G24" s="1641">
        <v>0.1</v>
      </c>
    </row>
    <row r="25" spans="1:7">
      <c r="A25" s="1638" t="s">
        <v>251</v>
      </c>
      <c r="B25" s="1639" t="s">
        <v>1673</v>
      </c>
      <c r="C25" s="1640">
        <v>0.05</v>
      </c>
      <c r="D25" s="1640">
        <v>9.6000000000000002E-2</v>
      </c>
      <c r="E25" s="1640">
        <v>9.6000000000000002E-2</v>
      </c>
      <c r="F25" s="1647"/>
      <c r="G25" s="1641">
        <v>9.6000000000000002E-2</v>
      </c>
    </row>
    <row r="26" spans="1:7">
      <c r="A26" s="1638" t="s">
        <v>251</v>
      </c>
      <c r="B26" s="1639" t="s">
        <v>1683</v>
      </c>
      <c r="C26" s="1640">
        <v>6.3E-2</v>
      </c>
      <c r="D26" s="1640">
        <v>9.9000000000000005E-2</v>
      </c>
      <c r="E26" s="1640">
        <v>9.8000000000000004E-2</v>
      </c>
      <c r="F26" s="1647"/>
      <c r="G26" s="1641">
        <v>0.1</v>
      </c>
    </row>
    <row r="27" spans="1:7">
      <c r="A27" s="1638" t="s">
        <v>251</v>
      </c>
      <c r="B27" s="1639" t="s">
        <v>1693</v>
      </c>
      <c r="C27" s="1640">
        <v>5.1999999999999998E-2</v>
      </c>
      <c r="D27" s="1640">
        <v>9.5000000000000001E-2</v>
      </c>
      <c r="E27" s="1640">
        <v>6.4000000000000001E-2</v>
      </c>
      <c r="F27" s="1647"/>
      <c r="G27" s="1641">
        <v>9.7000000000000003E-2</v>
      </c>
    </row>
    <row r="28" spans="1:7">
      <c r="A28" s="1638" t="s">
        <v>251</v>
      </c>
      <c r="B28" s="1639" t="s">
        <v>1703</v>
      </c>
      <c r="C28" s="1647"/>
      <c r="D28" s="1640">
        <v>6.3E-2</v>
      </c>
      <c r="E28" s="1640">
        <v>5.1999999999999998E-2</v>
      </c>
      <c r="F28" s="1647"/>
      <c r="G28" s="1641">
        <v>6.3E-2</v>
      </c>
    </row>
    <row r="29" spans="1:7">
      <c r="A29" s="1642" t="s">
        <v>251</v>
      </c>
      <c r="B29" s="1643" t="s">
        <v>1713</v>
      </c>
      <c r="C29" s="1648"/>
      <c r="D29" s="1644">
        <v>5.1999999999999998E-2</v>
      </c>
      <c r="E29" s="1644">
        <v>7.0000000000000007E-2</v>
      </c>
      <c r="F29" s="1648"/>
      <c r="G29" s="1646">
        <v>7.0999999999999994E-2</v>
      </c>
    </row>
    <row r="30" spans="1:7">
      <c r="A30" s="1649" t="s">
        <v>263</v>
      </c>
      <c r="B30" s="1635" t="s">
        <v>1511</v>
      </c>
      <c r="C30" s="1636">
        <v>6.6000000000000003E-2</v>
      </c>
      <c r="D30" s="1636">
        <v>6.6000000000000003E-2</v>
      </c>
      <c r="E30" s="1636">
        <v>5.7000000000000002E-2</v>
      </c>
      <c r="F30" s="1636">
        <v>0.1</v>
      </c>
      <c r="G30" s="1637">
        <v>6.8000000000000005E-2</v>
      </c>
    </row>
    <row r="31" spans="1:7">
      <c r="A31" s="1650" t="s">
        <v>263</v>
      </c>
      <c r="B31" s="1639" t="s">
        <v>1524</v>
      </c>
      <c r="C31" s="1640">
        <v>5.5E-2</v>
      </c>
      <c r="D31" s="1640">
        <v>8.2000000000000003E-2</v>
      </c>
      <c r="E31" s="1640">
        <v>6.4000000000000001E-2</v>
      </c>
      <c r="F31" s="1640">
        <v>0.1</v>
      </c>
      <c r="G31" s="1641">
        <v>9.5000000000000001E-2</v>
      </c>
    </row>
    <row r="32" spans="1:7">
      <c r="A32" s="1650" t="s">
        <v>263</v>
      </c>
      <c r="B32" s="1639" t="s">
        <v>1537</v>
      </c>
      <c r="C32" s="1640">
        <v>8.2000000000000003E-2</v>
      </c>
      <c r="D32" s="1640">
        <v>8.6999999999999994E-2</v>
      </c>
      <c r="E32" s="1640">
        <v>9.5000000000000001E-2</v>
      </c>
      <c r="F32" s="1640">
        <v>0.1</v>
      </c>
      <c r="G32" s="1641">
        <v>9.6000000000000002E-2</v>
      </c>
    </row>
    <row r="33" spans="1:7">
      <c r="A33" s="1650" t="s">
        <v>263</v>
      </c>
      <c r="B33" s="1639" t="s">
        <v>1549</v>
      </c>
      <c r="C33" s="1640">
        <v>9.9000000000000005E-2</v>
      </c>
      <c r="D33" s="1640">
        <v>9.1999999999999998E-2</v>
      </c>
      <c r="E33" s="1640">
        <v>8.6999999999999994E-2</v>
      </c>
      <c r="F33" s="1640">
        <v>0.1</v>
      </c>
      <c r="G33" s="1641">
        <v>9.7000000000000003E-2</v>
      </c>
    </row>
    <row r="34" spans="1:7">
      <c r="A34" s="1650" t="s">
        <v>263</v>
      </c>
      <c r="B34" s="1639" t="s">
        <v>1561</v>
      </c>
      <c r="C34" s="1640">
        <v>8.4000000000000005E-2</v>
      </c>
      <c r="D34" s="1640">
        <v>9.7000000000000003E-2</v>
      </c>
      <c r="E34" s="1640">
        <v>7.0999999999999994E-2</v>
      </c>
      <c r="F34" s="1640">
        <v>0.1</v>
      </c>
      <c r="G34" s="1641">
        <v>9.8000000000000004E-2</v>
      </c>
    </row>
    <row r="35" spans="1:7">
      <c r="A35" s="1650" t="s">
        <v>263</v>
      </c>
      <c r="B35" s="1639" t="s">
        <v>1572</v>
      </c>
      <c r="C35" s="1640">
        <v>8.3000000000000004E-2</v>
      </c>
      <c r="D35" s="1640">
        <v>9.7000000000000003E-2</v>
      </c>
      <c r="E35" s="1640">
        <v>6.0999999999999999E-2</v>
      </c>
      <c r="F35" s="1640">
        <v>0.1</v>
      </c>
      <c r="G35" s="1641">
        <v>9.9000000000000005E-2</v>
      </c>
    </row>
    <row r="36" spans="1:7">
      <c r="A36" s="1650" t="s">
        <v>263</v>
      </c>
      <c r="B36" s="1639" t="s">
        <v>1583</v>
      </c>
      <c r="C36" s="1640">
        <v>9.7000000000000003E-2</v>
      </c>
      <c r="D36" s="1640">
        <v>9.7000000000000003E-2</v>
      </c>
      <c r="E36" s="1640">
        <v>7.8E-2</v>
      </c>
      <c r="F36" s="1640">
        <v>0.1</v>
      </c>
      <c r="G36" s="1641">
        <v>9.9000000000000005E-2</v>
      </c>
    </row>
    <row r="37" spans="1:7">
      <c r="A37" s="1650" t="s">
        <v>263</v>
      </c>
      <c r="B37" s="1639" t="s">
        <v>1594</v>
      </c>
      <c r="C37" s="1640">
        <v>9.7000000000000003E-2</v>
      </c>
      <c r="D37" s="1640">
        <v>9.5000000000000001E-2</v>
      </c>
      <c r="E37" s="1640">
        <v>7.8E-2</v>
      </c>
      <c r="F37" s="1640">
        <v>0.1</v>
      </c>
      <c r="G37" s="1641">
        <v>9.7000000000000003E-2</v>
      </c>
    </row>
    <row r="38" spans="1:7">
      <c r="A38" s="1650" t="s">
        <v>263</v>
      </c>
      <c r="B38" s="1639" t="s">
        <v>1604</v>
      </c>
      <c r="C38" s="1640">
        <v>9.7000000000000003E-2</v>
      </c>
      <c r="D38" s="1640">
        <v>7.6999999999999999E-2</v>
      </c>
      <c r="E38" s="1640">
        <v>7.0000000000000007E-2</v>
      </c>
      <c r="F38" s="1640">
        <v>0.1</v>
      </c>
      <c r="G38" s="1641">
        <v>7.6999999999999999E-2</v>
      </c>
    </row>
    <row r="39" spans="1:7">
      <c r="A39" s="1650" t="s">
        <v>263</v>
      </c>
      <c r="B39" s="1639" t="s">
        <v>1614</v>
      </c>
      <c r="C39" s="1640">
        <v>9.5000000000000001E-2</v>
      </c>
      <c r="D39" s="1640">
        <v>7.6999999999999999E-2</v>
      </c>
      <c r="E39" s="1640">
        <v>6.6000000000000003E-2</v>
      </c>
      <c r="F39" s="1640">
        <v>0.1</v>
      </c>
      <c r="G39" s="1641">
        <v>8.5999999999999993E-2</v>
      </c>
    </row>
    <row r="40" spans="1:7">
      <c r="A40" s="1650" t="s">
        <v>263</v>
      </c>
      <c r="B40" s="1639" t="s">
        <v>1624</v>
      </c>
      <c r="C40" s="1640">
        <v>7.6999999999999999E-2</v>
      </c>
      <c r="D40" s="1640">
        <v>7.8E-2</v>
      </c>
      <c r="E40" s="1640">
        <v>8.2000000000000003E-2</v>
      </c>
      <c r="F40" s="1651"/>
      <c r="G40" s="1641">
        <v>7.8E-2</v>
      </c>
    </row>
    <row r="41" spans="1:7">
      <c r="A41" s="1650" t="s">
        <v>263</v>
      </c>
      <c r="B41" s="1639" t="s">
        <v>1634</v>
      </c>
      <c r="C41" s="1640">
        <v>7.8E-2</v>
      </c>
      <c r="D41" s="1640">
        <v>7.8E-2</v>
      </c>
      <c r="E41" s="1640">
        <v>8.2000000000000003E-2</v>
      </c>
      <c r="F41" s="1651"/>
      <c r="G41" s="1641">
        <v>8.5999999999999993E-2</v>
      </c>
    </row>
    <row r="42" spans="1:7">
      <c r="A42" s="1650" t="s">
        <v>263</v>
      </c>
      <c r="B42" s="1639" t="s">
        <v>1644</v>
      </c>
      <c r="C42" s="1640">
        <v>7.8E-2</v>
      </c>
      <c r="D42" s="1640">
        <v>9.6000000000000002E-2</v>
      </c>
      <c r="E42" s="1640">
        <v>7.1999999999999995E-2</v>
      </c>
      <c r="F42" s="1651"/>
      <c r="G42" s="1641">
        <v>9.8000000000000004E-2</v>
      </c>
    </row>
    <row r="43" spans="1:7">
      <c r="A43" s="1650" t="s">
        <v>263</v>
      </c>
      <c r="B43" s="1639" t="s">
        <v>1654</v>
      </c>
      <c r="C43" s="1640">
        <v>7.8E-2</v>
      </c>
      <c r="D43" s="1640">
        <v>9.9000000000000005E-2</v>
      </c>
      <c r="E43" s="1640">
        <v>9.6000000000000002E-2</v>
      </c>
      <c r="F43" s="1651"/>
      <c r="G43" s="1641">
        <v>0.1</v>
      </c>
    </row>
    <row r="44" spans="1:7">
      <c r="A44" s="1650" t="s">
        <v>263</v>
      </c>
      <c r="B44" s="1639" t="s">
        <v>1664</v>
      </c>
      <c r="C44" s="1640">
        <v>9.6000000000000002E-2</v>
      </c>
      <c r="D44" s="1640">
        <v>0.1</v>
      </c>
      <c r="E44" s="1640">
        <v>9.8000000000000004E-2</v>
      </c>
      <c r="F44" s="1651"/>
      <c r="G44" s="1641">
        <v>0.1</v>
      </c>
    </row>
    <row r="45" spans="1:7">
      <c r="A45" s="1650" t="s">
        <v>263</v>
      </c>
      <c r="B45" s="1639" t="s">
        <v>1674</v>
      </c>
      <c r="C45" s="1640">
        <v>9.9000000000000005E-2</v>
      </c>
      <c r="D45" s="1640">
        <v>9.8000000000000004E-2</v>
      </c>
      <c r="E45" s="1640">
        <v>9.5000000000000001E-2</v>
      </c>
      <c r="F45" s="1651"/>
      <c r="G45" s="1641">
        <v>9.8000000000000004E-2</v>
      </c>
    </row>
    <row r="46" spans="1:7">
      <c r="A46" s="1650" t="s">
        <v>263</v>
      </c>
      <c r="B46" s="1639" t="s">
        <v>1684</v>
      </c>
      <c r="C46" s="1640">
        <v>0.1</v>
      </c>
      <c r="D46" s="1640">
        <v>9.9000000000000005E-2</v>
      </c>
      <c r="E46" s="1640">
        <v>9.6000000000000002E-2</v>
      </c>
      <c r="F46" s="1651"/>
      <c r="G46" s="1641">
        <v>0.1</v>
      </c>
    </row>
    <row r="47" spans="1:7">
      <c r="A47" s="1650" t="s">
        <v>263</v>
      </c>
      <c r="B47" s="1639" t="s">
        <v>1694</v>
      </c>
      <c r="C47" s="1640">
        <v>9.8000000000000004E-2</v>
      </c>
      <c r="D47" s="1640">
        <v>8.6999999999999994E-2</v>
      </c>
      <c r="E47" s="1640">
        <v>5.8999999999999997E-2</v>
      </c>
      <c r="F47" s="1651"/>
      <c r="G47" s="1641">
        <v>9.6000000000000002E-2</v>
      </c>
    </row>
    <row r="48" spans="1:7">
      <c r="A48" s="1650" t="s">
        <v>263</v>
      </c>
      <c r="B48" s="1639" t="s">
        <v>1704</v>
      </c>
      <c r="C48" s="1640">
        <v>9.9000000000000005E-2</v>
      </c>
      <c r="D48" s="1640">
        <v>9.8000000000000004E-2</v>
      </c>
      <c r="E48" s="1640">
        <v>9.5000000000000001E-2</v>
      </c>
      <c r="F48" s="1651"/>
      <c r="G48" s="1641">
        <v>9.8000000000000004E-2</v>
      </c>
    </row>
    <row r="49" spans="1:7">
      <c r="A49" s="1650" t="s">
        <v>263</v>
      </c>
      <c r="B49" s="1639" t="s">
        <v>1714</v>
      </c>
      <c r="C49" s="1640">
        <v>8.7999999999999995E-2</v>
      </c>
      <c r="D49" s="1640">
        <v>9.9000000000000005E-2</v>
      </c>
      <c r="E49" s="1640">
        <v>7.0000000000000007E-2</v>
      </c>
      <c r="F49" s="1651"/>
      <c r="G49" s="1641">
        <v>0.1</v>
      </c>
    </row>
    <row r="50" spans="1:7">
      <c r="A50" s="1650" t="s">
        <v>263</v>
      </c>
      <c r="B50" s="1639" t="s">
        <v>1723</v>
      </c>
      <c r="C50" s="1640">
        <v>9.8000000000000004E-2</v>
      </c>
      <c r="D50" s="1640">
        <v>7.2999999999999995E-2</v>
      </c>
      <c r="E50" s="1640">
        <v>7.0999999999999994E-2</v>
      </c>
      <c r="F50" s="1651"/>
      <c r="G50" s="1641">
        <v>7.2999999999999995E-2</v>
      </c>
    </row>
    <row r="51" spans="1:7">
      <c r="A51" s="1650" t="s">
        <v>263</v>
      </c>
      <c r="B51" s="1639" t="s">
        <v>1731</v>
      </c>
      <c r="C51" s="1640">
        <v>9.9000000000000005E-2</v>
      </c>
      <c r="D51" s="1640">
        <v>8.5000000000000006E-2</v>
      </c>
      <c r="E51" s="1640">
        <v>6.3E-2</v>
      </c>
      <c r="F51" s="1651"/>
      <c r="G51" s="1641">
        <v>9.6000000000000002E-2</v>
      </c>
    </row>
    <row r="52" spans="1:7">
      <c r="A52" s="1650" t="s">
        <v>263</v>
      </c>
      <c r="B52" s="1639" t="s">
        <v>1739</v>
      </c>
      <c r="C52" s="1640">
        <v>7.3999999999999996E-2</v>
      </c>
      <c r="D52" s="1640">
        <v>9.6000000000000002E-2</v>
      </c>
      <c r="E52" s="1640">
        <v>0.05</v>
      </c>
      <c r="F52" s="1651"/>
      <c r="G52" s="1641">
        <v>9.8000000000000004E-2</v>
      </c>
    </row>
    <row r="53" spans="1:7">
      <c r="A53" s="1650" t="s">
        <v>263</v>
      </c>
      <c r="B53" s="1639" t="s">
        <v>1747</v>
      </c>
      <c r="C53" s="1640">
        <v>8.5999999999999993E-2</v>
      </c>
      <c r="D53" s="1651"/>
      <c r="E53" s="1640">
        <v>9.1999999999999998E-2</v>
      </c>
      <c r="F53" s="1651"/>
      <c r="G53" s="1652"/>
    </row>
    <row r="54" spans="1:7">
      <c r="A54" s="1653" t="s">
        <v>263</v>
      </c>
      <c r="B54" s="1643" t="s">
        <v>1755</v>
      </c>
      <c r="C54" s="1644">
        <v>9.6000000000000002E-2</v>
      </c>
      <c r="D54" s="1645"/>
      <c r="E54" s="1654"/>
      <c r="F54" s="1645"/>
      <c r="G54" s="1655"/>
    </row>
    <row r="55" spans="1:7">
      <c r="A55" s="1649" t="s">
        <v>273</v>
      </c>
      <c r="B55" s="1635" t="s">
        <v>1512</v>
      </c>
      <c r="C55" s="1636">
        <v>9.6000000000000002E-2</v>
      </c>
      <c r="D55" s="1636">
        <v>8.4000000000000005E-2</v>
      </c>
      <c r="E55" s="1636">
        <v>9.1999999999999998E-2</v>
      </c>
      <c r="F55" s="1636">
        <v>0.1</v>
      </c>
      <c r="G55" s="1637">
        <v>9.5000000000000001E-2</v>
      </c>
    </row>
    <row r="56" spans="1:7">
      <c r="A56" s="1650" t="s">
        <v>273</v>
      </c>
      <c r="B56" s="1639" t="s">
        <v>1525</v>
      </c>
      <c r="C56" s="1640">
        <v>8.4000000000000005E-2</v>
      </c>
      <c r="D56" s="1640">
        <v>9.1999999999999998E-2</v>
      </c>
      <c r="E56" s="1640">
        <v>9.5000000000000001E-2</v>
      </c>
      <c r="F56" s="1640">
        <v>9.1999999999999998E-2</v>
      </c>
      <c r="G56" s="1641">
        <v>9.6000000000000002E-2</v>
      </c>
    </row>
    <row r="57" spans="1:7">
      <c r="A57" s="1650" t="s">
        <v>273</v>
      </c>
      <c r="B57" s="1639" t="s">
        <v>1538</v>
      </c>
      <c r="C57" s="1640">
        <v>9.9000000000000005E-2</v>
      </c>
      <c r="D57" s="1640">
        <v>9.6000000000000002E-2</v>
      </c>
      <c r="E57" s="1640">
        <v>9.1999999999999998E-2</v>
      </c>
      <c r="F57" s="1640">
        <v>0.1</v>
      </c>
      <c r="G57" s="1641">
        <v>9.8000000000000004E-2</v>
      </c>
    </row>
    <row r="58" spans="1:7">
      <c r="A58" s="1650" t="s">
        <v>273</v>
      </c>
      <c r="B58" s="1639" t="s">
        <v>1550</v>
      </c>
      <c r="C58" s="1640">
        <v>9.8000000000000004E-2</v>
      </c>
      <c r="D58" s="1640">
        <v>9.5000000000000001E-2</v>
      </c>
      <c r="E58" s="1640">
        <v>5.7000000000000002E-2</v>
      </c>
      <c r="F58" s="1640">
        <v>0.1</v>
      </c>
      <c r="G58" s="1641">
        <v>9.6000000000000002E-2</v>
      </c>
    </row>
    <row r="59" spans="1:7">
      <c r="A59" s="1650" t="s">
        <v>273</v>
      </c>
      <c r="B59" s="1639" t="s">
        <v>1562</v>
      </c>
      <c r="C59" s="1640">
        <v>9.5000000000000001E-2</v>
      </c>
      <c r="D59" s="1640">
        <v>0.1</v>
      </c>
      <c r="E59" s="1640">
        <v>7.4999999999999997E-2</v>
      </c>
      <c r="F59" s="1640">
        <v>0.1</v>
      </c>
      <c r="G59" s="1641">
        <v>0.1</v>
      </c>
    </row>
    <row r="60" spans="1:7">
      <c r="A60" s="1650" t="s">
        <v>273</v>
      </c>
      <c r="B60" s="1639" t="s">
        <v>1573</v>
      </c>
      <c r="C60" s="1640">
        <v>0.1</v>
      </c>
      <c r="D60" s="1640">
        <v>9.7000000000000003E-2</v>
      </c>
      <c r="E60" s="1640">
        <v>0.1</v>
      </c>
      <c r="F60" s="1640">
        <v>0.1</v>
      </c>
      <c r="G60" s="1641">
        <v>9.7000000000000003E-2</v>
      </c>
    </row>
    <row r="61" spans="1:7">
      <c r="A61" s="1650" t="s">
        <v>273</v>
      </c>
      <c r="B61" s="1639" t="s">
        <v>1584</v>
      </c>
      <c r="C61" s="1640">
        <v>9.7000000000000003E-2</v>
      </c>
      <c r="D61" s="1640">
        <v>0.1</v>
      </c>
      <c r="E61" s="1640">
        <v>9.2999999999999999E-2</v>
      </c>
      <c r="F61" s="1640">
        <v>0.1</v>
      </c>
      <c r="G61" s="1641">
        <v>0.1</v>
      </c>
    </row>
    <row r="62" spans="1:7">
      <c r="A62" s="1650" t="s">
        <v>273</v>
      </c>
      <c r="B62" s="1639" t="s">
        <v>1595</v>
      </c>
      <c r="C62" s="1640">
        <v>0.1</v>
      </c>
      <c r="D62" s="1640">
        <v>9.7000000000000003E-2</v>
      </c>
      <c r="E62" s="1640">
        <v>8.8999999999999996E-2</v>
      </c>
      <c r="F62" s="1640">
        <v>0.1</v>
      </c>
      <c r="G62" s="1641">
        <v>9.8000000000000004E-2</v>
      </c>
    </row>
    <row r="63" spans="1:7">
      <c r="A63" s="1650" t="s">
        <v>273</v>
      </c>
      <c r="B63" s="1639" t="s">
        <v>1605</v>
      </c>
      <c r="C63" s="1640">
        <v>9.7000000000000003E-2</v>
      </c>
      <c r="D63" s="1640">
        <v>9.7000000000000003E-2</v>
      </c>
      <c r="E63" s="1640">
        <v>9.9000000000000005E-2</v>
      </c>
      <c r="F63" s="1640">
        <v>0.1</v>
      </c>
      <c r="G63" s="1641">
        <v>9.7000000000000003E-2</v>
      </c>
    </row>
    <row r="64" spans="1:7">
      <c r="A64" s="1650" t="s">
        <v>273</v>
      </c>
      <c r="B64" s="1639" t="s">
        <v>1615</v>
      </c>
      <c r="C64" s="1640">
        <v>9.7000000000000003E-2</v>
      </c>
      <c r="D64" s="1640">
        <v>7.3999999999999996E-2</v>
      </c>
      <c r="E64" s="1640">
        <v>7.8E-2</v>
      </c>
      <c r="F64" s="1640">
        <v>0.1</v>
      </c>
      <c r="G64" s="1641">
        <v>8.8999999999999996E-2</v>
      </c>
    </row>
    <row r="65" spans="1:7">
      <c r="A65" s="1650" t="s">
        <v>273</v>
      </c>
      <c r="B65" s="1639" t="s">
        <v>1625</v>
      </c>
      <c r="C65" s="1640">
        <v>7.2999999999999995E-2</v>
      </c>
      <c r="D65" s="1640">
        <v>9.8000000000000004E-2</v>
      </c>
      <c r="E65" s="1640">
        <v>9.5000000000000001E-2</v>
      </c>
      <c r="F65" s="1640">
        <v>0.1</v>
      </c>
      <c r="G65" s="1641">
        <v>9.9000000000000005E-2</v>
      </c>
    </row>
    <row r="66" spans="1:7">
      <c r="A66" s="1650" t="s">
        <v>273</v>
      </c>
      <c r="B66" s="1639" t="s">
        <v>1635</v>
      </c>
      <c r="C66" s="1640">
        <v>9.8000000000000004E-2</v>
      </c>
      <c r="D66" s="1640">
        <v>9.5000000000000001E-2</v>
      </c>
      <c r="E66" s="1640">
        <v>0.05</v>
      </c>
      <c r="F66" s="1640">
        <v>0.1</v>
      </c>
      <c r="G66" s="1641">
        <v>9.7000000000000003E-2</v>
      </c>
    </row>
    <row r="67" spans="1:7">
      <c r="A67" s="1650" t="s">
        <v>273</v>
      </c>
      <c r="B67" s="1639" t="s">
        <v>1645</v>
      </c>
      <c r="C67" s="1640">
        <v>9.5000000000000001E-2</v>
      </c>
      <c r="D67" s="1640">
        <v>9.7000000000000003E-2</v>
      </c>
      <c r="E67" s="1640">
        <v>9.7000000000000003E-2</v>
      </c>
      <c r="F67" s="1640">
        <v>0.1</v>
      </c>
      <c r="G67" s="1641">
        <v>9.9000000000000005E-2</v>
      </c>
    </row>
    <row r="68" spans="1:7">
      <c r="A68" s="1650" t="s">
        <v>273</v>
      </c>
      <c r="B68" s="1639" t="s">
        <v>1655</v>
      </c>
      <c r="C68" s="1640">
        <v>9.7000000000000003E-2</v>
      </c>
      <c r="D68" s="1640">
        <v>6.8000000000000005E-2</v>
      </c>
      <c r="E68" s="1640">
        <v>6.6000000000000003E-2</v>
      </c>
      <c r="F68" s="1640">
        <v>0.1</v>
      </c>
      <c r="G68" s="1641">
        <v>8.4000000000000005E-2</v>
      </c>
    </row>
    <row r="69" spans="1:7">
      <c r="A69" s="1650" t="s">
        <v>273</v>
      </c>
      <c r="B69" s="1639" t="s">
        <v>1665</v>
      </c>
      <c r="C69" s="1640">
        <v>6.8000000000000005E-2</v>
      </c>
      <c r="D69" s="1640">
        <v>9.8000000000000004E-2</v>
      </c>
      <c r="E69" s="1640">
        <v>9.5000000000000001E-2</v>
      </c>
      <c r="F69" s="1640">
        <v>0.1</v>
      </c>
      <c r="G69" s="1641">
        <v>0.1</v>
      </c>
    </row>
    <row r="70" spans="1:7">
      <c r="A70" s="1650" t="s">
        <v>273</v>
      </c>
      <c r="B70" s="1639" t="s">
        <v>1675</v>
      </c>
      <c r="C70" s="1640">
        <v>9.8000000000000004E-2</v>
      </c>
      <c r="D70" s="1640">
        <v>8.8999999999999996E-2</v>
      </c>
      <c r="E70" s="1640">
        <v>5.8999999999999997E-2</v>
      </c>
      <c r="F70" s="1640">
        <v>0.1</v>
      </c>
      <c r="G70" s="1641">
        <v>9.6000000000000002E-2</v>
      </c>
    </row>
    <row r="71" spans="1:7">
      <c r="A71" s="1650" t="s">
        <v>273</v>
      </c>
      <c r="B71" s="1639" t="s">
        <v>1685</v>
      </c>
      <c r="C71" s="1640">
        <v>8.8999999999999996E-2</v>
      </c>
      <c r="D71" s="1640">
        <v>9.9000000000000005E-2</v>
      </c>
      <c r="E71" s="1640">
        <v>9.6000000000000002E-2</v>
      </c>
      <c r="F71" s="1640">
        <v>0.1</v>
      </c>
      <c r="G71" s="1641">
        <v>0.1</v>
      </c>
    </row>
    <row r="72" spans="1:7">
      <c r="A72" s="1650" t="s">
        <v>273</v>
      </c>
      <c r="B72" s="1639" t="s">
        <v>1695</v>
      </c>
      <c r="C72" s="1640">
        <v>9.9000000000000005E-2</v>
      </c>
      <c r="D72" s="1640">
        <v>0.1</v>
      </c>
      <c r="E72" s="1640">
        <v>7.0000000000000007E-2</v>
      </c>
      <c r="F72" s="1651"/>
      <c r="G72" s="1641">
        <v>0.1</v>
      </c>
    </row>
    <row r="73" spans="1:7">
      <c r="A73" s="1650" t="s">
        <v>273</v>
      </c>
      <c r="B73" s="1639" t="s">
        <v>1705</v>
      </c>
      <c r="C73" s="1640">
        <v>0.1</v>
      </c>
      <c r="D73" s="1640">
        <v>0.1</v>
      </c>
      <c r="E73" s="1640">
        <v>9.6000000000000002E-2</v>
      </c>
      <c r="F73" s="1651"/>
      <c r="G73" s="1641">
        <v>0.1</v>
      </c>
    </row>
    <row r="74" spans="1:7">
      <c r="A74" s="1650" t="s">
        <v>273</v>
      </c>
      <c r="B74" s="1639" t="s">
        <v>1715</v>
      </c>
      <c r="C74" s="1640">
        <v>0.1</v>
      </c>
      <c r="D74" s="1640">
        <v>0.1</v>
      </c>
      <c r="E74" s="1640">
        <v>9.8000000000000004E-2</v>
      </c>
      <c r="F74" s="1651"/>
      <c r="G74" s="1641">
        <v>0.1</v>
      </c>
    </row>
    <row r="75" spans="1:7">
      <c r="A75" s="1650" t="s">
        <v>273</v>
      </c>
      <c r="B75" s="1639" t="s">
        <v>1724</v>
      </c>
      <c r="C75" s="1640">
        <v>0.1</v>
      </c>
      <c r="D75" s="1640">
        <v>9.9000000000000005E-2</v>
      </c>
      <c r="E75" s="1640">
        <v>9.8000000000000004E-2</v>
      </c>
      <c r="F75" s="1651"/>
      <c r="G75" s="1641">
        <v>0.1</v>
      </c>
    </row>
    <row r="76" spans="1:7">
      <c r="A76" s="1650" t="s">
        <v>273</v>
      </c>
      <c r="B76" s="1639" t="s">
        <v>1732</v>
      </c>
      <c r="C76" s="1640">
        <v>9.9000000000000005E-2</v>
      </c>
      <c r="D76" s="1640">
        <v>0.1</v>
      </c>
      <c r="E76" s="1640">
        <v>9.7000000000000003E-2</v>
      </c>
      <c r="F76" s="1651"/>
      <c r="G76" s="1641">
        <v>0.1</v>
      </c>
    </row>
    <row r="77" spans="1:7">
      <c r="A77" s="1650" t="s">
        <v>273</v>
      </c>
      <c r="B77" s="1639" t="s">
        <v>1740</v>
      </c>
      <c r="C77" s="1640">
        <v>0.1</v>
      </c>
      <c r="D77" s="1640">
        <v>0.1</v>
      </c>
      <c r="E77" s="1640">
        <v>9.6000000000000002E-2</v>
      </c>
      <c r="F77" s="1651"/>
      <c r="G77" s="1641">
        <v>0.1</v>
      </c>
    </row>
    <row r="78" spans="1:7">
      <c r="A78" s="1650" t="s">
        <v>273</v>
      </c>
      <c r="B78" s="1639" t="s">
        <v>1748</v>
      </c>
      <c r="C78" s="1640">
        <v>0.1</v>
      </c>
      <c r="D78" s="1640">
        <v>8.5000000000000006E-2</v>
      </c>
      <c r="E78" s="1640">
        <v>9.6000000000000002E-2</v>
      </c>
      <c r="F78" s="1651"/>
      <c r="G78" s="1641">
        <v>9.6000000000000002E-2</v>
      </c>
    </row>
    <row r="79" spans="1:7">
      <c r="A79" s="1650" t="s">
        <v>273</v>
      </c>
      <c r="B79" s="1639" t="s">
        <v>1756</v>
      </c>
      <c r="C79" s="1640">
        <v>0.05</v>
      </c>
      <c r="D79" s="1640">
        <v>9.6000000000000002E-2</v>
      </c>
      <c r="E79" s="1640">
        <v>9.5000000000000001E-2</v>
      </c>
      <c r="F79" s="1651"/>
      <c r="G79" s="1641">
        <v>9.8000000000000004E-2</v>
      </c>
    </row>
    <row r="80" spans="1:7">
      <c r="A80" s="1650" t="s">
        <v>273</v>
      </c>
      <c r="B80" s="1639" t="s">
        <v>1762</v>
      </c>
      <c r="C80" s="1640">
        <v>8.5999999999999993E-2</v>
      </c>
      <c r="D80" s="1656"/>
      <c r="E80" s="1640">
        <v>0.1</v>
      </c>
      <c r="F80" s="1651"/>
      <c r="G80" s="1652"/>
    </row>
    <row r="81" spans="1:7">
      <c r="A81" s="1650" t="s">
        <v>273</v>
      </c>
      <c r="B81" s="1639" t="s">
        <v>1769</v>
      </c>
      <c r="C81" s="1640">
        <v>9.6000000000000002E-2</v>
      </c>
      <c r="D81" s="1651"/>
      <c r="E81" s="1640">
        <v>9.8000000000000004E-2</v>
      </c>
      <c r="F81" s="1651"/>
      <c r="G81" s="1652"/>
    </row>
    <row r="82" spans="1:7">
      <c r="A82" s="1650" t="s">
        <v>273</v>
      </c>
      <c r="B82" s="1639" t="s">
        <v>1776</v>
      </c>
      <c r="C82" s="1656"/>
      <c r="D82" s="1651"/>
      <c r="E82" s="1640">
        <v>7.6999999999999999E-2</v>
      </c>
      <c r="F82" s="1651"/>
      <c r="G82" s="1652"/>
    </row>
    <row r="83" spans="1:7">
      <c r="A83" s="1650" t="s">
        <v>273</v>
      </c>
      <c r="B83" s="1639" t="s">
        <v>1783</v>
      </c>
      <c r="C83" s="1651"/>
      <c r="D83" s="1651"/>
      <c r="E83" s="1651"/>
      <c r="F83" s="1640">
        <v>0.1</v>
      </c>
      <c r="G83" s="1657"/>
    </row>
    <row r="84" spans="1:7">
      <c r="A84" s="1650" t="s">
        <v>273</v>
      </c>
      <c r="B84" s="1639" t="s">
        <v>1790</v>
      </c>
      <c r="C84" s="1651"/>
      <c r="D84" s="1651"/>
      <c r="E84" s="1651"/>
      <c r="F84" s="1640">
        <v>0.1</v>
      </c>
      <c r="G84" s="1657"/>
    </row>
    <row r="85" spans="1:7">
      <c r="A85" s="1650" t="s">
        <v>273</v>
      </c>
      <c r="B85" s="1639" t="s">
        <v>1797</v>
      </c>
      <c r="C85" s="1651"/>
      <c r="D85" s="1651"/>
      <c r="E85" s="1651"/>
      <c r="F85" s="1640">
        <v>0.1</v>
      </c>
      <c r="G85" s="1657"/>
    </row>
    <row r="86" spans="1:7">
      <c r="A86" s="1653" t="s">
        <v>273</v>
      </c>
      <c r="B86" s="1643" t="s">
        <v>1804</v>
      </c>
      <c r="C86" s="1644">
        <v>9.8000000000000004E-2</v>
      </c>
      <c r="D86" s="1644">
        <v>9.8000000000000004E-2</v>
      </c>
      <c r="E86" s="1644">
        <v>9.6000000000000002E-2</v>
      </c>
      <c r="F86" s="1654"/>
      <c r="G86" s="1646">
        <v>0.1</v>
      </c>
    </row>
    <row r="87" spans="1:7">
      <c r="A87" s="1649" t="s">
        <v>282</v>
      </c>
      <c r="B87" s="1635" t="s">
        <v>1513</v>
      </c>
      <c r="C87" s="1636">
        <v>0.1</v>
      </c>
      <c r="D87" s="1636">
        <v>0.1</v>
      </c>
      <c r="E87" s="1636">
        <v>9.8000000000000004E-2</v>
      </c>
      <c r="F87" s="1636">
        <v>0.1</v>
      </c>
      <c r="G87" s="1637">
        <v>0.1</v>
      </c>
    </row>
    <row r="88" spans="1:7">
      <c r="A88" s="1650" t="s">
        <v>282</v>
      </c>
      <c r="B88" s="1639" t="s">
        <v>1526</v>
      </c>
      <c r="C88" s="1640">
        <v>9.0999999999999998E-2</v>
      </c>
      <c r="D88" s="1640">
        <v>9.1999999999999998E-2</v>
      </c>
      <c r="E88" s="1640">
        <v>0.1</v>
      </c>
      <c r="F88" s="1640">
        <v>0.1</v>
      </c>
      <c r="G88" s="1641">
        <v>9.6000000000000002E-2</v>
      </c>
    </row>
    <row r="89" spans="1:7">
      <c r="A89" s="1650" t="s">
        <v>282</v>
      </c>
      <c r="B89" s="1639" t="s">
        <v>1539</v>
      </c>
      <c r="C89" s="1640">
        <v>0.1</v>
      </c>
      <c r="D89" s="1640">
        <v>0.1</v>
      </c>
      <c r="E89" s="1640">
        <v>6.7000000000000004E-2</v>
      </c>
      <c r="F89" s="1640">
        <v>9.2999999999999999E-2</v>
      </c>
      <c r="G89" s="1641">
        <v>0.1</v>
      </c>
    </row>
    <row r="90" spans="1:7">
      <c r="A90" s="1650" t="s">
        <v>282</v>
      </c>
      <c r="B90" s="1639" t="s">
        <v>1551</v>
      </c>
      <c r="C90" s="1640">
        <v>9.6000000000000002E-2</v>
      </c>
      <c r="D90" s="1640">
        <v>9.6000000000000002E-2</v>
      </c>
      <c r="E90" s="1640">
        <v>0.1</v>
      </c>
      <c r="F90" s="1640">
        <v>0.1</v>
      </c>
      <c r="G90" s="1641">
        <v>9.8000000000000004E-2</v>
      </c>
    </row>
    <row r="91" spans="1:7">
      <c r="A91" s="1650" t="s">
        <v>282</v>
      </c>
      <c r="B91" s="1639" t="s">
        <v>1563</v>
      </c>
      <c r="C91" s="1640">
        <v>7.6999999999999999E-2</v>
      </c>
      <c r="D91" s="1640">
        <v>7.6999999999999999E-2</v>
      </c>
      <c r="E91" s="1640">
        <v>9.6000000000000002E-2</v>
      </c>
      <c r="F91" s="1640">
        <v>0.1</v>
      </c>
      <c r="G91" s="1641">
        <v>7.6999999999999999E-2</v>
      </c>
    </row>
    <row r="92" spans="1:7">
      <c r="A92" s="1650" t="s">
        <v>282</v>
      </c>
      <c r="B92" s="1639" t="s">
        <v>1574</v>
      </c>
      <c r="C92" s="1640">
        <v>0.1</v>
      </c>
      <c r="D92" s="1640">
        <v>0.1</v>
      </c>
      <c r="E92" s="1640">
        <v>9.1999999999999998E-2</v>
      </c>
      <c r="F92" s="1640">
        <v>0.1</v>
      </c>
      <c r="G92" s="1641">
        <v>0.1</v>
      </c>
    </row>
    <row r="93" spans="1:7">
      <c r="A93" s="1650" t="s">
        <v>282</v>
      </c>
      <c r="B93" s="1639" t="s">
        <v>1585</v>
      </c>
      <c r="C93" s="1640">
        <v>9.8000000000000004E-2</v>
      </c>
      <c r="D93" s="1640">
        <v>9.8000000000000004E-2</v>
      </c>
      <c r="E93" s="1640">
        <v>9.6000000000000002E-2</v>
      </c>
      <c r="F93" s="1640">
        <v>0.1</v>
      </c>
      <c r="G93" s="1641">
        <v>9.9000000000000005E-2</v>
      </c>
    </row>
    <row r="94" spans="1:7">
      <c r="A94" s="1650" t="s">
        <v>282</v>
      </c>
      <c r="B94" s="1639" t="s">
        <v>1596</v>
      </c>
      <c r="C94" s="1640">
        <v>8.7999999999999995E-2</v>
      </c>
      <c r="D94" s="1640">
        <v>8.7999999999999995E-2</v>
      </c>
      <c r="E94" s="1640">
        <v>9.6000000000000002E-2</v>
      </c>
      <c r="F94" s="1640">
        <v>0.1</v>
      </c>
      <c r="G94" s="1641">
        <v>8.7999999999999995E-2</v>
      </c>
    </row>
    <row r="95" spans="1:7">
      <c r="A95" s="1650" t="s">
        <v>282</v>
      </c>
      <c r="B95" s="1639" t="s">
        <v>1606</v>
      </c>
      <c r="C95" s="1640">
        <v>9.6000000000000002E-2</v>
      </c>
      <c r="D95" s="1640">
        <v>9.6000000000000002E-2</v>
      </c>
      <c r="E95" s="1640">
        <v>0.1</v>
      </c>
      <c r="F95" s="1640">
        <v>0.1</v>
      </c>
      <c r="G95" s="1641">
        <v>9.8000000000000004E-2</v>
      </c>
    </row>
    <row r="96" spans="1:7">
      <c r="A96" s="1650" t="s">
        <v>282</v>
      </c>
      <c r="B96" s="1639" t="s">
        <v>1616</v>
      </c>
      <c r="C96" s="1640">
        <v>9.7000000000000003E-2</v>
      </c>
      <c r="D96" s="1640">
        <v>9.7000000000000003E-2</v>
      </c>
      <c r="E96" s="1640">
        <v>0.1</v>
      </c>
      <c r="F96" s="1640">
        <v>0.1</v>
      </c>
      <c r="G96" s="1641">
        <v>9.8000000000000004E-2</v>
      </c>
    </row>
    <row r="97" spans="1:7">
      <c r="A97" s="1650" t="s">
        <v>282</v>
      </c>
      <c r="B97" s="1639" t="s">
        <v>1626</v>
      </c>
      <c r="C97" s="1640">
        <v>9.6000000000000002E-2</v>
      </c>
      <c r="D97" s="1640">
        <v>9.6000000000000002E-2</v>
      </c>
      <c r="E97" s="1640">
        <v>9.9000000000000005E-2</v>
      </c>
      <c r="F97" s="1640">
        <v>0.1</v>
      </c>
      <c r="G97" s="1641">
        <v>9.8000000000000004E-2</v>
      </c>
    </row>
    <row r="98" spans="1:7">
      <c r="A98" s="1650" t="s">
        <v>282</v>
      </c>
      <c r="B98" s="1639" t="s">
        <v>1636</v>
      </c>
      <c r="C98" s="1640">
        <v>9.8000000000000004E-2</v>
      </c>
      <c r="D98" s="1640">
        <v>9.8000000000000004E-2</v>
      </c>
      <c r="E98" s="1640">
        <v>0.1</v>
      </c>
      <c r="F98" s="1640">
        <v>0.1</v>
      </c>
      <c r="G98" s="1641">
        <v>9.9000000000000005E-2</v>
      </c>
    </row>
    <row r="99" spans="1:7">
      <c r="A99" s="1650" t="s">
        <v>282</v>
      </c>
      <c r="B99" s="1639" t="s">
        <v>1646</v>
      </c>
      <c r="C99" s="1640">
        <v>9.6000000000000002E-2</v>
      </c>
      <c r="D99" s="1640">
        <v>9.6000000000000002E-2</v>
      </c>
      <c r="E99" s="1640">
        <v>0.1</v>
      </c>
      <c r="F99" s="1640">
        <v>0.1</v>
      </c>
      <c r="G99" s="1641">
        <v>9.7000000000000003E-2</v>
      </c>
    </row>
    <row r="100" spans="1:7">
      <c r="A100" s="1650" t="s">
        <v>282</v>
      </c>
      <c r="B100" s="1639" t="s">
        <v>1656</v>
      </c>
      <c r="C100" s="1640">
        <v>0.1</v>
      </c>
      <c r="D100" s="1640">
        <v>0.1</v>
      </c>
      <c r="E100" s="1640">
        <v>9.7000000000000003E-2</v>
      </c>
      <c r="F100" s="1640">
        <v>9.8000000000000004E-2</v>
      </c>
      <c r="G100" s="1641">
        <v>0.1</v>
      </c>
    </row>
    <row r="101" spans="1:7">
      <c r="A101" s="1650" t="s">
        <v>282</v>
      </c>
      <c r="B101" s="1639" t="s">
        <v>1666</v>
      </c>
      <c r="C101" s="1640">
        <v>0.1</v>
      </c>
      <c r="D101" s="1640">
        <v>0.1</v>
      </c>
      <c r="E101" s="1640">
        <v>9.5000000000000001E-2</v>
      </c>
      <c r="F101" s="1640">
        <v>0.1</v>
      </c>
      <c r="G101" s="1641">
        <v>0.1</v>
      </c>
    </row>
    <row r="102" spans="1:7">
      <c r="A102" s="1650" t="s">
        <v>282</v>
      </c>
      <c r="B102" s="1639" t="s">
        <v>1676</v>
      </c>
      <c r="C102" s="1640">
        <v>0.1</v>
      </c>
      <c r="D102" s="1640">
        <v>0.1</v>
      </c>
      <c r="E102" s="1640">
        <v>9.9000000000000005E-2</v>
      </c>
      <c r="F102" s="1640">
        <v>9.7000000000000003E-2</v>
      </c>
      <c r="G102" s="1641">
        <v>0.1</v>
      </c>
    </row>
    <row r="103" spans="1:7">
      <c r="A103" s="1650" t="s">
        <v>282</v>
      </c>
      <c r="B103" s="1639" t="s">
        <v>1686</v>
      </c>
      <c r="C103" s="1640">
        <v>0.1</v>
      </c>
      <c r="D103" s="1640">
        <v>0.1</v>
      </c>
      <c r="E103" s="1640">
        <v>9.8000000000000004E-2</v>
      </c>
      <c r="F103" s="1640">
        <v>0.1</v>
      </c>
      <c r="G103" s="1641">
        <v>0.1</v>
      </c>
    </row>
    <row r="104" spans="1:7">
      <c r="A104" s="1650" t="s">
        <v>282</v>
      </c>
      <c r="B104" s="1639" t="s">
        <v>1696</v>
      </c>
      <c r="C104" s="1640">
        <v>0.1</v>
      </c>
      <c r="D104" s="1640">
        <v>0.1</v>
      </c>
      <c r="E104" s="1640">
        <v>9.8000000000000004E-2</v>
      </c>
      <c r="F104" s="1640">
        <v>0.1</v>
      </c>
      <c r="G104" s="1641">
        <v>0.1</v>
      </c>
    </row>
    <row r="105" spans="1:7">
      <c r="A105" s="1650" t="s">
        <v>282</v>
      </c>
      <c r="B105" s="1639" t="s">
        <v>1706</v>
      </c>
      <c r="C105" s="1640">
        <v>9.8000000000000004E-2</v>
      </c>
      <c r="D105" s="1640">
        <v>9.8000000000000004E-2</v>
      </c>
      <c r="E105" s="1640">
        <v>9.8000000000000004E-2</v>
      </c>
      <c r="F105" s="1640">
        <v>0.1</v>
      </c>
      <c r="G105" s="1641">
        <v>9.9000000000000005E-2</v>
      </c>
    </row>
    <row r="106" spans="1:7">
      <c r="A106" s="1650" t="s">
        <v>282</v>
      </c>
      <c r="B106" s="1639" t="s">
        <v>1716</v>
      </c>
      <c r="C106" s="1640">
        <v>9.7000000000000003E-2</v>
      </c>
      <c r="D106" s="1640">
        <v>9.7000000000000003E-2</v>
      </c>
      <c r="E106" s="1640">
        <v>9.7000000000000003E-2</v>
      </c>
      <c r="F106" s="1640">
        <v>0.1</v>
      </c>
      <c r="G106" s="1641">
        <v>9.9000000000000005E-2</v>
      </c>
    </row>
    <row r="107" spans="1:7">
      <c r="A107" s="1650" t="s">
        <v>282</v>
      </c>
      <c r="B107" s="1639" t="s">
        <v>1725</v>
      </c>
      <c r="C107" s="1640">
        <v>0.1</v>
      </c>
      <c r="D107" s="1640">
        <v>0.1</v>
      </c>
      <c r="E107" s="1640">
        <v>8.5999999999999993E-2</v>
      </c>
      <c r="F107" s="1640">
        <v>0.09</v>
      </c>
      <c r="G107" s="1641">
        <v>0.1</v>
      </c>
    </row>
    <row r="108" spans="1:7">
      <c r="A108" s="1650" t="s">
        <v>282</v>
      </c>
      <c r="B108" s="1639" t="s">
        <v>1733</v>
      </c>
      <c r="C108" s="1640">
        <v>0.1</v>
      </c>
      <c r="D108" s="1640">
        <v>0.1</v>
      </c>
      <c r="E108" s="1640">
        <v>9.6000000000000002E-2</v>
      </c>
      <c r="F108" s="1651"/>
      <c r="G108" s="1641">
        <v>0.1</v>
      </c>
    </row>
    <row r="109" spans="1:7">
      <c r="A109" s="1650" t="s">
        <v>282</v>
      </c>
      <c r="B109" s="1639" t="s">
        <v>1741</v>
      </c>
      <c r="C109" s="1640">
        <v>0.1</v>
      </c>
      <c r="D109" s="1640">
        <v>0.1</v>
      </c>
      <c r="E109" s="1640">
        <v>0.1</v>
      </c>
      <c r="F109" s="1651"/>
      <c r="G109" s="1641">
        <v>0.1</v>
      </c>
    </row>
    <row r="110" spans="1:7">
      <c r="A110" s="1650" t="s">
        <v>282</v>
      </c>
      <c r="B110" s="1639" t="s">
        <v>1749</v>
      </c>
      <c r="C110" s="1640">
        <v>0.1</v>
      </c>
      <c r="D110" s="1640">
        <v>0.1</v>
      </c>
      <c r="E110" s="1640">
        <v>0.1</v>
      </c>
      <c r="F110" s="1651"/>
      <c r="G110" s="1641">
        <v>0.1</v>
      </c>
    </row>
    <row r="111" spans="1:7">
      <c r="A111" s="1650" t="s">
        <v>282</v>
      </c>
      <c r="B111" s="1639" t="s">
        <v>1757</v>
      </c>
      <c r="C111" s="1640">
        <v>0.1</v>
      </c>
      <c r="D111" s="1640">
        <v>0.1</v>
      </c>
      <c r="E111" s="1640">
        <v>9.5000000000000001E-2</v>
      </c>
      <c r="F111" s="1651"/>
      <c r="G111" s="1641">
        <v>0.1</v>
      </c>
    </row>
    <row r="112" spans="1:7">
      <c r="A112" s="1650" t="s">
        <v>282</v>
      </c>
      <c r="B112" s="1639" t="s">
        <v>1763</v>
      </c>
      <c r="C112" s="1640">
        <v>9.7000000000000003E-2</v>
      </c>
      <c r="D112" s="1640">
        <v>9.7000000000000003E-2</v>
      </c>
      <c r="E112" s="1640">
        <v>0.05</v>
      </c>
      <c r="F112" s="1651"/>
      <c r="G112" s="1641">
        <v>9.8000000000000004E-2</v>
      </c>
    </row>
    <row r="113" spans="1:7">
      <c r="A113" s="1650" t="s">
        <v>282</v>
      </c>
      <c r="B113" s="1639" t="s">
        <v>1770</v>
      </c>
      <c r="C113" s="1640">
        <v>0.1</v>
      </c>
      <c r="D113" s="1640">
        <v>0.1</v>
      </c>
      <c r="E113" s="1651"/>
      <c r="F113" s="1651"/>
      <c r="G113" s="1641">
        <v>0.1</v>
      </c>
    </row>
    <row r="114" spans="1:7">
      <c r="A114" s="1650" t="s">
        <v>282</v>
      </c>
      <c r="B114" s="1639" t="s">
        <v>1777</v>
      </c>
      <c r="C114" s="1640">
        <v>9.7000000000000003E-2</v>
      </c>
      <c r="D114" s="1640">
        <v>9.7000000000000003E-2</v>
      </c>
      <c r="E114" s="1651"/>
      <c r="F114" s="1651"/>
      <c r="G114" s="1641">
        <v>9.9000000000000005E-2</v>
      </c>
    </row>
    <row r="115" spans="1:7">
      <c r="A115" s="1650" t="s">
        <v>282</v>
      </c>
      <c r="B115" s="1639" t="s">
        <v>1784</v>
      </c>
      <c r="C115" s="1640">
        <v>0.1</v>
      </c>
      <c r="D115" s="1640">
        <v>0.1</v>
      </c>
      <c r="E115" s="1651"/>
      <c r="F115" s="1651"/>
      <c r="G115" s="1641">
        <v>0.1</v>
      </c>
    </row>
    <row r="116" spans="1:7">
      <c r="A116" s="1650" t="s">
        <v>282</v>
      </c>
      <c r="B116" s="1639" t="s">
        <v>1791</v>
      </c>
      <c r="C116" s="1640">
        <v>0.1</v>
      </c>
      <c r="D116" s="1640">
        <v>0.1</v>
      </c>
      <c r="E116" s="1651"/>
      <c r="F116" s="1651"/>
      <c r="G116" s="1641">
        <v>0.1</v>
      </c>
    </row>
    <row r="117" spans="1:7">
      <c r="A117" s="1650" t="s">
        <v>282</v>
      </c>
      <c r="B117" s="1639" t="s">
        <v>1798</v>
      </c>
      <c r="C117" s="1640">
        <v>9.7000000000000003E-2</v>
      </c>
      <c r="D117" s="1640">
        <v>9.7000000000000003E-2</v>
      </c>
      <c r="E117" s="1651"/>
      <c r="F117" s="1651"/>
      <c r="G117" s="1641">
        <v>9.7000000000000003E-2</v>
      </c>
    </row>
    <row r="118" spans="1:7">
      <c r="A118" s="1650" t="s">
        <v>282</v>
      </c>
      <c r="B118" s="1639" t="s">
        <v>1805</v>
      </c>
      <c r="C118" s="1640">
        <v>0.1</v>
      </c>
      <c r="D118" s="1640">
        <v>0.1</v>
      </c>
      <c r="E118" s="1651"/>
      <c r="F118" s="1651"/>
      <c r="G118" s="1641">
        <v>0.1</v>
      </c>
    </row>
    <row r="119" spans="1:7">
      <c r="A119" s="1650" t="s">
        <v>282</v>
      </c>
      <c r="B119" s="1639" t="s">
        <v>1810</v>
      </c>
      <c r="C119" s="1640">
        <v>5.0999999999999997E-2</v>
      </c>
      <c r="D119" s="1640">
        <v>5.1999999999999998E-2</v>
      </c>
      <c r="E119" s="1651"/>
      <c r="F119" s="1656"/>
      <c r="G119" s="1641">
        <v>0.06</v>
      </c>
    </row>
    <row r="120" spans="1:7">
      <c r="A120" s="1650" t="s">
        <v>282</v>
      </c>
      <c r="B120" s="1639" t="s">
        <v>1815</v>
      </c>
      <c r="C120" s="1651"/>
      <c r="D120" s="1651"/>
      <c r="E120" s="1651"/>
      <c r="F120" s="1640">
        <v>0.1</v>
      </c>
      <c r="G120" s="1657"/>
    </row>
    <row r="121" spans="1:7">
      <c r="A121" s="1650" t="s">
        <v>282</v>
      </c>
      <c r="B121" s="1639" t="s">
        <v>1820</v>
      </c>
      <c r="C121" s="1651"/>
      <c r="D121" s="1651"/>
      <c r="E121" s="1651"/>
      <c r="F121" s="1640">
        <v>0.1</v>
      </c>
      <c r="G121" s="1657"/>
    </row>
    <row r="122" spans="1:7">
      <c r="A122" s="1650" t="s">
        <v>282</v>
      </c>
      <c r="B122" s="1639" t="s">
        <v>1825</v>
      </c>
      <c r="C122" s="1640">
        <v>0.1</v>
      </c>
      <c r="D122" s="1640">
        <v>0.1</v>
      </c>
      <c r="E122" s="1640">
        <v>9.8000000000000004E-2</v>
      </c>
      <c r="F122" s="1640">
        <v>0.1</v>
      </c>
      <c r="G122" s="1641">
        <v>0.1</v>
      </c>
    </row>
    <row r="123" spans="1:7">
      <c r="A123" s="1650" t="s">
        <v>282</v>
      </c>
      <c r="B123" s="1639" t="s">
        <v>1830</v>
      </c>
      <c r="C123" s="1640">
        <v>0.1</v>
      </c>
      <c r="D123" s="1640">
        <v>0.1</v>
      </c>
      <c r="E123" s="1640">
        <v>9.8000000000000004E-2</v>
      </c>
      <c r="F123" s="1640">
        <v>0.1</v>
      </c>
      <c r="G123" s="1641">
        <v>0.1</v>
      </c>
    </row>
    <row r="124" spans="1:7">
      <c r="A124" s="1650" t="s">
        <v>282</v>
      </c>
      <c r="B124" s="1639" t="s">
        <v>1835</v>
      </c>
      <c r="C124" s="1640">
        <v>0.1</v>
      </c>
      <c r="D124" s="1640">
        <v>0.1</v>
      </c>
      <c r="E124" s="1640">
        <v>9.8000000000000004E-2</v>
      </c>
      <c r="F124" s="1656"/>
      <c r="G124" s="1641">
        <v>0.1</v>
      </c>
    </row>
    <row r="125" spans="1:7">
      <c r="A125" s="1650" t="s">
        <v>282</v>
      </c>
      <c r="B125" s="1639" t="s">
        <v>1840</v>
      </c>
      <c r="C125" s="1640">
        <v>9.8000000000000004E-2</v>
      </c>
      <c r="D125" s="1640">
        <v>9.8000000000000004E-2</v>
      </c>
      <c r="E125" s="1640">
        <v>9.6000000000000002E-2</v>
      </c>
      <c r="F125" s="1656"/>
      <c r="G125" s="1641">
        <v>0.1</v>
      </c>
    </row>
    <row r="126" spans="1:7">
      <c r="A126" s="1653" t="s">
        <v>282</v>
      </c>
      <c r="B126" s="1643" t="s">
        <v>1845</v>
      </c>
      <c r="C126" s="1644">
        <v>0.1</v>
      </c>
      <c r="D126" s="1644">
        <v>0.1</v>
      </c>
      <c r="E126" s="1644">
        <v>9.8000000000000004E-2</v>
      </c>
      <c r="F126" s="1644">
        <v>0.1</v>
      </c>
      <c r="G126" s="1646">
        <v>0.1</v>
      </c>
    </row>
    <row r="127" spans="1:7">
      <c r="A127" s="1649" t="s">
        <v>290</v>
      </c>
      <c r="B127" s="1635" t="s">
        <v>1514</v>
      </c>
      <c r="C127" s="1636">
        <v>0.121</v>
      </c>
      <c r="D127" s="1636">
        <v>0.121</v>
      </c>
      <c r="E127" s="1636">
        <v>0.107</v>
      </c>
      <c r="F127" s="1636">
        <v>0.13</v>
      </c>
      <c r="G127" s="1637">
        <v>0.122</v>
      </c>
    </row>
    <row r="128" spans="1:7">
      <c r="A128" s="1650" t="s">
        <v>290</v>
      </c>
      <c r="B128" s="1639" t="s">
        <v>1527</v>
      </c>
      <c r="C128" s="1640">
        <v>0.11600000000000001</v>
      </c>
      <c r="D128" s="1640">
        <v>0.11700000000000001</v>
      </c>
      <c r="E128" s="1640">
        <v>0.104</v>
      </c>
      <c r="F128" s="1640">
        <v>0.13</v>
      </c>
      <c r="G128" s="1641">
        <v>0.11700000000000001</v>
      </c>
    </row>
    <row r="129" spans="1:7">
      <c r="A129" s="1650" t="s">
        <v>290</v>
      </c>
      <c r="B129" s="1639" t="s">
        <v>1540</v>
      </c>
      <c r="C129" s="1640">
        <v>0.107</v>
      </c>
      <c r="D129" s="1640">
        <v>0.108</v>
      </c>
      <c r="E129" s="1640">
        <v>0.1</v>
      </c>
      <c r="F129" s="1640">
        <v>0.13</v>
      </c>
      <c r="G129" s="1641">
        <v>0.11700000000000001</v>
      </c>
    </row>
    <row r="130" spans="1:7">
      <c r="A130" s="1650" t="s">
        <v>290</v>
      </c>
      <c r="B130" s="1639" t="s">
        <v>1552</v>
      </c>
      <c r="C130" s="1640">
        <v>0.13</v>
      </c>
      <c r="D130" s="1640">
        <v>0.13</v>
      </c>
      <c r="E130" s="1640">
        <v>0.126</v>
      </c>
      <c r="F130" s="1640">
        <v>0.13</v>
      </c>
      <c r="G130" s="1641">
        <v>0.13</v>
      </c>
    </row>
    <row r="131" spans="1:7">
      <c r="A131" s="1650" t="s">
        <v>290</v>
      </c>
      <c r="B131" s="1639" t="s">
        <v>1564</v>
      </c>
      <c r="C131" s="1640">
        <v>0.13</v>
      </c>
      <c r="D131" s="1640">
        <v>0.13</v>
      </c>
      <c r="E131" s="1640">
        <v>0.13</v>
      </c>
      <c r="F131" s="1640">
        <v>0.13</v>
      </c>
      <c r="G131" s="1641">
        <v>0.13</v>
      </c>
    </row>
    <row r="132" spans="1:7">
      <c r="A132" s="1650" t="s">
        <v>290</v>
      </c>
      <c r="B132" s="1639" t="s">
        <v>1575</v>
      </c>
      <c r="C132" s="1640">
        <v>0.13</v>
      </c>
      <c r="D132" s="1640">
        <v>0.13</v>
      </c>
      <c r="E132" s="1640">
        <v>0.126</v>
      </c>
      <c r="F132" s="1640">
        <v>0.13</v>
      </c>
      <c r="G132" s="1641">
        <v>0.13</v>
      </c>
    </row>
    <row r="133" spans="1:7">
      <c r="A133" s="1650" t="s">
        <v>290</v>
      </c>
      <c r="B133" s="1639" t="s">
        <v>1586</v>
      </c>
      <c r="C133" s="1640">
        <v>0.111</v>
      </c>
      <c r="D133" s="1640">
        <v>0.111</v>
      </c>
      <c r="E133" s="1640">
        <v>0.10199999999999999</v>
      </c>
      <c r="F133" s="1640">
        <v>0.13</v>
      </c>
      <c r="G133" s="1641">
        <v>0.121</v>
      </c>
    </row>
    <row r="134" spans="1:7">
      <c r="A134" s="1650" t="s">
        <v>290</v>
      </c>
      <c r="B134" s="1639" t="s">
        <v>1597</v>
      </c>
      <c r="C134" s="1640">
        <v>0.121</v>
      </c>
      <c r="D134" s="1640">
        <v>0.121</v>
      </c>
      <c r="E134" s="1640">
        <v>0.1</v>
      </c>
      <c r="F134" s="1640">
        <v>0.13</v>
      </c>
      <c r="G134" s="1641">
        <v>0.123</v>
      </c>
    </row>
    <row r="135" spans="1:7">
      <c r="A135" s="1650" t="s">
        <v>290</v>
      </c>
      <c r="B135" s="1639" t="s">
        <v>1607</v>
      </c>
      <c r="C135" s="1640">
        <v>0.105</v>
      </c>
      <c r="D135" s="1640">
        <v>0.106</v>
      </c>
      <c r="E135" s="1640">
        <v>0.1</v>
      </c>
      <c r="F135" s="1640">
        <v>0.13</v>
      </c>
      <c r="G135" s="1641">
        <v>0.115</v>
      </c>
    </row>
    <row r="136" spans="1:7">
      <c r="A136" s="1650" t="s">
        <v>290</v>
      </c>
      <c r="B136" s="1639" t="s">
        <v>1617</v>
      </c>
      <c r="C136" s="1640">
        <v>0.127</v>
      </c>
      <c r="D136" s="1640">
        <v>0.127</v>
      </c>
      <c r="E136" s="1640">
        <v>0.121</v>
      </c>
      <c r="F136" s="1640">
        <v>0.123</v>
      </c>
      <c r="G136" s="1641">
        <v>0.129</v>
      </c>
    </row>
    <row r="137" spans="1:7">
      <c r="A137" s="1650" t="s">
        <v>290</v>
      </c>
      <c r="B137" s="1639" t="s">
        <v>1627</v>
      </c>
      <c r="C137" s="1640">
        <v>0.13</v>
      </c>
      <c r="D137" s="1640">
        <v>0.13</v>
      </c>
      <c r="E137" s="1640">
        <v>0.129</v>
      </c>
      <c r="F137" s="1640">
        <v>0.13</v>
      </c>
      <c r="G137" s="1641">
        <v>0.13</v>
      </c>
    </row>
    <row r="138" spans="1:7">
      <c r="A138" s="1650" t="s">
        <v>290</v>
      </c>
      <c r="B138" s="1639" t="s">
        <v>1637</v>
      </c>
      <c r="C138" s="1640">
        <v>0.13</v>
      </c>
      <c r="D138" s="1640">
        <v>0.13</v>
      </c>
      <c r="E138" s="1640">
        <v>0.125</v>
      </c>
      <c r="F138" s="1640">
        <v>0.13</v>
      </c>
      <c r="G138" s="1641">
        <v>0.13</v>
      </c>
    </row>
    <row r="139" spans="1:7">
      <c r="A139" s="1650" t="s">
        <v>290</v>
      </c>
      <c r="B139" s="1639" t="s">
        <v>1647</v>
      </c>
      <c r="C139" s="1640">
        <v>0.13</v>
      </c>
      <c r="D139" s="1640">
        <v>0.13</v>
      </c>
      <c r="E139" s="1640">
        <v>0.126</v>
      </c>
      <c r="F139" s="1640">
        <v>0.13</v>
      </c>
      <c r="G139" s="1641">
        <v>0.13</v>
      </c>
    </row>
    <row r="140" spans="1:7">
      <c r="A140" s="1650" t="s">
        <v>290</v>
      </c>
      <c r="B140" s="1639" t="s">
        <v>1657</v>
      </c>
      <c r="C140" s="1640">
        <v>0.1</v>
      </c>
      <c r="D140" s="1640">
        <v>0.1</v>
      </c>
      <c r="E140" s="1640">
        <v>0.1</v>
      </c>
      <c r="F140" s="1640">
        <v>0.123</v>
      </c>
      <c r="G140" s="1641">
        <v>0.107</v>
      </c>
    </row>
    <row r="141" spans="1:7">
      <c r="A141" s="1650" t="s">
        <v>290</v>
      </c>
      <c r="B141" s="1639" t="s">
        <v>1667</v>
      </c>
      <c r="C141" s="1640">
        <v>0.127</v>
      </c>
      <c r="D141" s="1640">
        <v>0.127</v>
      </c>
      <c r="E141" s="1640">
        <v>0.122</v>
      </c>
      <c r="F141" s="1640">
        <v>0.1</v>
      </c>
      <c r="G141" s="1641">
        <v>0.129</v>
      </c>
    </row>
    <row r="142" spans="1:7">
      <c r="A142" s="1650" t="s">
        <v>290</v>
      </c>
      <c r="B142" s="1639" t="s">
        <v>1677</v>
      </c>
      <c r="C142" s="1640">
        <v>0.121</v>
      </c>
      <c r="D142" s="1640">
        <v>0.122</v>
      </c>
      <c r="E142" s="1640">
        <v>0.1</v>
      </c>
      <c r="F142" s="1640">
        <v>0.123</v>
      </c>
      <c r="G142" s="1641">
        <v>0.123</v>
      </c>
    </row>
    <row r="143" spans="1:7">
      <c r="A143" s="1650" t="s">
        <v>290</v>
      </c>
      <c r="B143" s="1639" t="s">
        <v>1687</v>
      </c>
      <c r="C143" s="1640">
        <v>0.1</v>
      </c>
      <c r="D143" s="1640">
        <v>0.1</v>
      </c>
      <c r="E143" s="1640">
        <v>0.1</v>
      </c>
      <c r="F143" s="1640">
        <v>0.13</v>
      </c>
      <c r="G143" s="1641">
        <v>0.1</v>
      </c>
    </row>
    <row r="144" spans="1:7">
      <c r="A144" s="1650" t="s">
        <v>290</v>
      </c>
      <c r="B144" s="1639" t="s">
        <v>1697</v>
      </c>
      <c r="C144" s="1640">
        <v>0.106</v>
      </c>
      <c r="D144" s="1640">
        <v>0.105</v>
      </c>
      <c r="E144" s="1640">
        <v>0.1</v>
      </c>
      <c r="F144" s="1640">
        <v>0.13</v>
      </c>
      <c r="G144" s="1641">
        <v>0.11799999999999999</v>
      </c>
    </row>
    <row r="145" spans="1:7">
      <c r="A145" s="1650" t="s">
        <v>290</v>
      </c>
      <c r="B145" s="1639" t="s">
        <v>1707</v>
      </c>
      <c r="C145" s="1640">
        <v>0.123</v>
      </c>
      <c r="D145" s="1640">
        <v>0.123</v>
      </c>
      <c r="E145" s="1640">
        <v>0.11700000000000001</v>
      </c>
      <c r="F145" s="1640">
        <v>0.13</v>
      </c>
      <c r="G145" s="1641">
        <v>0.126</v>
      </c>
    </row>
    <row r="146" spans="1:7">
      <c r="A146" s="1650" t="s">
        <v>290</v>
      </c>
      <c r="B146" s="1639" t="s">
        <v>1717</v>
      </c>
      <c r="C146" s="1640">
        <v>0.127</v>
      </c>
      <c r="D146" s="1640">
        <v>0.127</v>
      </c>
      <c r="E146" s="1640">
        <v>0.12</v>
      </c>
      <c r="F146" s="1651"/>
      <c r="G146" s="1641">
        <v>0.129</v>
      </c>
    </row>
    <row r="147" spans="1:7">
      <c r="A147" s="1650" t="s">
        <v>290</v>
      </c>
      <c r="B147" s="1639" t="s">
        <v>1726</v>
      </c>
      <c r="C147" s="1640">
        <v>0.13</v>
      </c>
      <c r="D147" s="1640">
        <v>0.13</v>
      </c>
      <c r="E147" s="1640">
        <v>0.126</v>
      </c>
      <c r="F147" s="1651"/>
      <c r="G147" s="1641">
        <v>0.13</v>
      </c>
    </row>
    <row r="148" spans="1:7">
      <c r="A148" s="1650" t="s">
        <v>290</v>
      </c>
      <c r="B148" s="1639" t="s">
        <v>1734</v>
      </c>
      <c r="C148" s="1640">
        <v>0.13</v>
      </c>
      <c r="D148" s="1640">
        <v>0.13</v>
      </c>
      <c r="E148" s="1640">
        <v>0.13</v>
      </c>
      <c r="F148" s="1651"/>
      <c r="G148" s="1641">
        <v>0.13</v>
      </c>
    </row>
    <row r="149" spans="1:7">
      <c r="A149" s="1650" t="s">
        <v>290</v>
      </c>
      <c r="B149" s="1639" t="s">
        <v>1742</v>
      </c>
      <c r="C149" s="1640">
        <v>0.13</v>
      </c>
      <c r="D149" s="1640">
        <v>0.13</v>
      </c>
      <c r="E149" s="1640">
        <v>0.13</v>
      </c>
      <c r="F149" s="1640">
        <v>0.13</v>
      </c>
      <c r="G149" s="1641">
        <v>0.13</v>
      </c>
    </row>
    <row r="150" spans="1:7">
      <c r="A150" s="1650" t="s">
        <v>290</v>
      </c>
      <c r="B150" s="1639" t="s">
        <v>1750</v>
      </c>
      <c r="C150" s="1640">
        <v>0.13</v>
      </c>
      <c r="D150" s="1640">
        <v>0.13</v>
      </c>
      <c r="E150" s="1640">
        <v>0.127</v>
      </c>
      <c r="F150" s="1640">
        <v>0.13</v>
      </c>
      <c r="G150" s="1641">
        <v>0.13</v>
      </c>
    </row>
    <row r="151" spans="1:7">
      <c r="A151" s="1650" t="s">
        <v>290</v>
      </c>
      <c r="B151" s="1639" t="s">
        <v>1758</v>
      </c>
      <c r="C151" s="1640">
        <v>0.13</v>
      </c>
      <c r="D151" s="1640">
        <v>0.13</v>
      </c>
      <c r="E151" s="1640">
        <v>0.13</v>
      </c>
      <c r="F151" s="1640">
        <v>0.13</v>
      </c>
      <c r="G151" s="1641">
        <v>0.13</v>
      </c>
    </row>
    <row r="152" spans="1:7">
      <c r="A152" s="1650" t="s">
        <v>290</v>
      </c>
      <c r="B152" s="1639" t="s">
        <v>1764</v>
      </c>
      <c r="C152" s="1640">
        <v>0.13</v>
      </c>
      <c r="D152" s="1640">
        <v>0.13</v>
      </c>
      <c r="E152" s="1640">
        <v>0.13</v>
      </c>
      <c r="F152" s="1640">
        <v>0.13</v>
      </c>
      <c r="G152" s="1641">
        <v>0.13</v>
      </c>
    </row>
    <row r="153" spans="1:7">
      <c r="A153" s="1650" t="s">
        <v>290</v>
      </c>
      <c r="B153" s="1639" t="s">
        <v>1771</v>
      </c>
      <c r="C153" s="1640">
        <v>0.13</v>
      </c>
      <c r="D153" s="1640">
        <v>0.13</v>
      </c>
      <c r="E153" s="1640">
        <v>0.13</v>
      </c>
      <c r="F153" s="1640">
        <v>0.13</v>
      </c>
      <c r="G153" s="1641">
        <v>0.13</v>
      </c>
    </row>
    <row r="154" spans="1:7">
      <c r="A154" s="1650" t="s">
        <v>290</v>
      </c>
      <c r="B154" s="1639" t="s">
        <v>1778</v>
      </c>
      <c r="C154" s="1640">
        <v>0.121</v>
      </c>
      <c r="D154" s="1640">
        <v>0.121</v>
      </c>
      <c r="E154" s="1640">
        <v>0.105</v>
      </c>
      <c r="F154" s="1640">
        <v>0.121</v>
      </c>
      <c r="G154" s="1641">
        <v>0.123</v>
      </c>
    </row>
    <row r="155" spans="1:7">
      <c r="A155" s="1650" t="s">
        <v>290</v>
      </c>
      <c r="B155" s="1639" t="s">
        <v>1785</v>
      </c>
      <c r="C155" s="1640">
        <v>0.1</v>
      </c>
      <c r="D155" s="1640">
        <v>0.1</v>
      </c>
      <c r="E155" s="1640">
        <v>0.1</v>
      </c>
      <c r="F155" s="1640">
        <v>0.1</v>
      </c>
      <c r="G155" s="1641">
        <v>0.1</v>
      </c>
    </row>
    <row r="156" spans="1:7">
      <c r="A156" s="1650" t="s">
        <v>290</v>
      </c>
      <c r="B156" s="1639" t="s">
        <v>1792</v>
      </c>
      <c r="C156" s="1640">
        <v>0.13</v>
      </c>
      <c r="D156" s="1640">
        <v>0.13</v>
      </c>
      <c r="E156" s="1640">
        <v>0.13</v>
      </c>
      <c r="F156" s="1640">
        <v>0.13</v>
      </c>
      <c r="G156" s="1641">
        <v>0.13</v>
      </c>
    </row>
    <row r="157" spans="1:7">
      <c r="A157" s="1650" t="s">
        <v>290</v>
      </c>
      <c r="B157" s="1639" t="s">
        <v>1799</v>
      </c>
      <c r="C157" s="1640">
        <v>0.13</v>
      </c>
      <c r="D157" s="1640">
        <v>0.13</v>
      </c>
      <c r="E157" s="1640">
        <v>0.125</v>
      </c>
      <c r="F157" s="1640">
        <v>0.13</v>
      </c>
      <c r="G157" s="1641">
        <v>0.13</v>
      </c>
    </row>
    <row r="158" spans="1:7">
      <c r="A158" s="1650" t="s">
        <v>290</v>
      </c>
      <c r="B158" s="1639" t="s">
        <v>1806</v>
      </c>
      <c r="C158" s="1640">
        <v>0.124</v>
      </c>
      <c r="D158" s="1640">
        <v>0.124</v>
      </c>
      <c r="E158" s="1640">
        <v>0.11700000000000001</v>
      </c>
      <c r="F158" s="1640">
        <v>0.121</v>
      </c>
      <c r="G158" s="1641">
        <v>0.124</v>
      </c>
    </row>
    <row r="159" spans="1:7">
      <c r="A159" s="1650" t="s">
        <v>290</v>
      </c>
      <c r="B159" s="1639" t="s">
        <v>1811</v>
      </c>
      <c r="C159" s="1640">
        <v>0.127</v>
      </c>
      <c r="D159" s="1640">
        <v>0.127</v>
      </c>
      <c r="E159" s="1640">
        <v>0.122</v>
      </c>
      <c r="F159" s="1640">
        <v>0.13</v>
      </c>
      <c r="G159" s="1641">
        <v>0.129</v>
      </c>
    </row>
    <row r="160" spans="1:7">
      <c r="A160" s="1650" t="s">
        <v>290</v>
      </c>
      <c r="B160" s="1639" t="s">
        <v>1816</v>
      </c>
      <c r="C160" s="1640">
        <v>0.13</v>
      </c>
      <c r="D160" s="1640">
        <v>0.13</v>
      </c>
      <c r="E160" s="1640">
        <v>0.124</v>
      </c>
      <c r="F160" s="1640">
        <v>0.126</v>
      </c>
      <c r="G160" s="1641">
        <v>0.13</v>
      </c>
    </row>
    <row r="161" spans="1:7">
      <c r="A161" s="1650" t="s">
        <v>290</v>
      </c>
      <c r="B161" s="1639" t="s">
        <v>1821</v>
      </c>
      <c r="C161" s="1640">
        <v>0.13</v>
      </c>
      <c r="D161" s="1640">
        <v>0.13</v>
      </c>
      <c r="E161" s="1640">
        <v>0.124</v>
      </c>
      <c r="F161" s="1640">
        <v>0.127</v>
      </c>
      <c r="G161" s="1641">
        <v>0.13</v>
      </c>
    </row>
    <row r="162" spans="1:7">
      <c r="A162" s="1650" t="s">
        <v>290</v>
      </c>
      <c r="B162" s="1639" t="s">
        <v>1826</v>
      </c>
      <c r="C162" s="1640">
        <v>0.1</v>
      </c>
      <c r="D162" s="1640">
        <v>0.1</v>
      </c>
      <c r="E162" s="1640">
        <v>0.1</v>
      </c>
      <c r="F162" s="1640">
        <v>0.121</v>
      </c>
      <c r="G162" s="1641">
        <v>0.105</v>
      </c>
    </row>
    <row r="163" spans="1:7">
      <c r="A163" s="1650" t="s">
        <v>290</v>
      </c>
      <c r="B163" s="1639" t="s">
        <v>1831</v>
      </c>
      <c r="C163" s="1640">
        <v>0.1</v>
      </c>
      <c r="D163" s="1640">
        <v>0.1</v>
      </c>
      <c r="E163" s="1640">
        <v>0.1</v>
      </c>
      <c r="F163" s="1640">
        <v>0.1</v>
      </c>
      <c r="G163" s="1641">
        <v>0.1</v>
      </c>
    </row>
    <row r="164" spans="1:7">
      <c r="A164" s="1650" t="s">
        <v>290</v>
      </c>
      <c r="B164" s="1639" t="s">
        <v>1836</v>
      </c>
      <c r="C164" s="1656"/>
      <c r="D164" s="1656"/>
      <c r="E164" s="1656"/>
      <c r="F164" s="1640">
        <v>0.1</v>
      </c>
      <c r="G164" s="1652"/>
    </row>
    <row r="165" spans="1:7">
      <c r="A165" s="1650" t="s">
        <v>290</v>
      </c>
      <c r="B165" s="1639" t="s">
        <v>1841</v>
      </c>
      <c r="C165" s="1640">
        <v>0.126</v>
      </c>
      <c r="D165" s="1640">
        <v>0.126</v>
      </c>
      <c r="E165" s="1640">
        <v>0.11899999999999999</v>
      </c>
      <c r="F165" s="1640">
        <v>0.13</v>
      </c>
      <c r="G165" s="1641">
        <v>0.128</v>
      </c>
    </row>
    <row r="166" spans="1:7">
      <c r="A166" s="1650" t="s">
        <v>290</v>
      </c>
      <c r="B166" s="1639" t="s">
        <v>1846</v>
      </c>
      <c r="C166" s="1640">
        <v>0.129</v>
      </c>
      <c r="D166" s="1640">
        <v>0.129</v>
      </c>
      <c r="E166" s="1640">
        <v>0.123</v>
      </c>
      <c r="F166" s="1640">
        <v>0.128</v>
      </c>
      <c r="G166" s="1641">
        <v>0.13</v>
      </c>
    </row>
    <row r="167" spans="1:7">
      <c r="A167" s="1650" t="s">
        <v>290</v>
      </c>
      <c r="B167" s="1639" t="s">
        <v>1850</v>
      </c>
      <c r="C167" s="1640">
        <v>0.125</v>
      </c>
      <c r="D167" s="1640">
        <v>0.125</v>
      </c>
      <c r="E167" s="1640">
        <v>0.11700000000000001</v>
      </c>
      <c r="F167" s="1640">
        <v>0.13</v>
      </c>
      <c r="G167" s="1641">
        <v>0.126</v>
      </c>
    </row>
    <row r="168" spans="1:7">
      <c r="A168" s="1650" t="s">
        <v>290</v>
      </c>
      <c r="B168" s="1639" t="s">
        <v>1854</v>
      </c>
      <c r="C168" s="1640">
        <v>0.128</v>
      </c>
      <c r="D168" s="1640">
        <v>0.128</v>
      </c>
      <c r="E168" s="1640">
        <v>0.123</v>
      </c>
      <c r="F168" s="1651"/>
      <c r="G168" s="1641">
        <v>0.13</v>
      </c>
    </row>
    <row r="169" spans="1:7">
      <c r="A169" s="1650" t="s">
        <v>290</v>
      </c>
      <c r="B169" s="1639" t="s">
        <v>1858</v>
      </c>
      <c r="C169" s="1656"/>
      <c r="D169" s="1656"/>
      <c r="E169" s="1656"/>
      <c r="F169" s="1640">
        <v>0.05</v>
      </c>
      <c r="G169" s="1652"/>
    </row>
    <row r="170" spans="1:7">
      <c r="A170" s="1650" t="s">
        <v>290</v>
      </c>
      <c r="B170" s="1639" t="s">
        <v>1862</v>
      </c>
      <c r="C170" s="1656"/>
      <c r="D170" s="1656"/>
      <c r="E170" s="1656"/>
      <c r="F170" s="1640">
        <v>0.05</v>
      </c>
      <c r="G170" s="1652"/>
    </row>
    <row r="171" spans="1:7">
      <c r="A171" s="1650" t="s">
        <v>290</v>
      </c>
      <c r="B171" s="1639" t="s">
        <v>1865</v>
      </c>
      <c r="C171" s="1656"/>
      <c r="D171" s="1656"/>
      <c r="E171" s="1656"/>
      <c r="F171" s="1640">
        <v>0.05</v>
      </c>
      <c r="G171" s="1657"/>
    </row>
    <row r="172" spans="1:7">
      <c r="A172" s="1650" t="s">
        <v>290</v>
      </c>
      <c r="B172" s="1639" t="s">
        <v>1867</v>
      </c>
      <c r="C172" s="1656"/>
      <c r="D172" s="1656"/>
      <c r="E172" s="1656"/>
      <c r="F172" s="1640">
        <v>0.05</v>
      </c>
      <c r="G172" s="1657"/>
    </row>
    <row r="173" spans="1:7">
      <c r="A173" s="1650" t="s">
        <v>290</v>
      </c>
      <c r="B173" s="1639" t="s">
        <v>1869</v>
      </c>
      <c r="C173" s="1656"/>
      <c r="D173" s="1656"/>
      <c r="E173" s="1656"/>
      <c r="F173" s="1640">
        <v>0.05</v>
      </c>
      <c r="G173" s="1652"/>
    </row>
    <row r="174" spans="1:7">
      <c r="A174" s="1650" t="s">
        <v>290</v>
      </c>
      <c r="B174" s="1639" t="s">
        <v>1871</v>
      </c>
      <c r="C174" s="1656"/>
      <c r="D174" s="1656"/>
      <c r="E174" s="1656"/>
      <c r="F174" s="1640">
        <v>0.05</v>
      </c>
      <c r="G174" s="1652"/>
    </row>
    <row r="175" spans="1:7">
      <c r="A175" s="1650" t="s">
        <v>290</v>
      </c>
      <c r="B175" s="1639" t="s">
        <v>1873</v>
      </c>
      <c r="C175" s="1656"/>
      <c r="D175" s="1656"/>
      <c r="E175" s="1656"/>
      <c r="F175" s="1640">
        <v>0.05</v>
      </c>
      <c r="G175" s="1652"/>
    </row>
    <row r="176" spans="1:7">
      <c r="A176" s="1650" t="s">
        <v>290</v>
      </c>
      <c r="B176" s="1639" t="s">
        <v>1875</v>
      </c>
      <c r="C176" s="1656"/>
      <c r="D176" s="1656"/>
      <c r="E176" s="1656"/>
      <c r="F176" s="1640">
        <v>0.05</v>
      </c>
      <c r="G176" s="1652"/>
    </row>
    <row r="177" spans="1:7">
      <c r="A177" s="1650" t="s">
        <v>290</v>
      </c>
      <c r="B177" s="1639" t="s">
        <v>1877</v>
      </c>
      <c r="C177" s="1651"/>
      <c r="D177" s="1651"/>
      <c r="E177" s="1651"/>
      <c r="F177" s="1640">
        <v>0.05</v>
      </c>
      <c r="G177" s="1657"/>
    </row>
    <row r="178" spans="1:7">
      <c r="A178" s="1650" t="s">
        <v>290</v>
      </c>
      <c r="B178" s="1639" t="s">
        <v>1878</v>
      </c>
      <c r="C178" s="1651"/>
      <c r="D178" s="1651"/>
      <c r="E178" s="1651"/>
      <c r="F178" s="1640">
        <v>0.05</v>
      </c>
      <c r="G178" s="1657"/>
    </row>
    <row r="179" spans="1:7">
      <c r="A179" s="1650" t="s">
        <v>290</v>
      </c>
      <c r="B179" s="1639" t="s">
        <v>1879</v>
      </c>
      <c r="C179" s="1651"/>
      <c r="D179" s="1651"/>
      <c r="E179" s="1651"/>
      <c r="F179" s="1640">
        <v>0.05</v>
      </c>
      <c r="G179" s="1657"/>
    </row>
    <row r="180" spans="1:7">
      <c r="A180" s="1650" t="s">
        <v>290</v>
      </c>
      <c r="B180" s="1639" t="s">
        <v>1880</v>
      </c>
      <c r="C180" s="1651"/>
      <c r="D180" s="1651"/>
      <c r="E180" s="1651"/>
      <c r="F180" s="1640">
        <v>0.05</v>
      </c>
      <c r="G180" s="1657"/>
    </row>
    <row r="181" spans="1:7">
      <c r="A181" s="1650" t="s">
        <v>290</v>
      </c>
      <c r="B181" s="1639" t="s">
        <v>1881</v>
      </c>
      <c r="C181" s="1651"/>
      <c r="D181" s="1651"/>
      <c r="E181" s="1651"/>
      <c r="F181" s="1640">
        <v>0.05</v>
      </c>
      <c r="G181" s="1657"/>
    </row>
    <row r="182" spans="1:7">
      <c r="A182" s="1650" t="s">
        <v>290</v>
      </c>
      <c r="B182" s="1639" t="s">
        <v>1882</v>
      </c>
      <c r="C182" s="1651"/>
      <c r="D182" s="1651"/>
      <c r="E182" s="1651"/>
      <c r="F182" s="1640">
        <v>0.05</v>
      </c>
      <c r="G182" s="1657"/>
    </row>
    <row r="183" spans="1:7">
      <c r="A183" s="1650" t="s">
        <v>290</v>
      </c>
      <c r="B183" s="1639" t="s">
        <v>1883</v>
      </c>
      <c r="C183" s="1651"/>
      <c r="D183" s="1651"/>
      <c r="E183" s="1651"/>
      <c r="F183" s="1640">
        <v>0.05</v>
      </c>
      <c r="G183" s="1657"/>
    </row>
    <row r="184" spans="1:7">
      <c r="A184" s="1650" t="s">
        <v>290</v>
      </c>
      <c r="B184" s="1639" t="s">
        <v>1884</v>
      </c>
      <c r="C184" s="1651"/>
      <c r="D184" s="1651"/>
      <c r="E184" s="1651"/>
      <c r="F184" s="1640">
        <v>0.05</v>
      </c>
      <c r="G184" s="1657"/>
    </row>
    <row r="185" spans="1:7">
      <c r="A185" s="1650" t="s">
        <v>290</v>
      </c>
      <c r="B185" s="1639" t="s">
        <v>1885</v>
      </c>
      <c r="C185" s="1651"/>
      <c r="D185" s="1651"/>
      <c r="E185" s="1651"/>
      <c r="F185" s="1640">
        <v>0.05</v>
      </c>
      <c r="G185" s="1657"/>
    </row>
    <row r="186" spans="1:7">
      <c r="A186" s="1650" t="s">
        <v>290</v>
      </c>
      <c r="B186" s="1639" t="s">
        <v>1886</v>
      </c>
      <c r="C186" s="1651"/>
      <c r="D186" s="1651"/>
      <c r="E186" s="1651"/>
      <c r="F186" s="1640">
        <v>0.05</v>
      </c>
      <c r="G186" s="1657"/>
    </row>
    <row r="187" spans="1:7">
      <c r="A187" s="1650" t="s">
        <v>290</v>
      </c>
      <c r="B187" s="1639" t="s">
        <v>1887</v>
      </c>
      <c r="C187" s="1651"/>
      <c r="D187" s="1651"/>
      <c r="E187" s="1651"/>
      <c r="F187" s="1640">
        <v>0.05</v>
      </c>
      <c r="G187" s="1657"/>
    </row>
    <row r="188" spans="1:7">
      <c r="A188" s="1650" t="s">
        <v>290</v>
      </c>
      <c r="B188" s="1639" t="s">
        <v>1888</v>
      </c>
      <c r="C188" s="1651"/>
      <c r="D188" s="1651"/>
      <c r="E188" s="1651"/>
      <c r="F188" s="1640">
        <v>0.05</v>
      </c>
      <c r="G188" s="1657"/>
    </row>
    <row r="189" spans="1:7">
      <c r="A189" s="1653" t="s">
        <v>290</v>
      </c>
      <c r="B189" s="1643" t="s">
        <v>1889</v>
      </c>
      <c r="C189" s="1645"/>
      <c r="D189" s="1645"/>
      <c r="E189" s="1645"/>
      <c r="F189" s="1644">
        <v>0.05</v>
      </c>
      <c r="G189" s="1658"/>
    </row>
    <row r="190" spans="1:7">
      <c r="A190" s="1649" t="s">
        <v>295</v>
      </c>
      <c r="B190" s="1635" t="s">
        <v>1515</v>
      </c>
      <c r="C190" s="1636">
        <v>0.124</v>
      </c>
      <c r="D190" s="1636">
        <v>0.124</v>
      </c>
      <c r="E190" s="1636">
        <v>0.129</v>
      </c>
      <c r="F190" s="1636">
        <v>0.13</v>
      </c>
      <c r="G190" s="1637">
        <v>0.127</v>
      </c>
    </row>
    <row r="191" spans="1:7">
      <c r="A191" s="1650" t="s">
        <v>295</v>
      </c>
      <c r="B191" s="1639" t="s">
        <v>1528</v>
      </c>
      <c r="C191" s="1640">
        <v>0.13</v>
      </c>
      <c r="D191" s="1640">
        <v>0.13</v>
      </c>
      <c r="E191" s="1640">
        <v>0.13</v>
      </c>
      <c r="F191" s="1640">
        <v>0.13</v>
      </c>
      <c r="G191" s="1641">
        <v>0.13</v>
      </c>
    </row>
    <row r="192" spans="1:7">
      <c r="A192" s="1650" t="s">
        <v>295</v>
      </c>
      <c r="B192" s="1639" t="s">
        <v>1541</v>
      </c>
      <c r="C192" s="1640">
        <v>0.13</v>
      </c>
      <c r="D192" s="1640">
        <v>0.13</v>
      </c>
      <c r="E192" s="1640">
        <v>0.13</v>
      </c>
      <c r="F192" s="1640">
        <v>0.13</v>
      </c>
      <c r="G192" s="1641">
        <v>0.13</v>
      </c>
    </row>
    <row r="193" spans="1:7">
      <c r="A193" s="1650" t="s">
        <v>295</v>
      </c>
      <c r="B193" s="1639" t="s">
        <v>1553</v>
      </c>
      <c r="C193" s="1640">
        <v>0.13</v>
      </c>
      <c r="D193" s="1640">
        <v>0.13</v>
      </c>
      <c r="E193" s="1640">
        <v>0.13</v>
      </c>
      <c r="F193" s="1640">
        <v>0.13</v>
      </c>
      <c r="G193" s="1641">
        <v>0.13</v>
      </c>
    </row>
    <row r="194" spans="1:7">
      <c r="A194" s="1650" t="s">
        <v>295</v>
      </c>
      <c r="B194" s="1639" t="s">
        <v>1565</v>
      </c>
      <c r="C194" s="1640">
        <v>0.123</v>
      </c>
      <c r="D194" s="1640">
        <v>0.123</v>
      </c>
      <c r="E194" s="1640">
        <v>0.128</v>
      </c>
      <c r="F194" s="1640">
        <v>0.13</v>
      </c>
      <c r="G194" s="1641">
        <v>0.126</v>
      </c>
    </row>
    <row r="195" spans="1:7">
      <c r="A195" s="1650" t="s">
        <v>295</v>
      </c>
      <c r="B195" s="1639" t="s">
        <v>1576</v>
      </c>
      <c r="C195" s="1640">
        <v>0.127</v>
      </c>
      <c r="D195" s="1640">
        <v>0.127</v>
      </c>
      <c r="E195" s="1640">
        <v>0.121</v>
      </c>
      <c r="F195" s="1640">
        <v>0.129</v>
      </c>
      <c r="G195" s="1641">
        <v>0.129</v>
      </c>
    </row>
    <row r="196" spans="1:7">
      <c r="A196" s="1650" t="s">
        <v>295</v>
      </c>
      <c r="B196" s="1639" t="s">
        <v>1587</v>
      </c>
      <c r="C196" s="1640">
        <v>0.127</v>
      </c>
      <c r="D196" s="1640">
        <v>0.128</v>
      </c>
      <c r="E196" s="1640">
        <v>0.122</v>
      </c>
      <c r="F196" s="1640">
        <v>0.13</v>
      </c>
      <c r="G196" s="1641">
        <v>0.129</v>
      </c>
    </row>
    <row r="197" spans="1:7">
      <c r="A197" s="1650" t="s">
        <v>295</v>
      </c>
      <c r="B197" s="1639" t="s">
        <v>1598</v>
      </c>
      <c r="C197" s="1640">
        <v>0.126</v>
      </c>
      <c r="D197" s="1640">
        <v>0.126</v>
      </c>
      <c r="E197" s="1640">
        <v>0.11899999999999999</v>
      </c>
      <c r="F197" s="1640">
        <v>0.13</v>
      </c>
      <c r="G197" s="1641">
        <v>0.128</v>
      </c>
    </row>
    <row r="198" spans="1:7">
      <c r="A198" s="1650" t="s">
        <v>295</v>
      </c>
      <c r="B198" s="1639" t="s">
        <v>1608</v>
      </c>
      <c r="C198" s="1640">
        <v>0.13</v>
      </c>
      <c r="D198" s="1640">
        <v>0.13</v>
      </c>
      <c r="E198" s="1640">
        <v>0.126</v>
      </c>
      <c r="F198" s="1656"/>
      <c r="G198" s="1641">
        <v>0.13</v>
      </c>
    </row>
    <row r="199" spans="1:7">
      <c r="A199" s="1650" t="s">
        <v>295</v>
      </c>
      <c r="B199" s="1639" t="s">
        <v>1618</v>
      </c>
      <c r="C199" s="1640">
        <v>0.13</v>
      </c>
      <c r="D199" s="1640">
        <v>0.13</v>
      </c>
      <c r="E199" s="1640">
        <v>0.13</v>
      </c>
      <c r="F199" s="1640">
        <v>0.13</v>
      </c>
      <c r="G199" s="1641">
        <v>0.13</v>
      </c>
    </row>
    <row r="200" spans="1:7">
      <c r="A200" s="1650" t="s">
        <v>295</v>
      </c>
      <c r="B200" s="1639" t="s">
        <v>1628</v>
      </c>
      <c r="C200" s="1656"/>
      <c r="D200" s="1656"/>
      <c r="E200" s="1656"/>
      <c r="F200" s="1640">
        <v>0.13</v>
      </c>
      <c r="G200" s="1652"/>
    </row>
    <row r="201" spans="1:7">
      <c r="A201" s="1650" t="s">
        <v>295</v>
      </c>
      <c r="B201" s="1639" t="s">
        <v>1638</v>
      </c>
      <c r="C201" s="1640">
        <v>0.13</v>
      </c>
      <c r="D201" s="1640">
        <v>0.13</v>
      </c>
      <c r="E201" s="1640">
        <v>0.13</v>
      </c>
      <c r="F201" s="1640">
        <v>0.129</v>
      </c>
      <c r="G201" s="1641">
        <v>0.13</v>
      </c>
    </row>
    <row r="202" spans="1:7">
      <c r="A202" s="1650" t="s">
        <v>295</v>
      </c>
      <c r="B202" s="1639" t="s">
        <v>1648</v>
      </c>
      <c r="C202" s="1640">
        <v>0.13</v>
      </c>
      <c r="D202" s="1640">
        <v>0.13</v>
      </c>
      <c r="E202" s="1640">
        <v>0.13</v>
      </c>
      <c r="F202" s="1640">
        <v>0.13</v>
      </c>
      <c r="G202" s="1641">
        <v>0.13</v>
      </c>
    </row>
    <row r="203" spans="1:7">
      <c r="A203" s="1650" t="s">
        <v>295</v>
      </c>
      <c r="B203" s="1639" t="s">
        <v>1658</v>
      </c>
      <c r="C203" s="1640">
        <v>0.129</v>
      </c>
      <c r="D203" s="1640">
        <v>0.129</v>
      </c>
      <c r="E203" s="1640">
        <v>0.13</v>
      </c>
      <c r="F203" s="1640">
        <v>0.13</v>
      </c>
      <c r="G203" s="1641">
        <v>0.13</v>
      </c>
    </row>
    <row r="204" spans="1:7">
      <c r="A204" s="1650" t="s">
        <v>295</v>
      </c>
      <c r="B204" s="1639" t="s">
        <v>1668</v>
      </c>
      <c r="C204" s="1640">
        <v>0.129</v>
      </c>
      <c r="D204" s="1640">
        <v>0.129</v>
      </c>
      <c r="E204" s="1640">
        <v>0.123</v>
      </c>
      <c r="F204" s="1640">
        <v>0.13</v>
      </c>
      <c r="G204" s="1641">
        <v>0.13</v>
      </c>
    </row>
    <row r="205" spans="1:7">
      <c r="A205" s="1650" t="s">
        <v>295</v>
      </c>
      <c r="B205" s="1639" t="s">
        <v>1678</v>
      </c>
      <c r="C205" s="1640">
        <v>0.13</v>
      </c>
      <c r="D205" s="1640">
        <v>0.13</v>
      </c>
      <c r="E205" s="1640">
        <v>0.13</v>
      </c>
      <c r="F205" s="1640">
        <v>0.13</v>
      </c>
      <c r="G205" s="1641">
        <v>0.13</v>
      </c>
    </row>
    <row r="206" spans="1:7">
      <c r="A206" s="1650" t="s">
        <v>295</v>
      </c>
      <c r="B206" s="1639" t="s">
        <v>1688</v>
      </c>
      <c r="C206" s="1640">
        <v>0.13</v>
      </c>
      <c r="D206" s="1640">
        <v>0.13</v>
      </c>
      <c r="E206" s="1640">
        <v>0.13</v>
      </c>
      <c r="F206" s="1640">
        <v>0.128</v>
      </c>
      <c r="G206" s="1641">
        <v>0.13</v>
      </c>
    </row>
    <row r="207" spans="1:7">
      <c r="A207" s="1650" t="s">
        <v>295</v>
      </c>
      <c r="B207" s="1639" t="s">
        <v>1698</v>
      </c>
      <c r="C207" s="1640">
        <v>0.13</v>
      </c>
      <c r="D207" s="1640">
        <v>0.13</v>
      </c>
      <c r="E207" s="1640">
        <v>0.13</v>
      </c>
      <c r="F207" s="1640">
        <v>0.13</v>
      </c>
      <c r="G207" s="1641">
        <v>0.13</v>
      </c>
    </row>
    <row r="208" spans="1:7">
      <c r="A208" s="1650" t="s">
        <v>295</v>
      </c>
      <c r="B208" s="1639" t="s">
        <v>1708</v>
      </c>
      <c r="C208" s="1640">
        <v>0.13</v>
      </c>
      <c r="D208" s="1640">
        <v>0.13</v>
      </c>
      <c r="E208" s="1640">
        <v>0.13</v>
      </c>
      <c r="F208" s="1640">
        <v>0.13</v>
      </c>
      <c r="G208" s="1641">
        <v>0.13</v>
      </c>
    </row>
    <row r="209" spans="1:7">
      <c r="A209" s="1650" t="s">
        <v>295</v>
      </c>
      <c r="B209" s="1639" t="s">
        <v>1718</v>
      </c>
      <c r="C209" s="1640">
        <v>0.13</v>
      </c>
      <c r="D209" s="1640">
        <v>0.13</v>
      </c>
      <c r="E209" s="1640">
        <v>0.13</v>
      </c>
      <c r="F209" s="1640">
        <v>0.13</v>
      </c>
      <c r="G209" s="1641">
        <v>0.13</v>
      </c>
    </row>
    <row r="210" spans="1:7">
      <c r="A210" s="1650" t="s">
        <v>295</v>
      </c>
      <c r="B210" s="1639" t="s">
        <v>1727</v>
      </c>
      <c r="C210" s="1640">
        <v>0.121</v>
      </c>
      <c r="D210" s="1640">
        <v>0.121</v>
      </c>
      <c r="E210" s="1640">
        <v>0.125</v>
      </c>
      <c r="F210" s="1640">
        <v>0.13</v>
      </c>
      <c r="G210" s="1641">
        <v>0.123</v>
      </c>
    </row>
    <row r="211" spans="1:7">
      <c r="A211" s="1650" t="s">
        <v>295</v>
      </c>
      <c r="B211" s="1639" t="s">
        <v>1735</v>
      </c>
      <c r="C211" s="1640">
        <v>0.123</v>
      </c>
      <c r="D211" s="1640">
        <v>0.123</v>
      </c>
      <c r="E211" s="1640">
        <v>0.127</v>
      </c>
      <c r="F211" s="1640">
        <v>0.115</v>
      </c>
      <c r="G211" s="1641">
        <v>0.126</v>
      </c>
    </row>
    <row r="212" spans="1:7">
      <c r="A212" s="1650" t="s">
        <v>295</v>
      </c>
      <c r="B212" s="1639" t="s">
        <v>1743</v>
      </c>
      <c r="C212" s="1640">
        <v>0.126</v>
      </c>
      <c r="D212" s="1640">
        <v>0.126</v>
      </c>
      <c r="E212" s="1640">
        <v>0.13</v>
      </c>
      <c r="F212" s="1640">
        <v>0.13</v>
      </c>
      <c r="G212" s="1641">
        <v>0.129</v>
      </c>
    </row>
    <row r="213" spans="1:7">
      <c r="A213" s="1650" t="s">
        <v>295</v>
      </c>
      <c r="B213" s="1639" t="s">
        <v>1751</v>
      </c>
      <c r="C213" s="1640">
        <v>0.129</v>
      </c>
      <c r="D213" s="1640">
        <v>0.13</v>
      </c>
      <c r="E213" s="1640">
        <v>0.127</v>
      </c>
      <c r="F213" s="1640">
        <v>0.13</v>
      </c>
      <c r="G213" s="1641">
        <v>0.13</v>
      </c>
    </row>
    <row r="214" spans="1:7">
      <c r="A214" s="1650" t="s">
        <v>295</v>
      </c>
      <c r="B214" s="1639" t="s">
        <v>1759</v>
      </c>
      <c r="C214" s="1640">
        <v>0.128</v>
      </c>
      <c r="D214" s="1640">
        <v>0.128</v>
      </c>
      <c r="E214" s="1640">
        <v>0.13</v>
      </c>
      <c r="F214" s="1640">
        <v>0.13</v>
      </c>
      <c r="G214" s="1641">
        <v>0.13</v>
      </c>
    </row>
    <row r="215" spans="1:7">
      <c r="A215" s="1650" t="s">
        <v>295</v>
      </c>
      <c r="B215" s="1639" t="s">
        <v>1765</v>
      </c>
      <c r="C215" s="1640">
        <v>0.13</v>
      </c>
      <c r="D215" s="1640">
        <v>0.13</v>
      </c>
      <c r="E215" s="1640">
        <v>0.13</v>
      </c>
      <c r="F215" s="1640">
        <v>0.129</v>
      </c>
      <c r="G215" s="1641">
        <v>0.13</v>
      </c>
    </row>
    <row r="216" spans="1:7">
      <c r="A216" s="1650" t="s">
        <v>295</v>
      </c>
      <c r="B216" s="1639" t="s">
        <v>1772</v>
      </c>
      <c r="C216" s="1640">
        <v>0.13</v>
      </c>
      <c r="D216" s="1640">
        <v>0.13</v>
      </c>
      <c r="E216" s="1640">
        <v>0.13</v>
      </c>
      <c r="F216" s="1640">
        <v>0.13</v>
      </c>
      <c r="G216" s="1641">
        <v>0.13</v>
      </c>
    </row>
    <row r="217" spans="1:7">
      <c r="A217" s="1650" t="s">
        <v>295</v>
      </c>
      <c r="B217" s="1639" t="s">
        <v>1779</v>
      </c>
      <c r="C217" s="1640">
        <v>0.129</v>
      </c>
      <c r="D217" s="1640">
        <v>0.129</v>
      </c>
      <c r="E217" s="1640">
        <v>0.13</v>
      </c>
      <c r="F217" s="1640">
        <v>0.13</v>
      </c>
      <c r="G217" s="1641">
        <v>0.13</v>
      </c>
    </row>
    <row r="218" spans="1:7">
      <c r="A218" s="1650" t="s">
        <v>295</v>
      </c>
      <c r="B218" s="1639" t="s">
        <v>1786</v>
      </c>
      <c r="C218" s="1651"/>
      <c r="D218" s="1651"/>
      <c r="E218" s="1651"/>
      <c r="F218" s="1640">
        <v>0.05</v>
      </c>
      <c r="G218" s="1657"/>
    </row>
    <row r="219" spans="1:7">
      <c r="A219" s="1650" t="s">
        <v>295</v>
      </c>
      <c r="B219" s="1639" t="s">
        <v>1793</v>
      </c>
      <c r="C219" s="1651"/>
      <c r="D219" s="1651"/>
      <c r="E219" s="1651"/>
      <c r="F219" s="1640">
        <v>0.05</v>
      </c>
      <c r="G219" s="1657"/>
    </row>
    <row r="220" spans="1:7">
      <c r="A220" s="1650" t="s">
        <v>295</v>
      </c>
      <c r="B220" s="1639" t="s">
        <v>1800</v>
      </c>
      <c r="C220" s="1651"/>
      <c r="D220" s="1651"/>
      <c r="E220" s="1651"/>
      <c r="F220" s="1640">
        <v>0.05</v>
      </c>
      <c r="G220" s="1657"/>
    </row>
    <row r="221" spans="1:7">
      <c r="A221" s="1650" t="s">
        <v>295</v>
      </c>
      <c r="B221" s="1639" t="s">
        <v>1807</v>
      </c>
      <c r="C221" s="1651"/>
      <c r="D221" s="1651"/>
      <c r="E221" s="1651"/>
      <c r="F221" s="1640">
        <v>0.05</v>
      </c>
      <c r="G221" s="1657"/>
    </row>
    <row r="222" spans="1:7">
      <c r="A222" s="1650" t="s">
        <v>295</v>
      </c>
      <c r="B222" s="1639" t="s">
        <v>1812</v>
      </c>
      <c r="C222" s="1651"/>
      <c r="D222" s="1651"/>
      <c r="E222" s="1651"/>
      <c r="F222" s="1640">
        <v>0.05</v>
      </c>
      <c r="G222" s="1657"/>
    </row>
    <row r="223" spans="1:7">
      <c r="A223" s="1650" t="s">
        <v>295</v>
      </c>
      <c r="B223" s="1639" t="s">
        <v>1817</v>
      </c>
      <c r="C223" s="1651"/>
      <c r="D223" s="1651"/>
      <c r="E223" s="1651"/>
      <c r="F223" s="1640">
        <v>0.05</v>
      </c>
      <c r="G223" s="1657"/>
    </row>
    <row r="224" spans="1:7">
      <c r="A224" s="1650" t="s">
        <v>295</v>
      </c>
      <c r="B224" s="1639" t="s">
        <v>1822</v>
      </c>
      <c r="C224" s="1651"/>
      <c r="D224" s="1651"/>
      <c r="E224" s="1651"/>
      <c r="F224" s="1640">
        <v>0.05</v>
      </c>
      <c r="G224" s="1657"/>
    </row>
    <row r="225" spans="1:7">
      <c r="A225" s="1650" t="s">
        <v>295</v>
      </c>
      <c r="B225" s="1639" t="s">
        <v>1827</v>
      </c>
      <c r="C225" s="1651"/>
      <c r="D225" s="1651"/>
      <c r="E225" s="1651"/>
      <c r="F225" s="1640">
        <v>0.05</v>
      </c>
      <c r="G225" s="1657"/>
    </row>
    <row r="226" spans="1:7">
      <c r="A226" s="1650" t="s">
        <v>295</v>
      </c>
      <c r="B226" s="1639" t="s">
        <v>1832</v>
      </c>
      <c r="C226" s="1651"/>
      <c r="D226" s="1651"/>
      <c r="E226" s="1651"/>
      <c r="F226" s="1640">
        <v>0.05</v>
      </c>
      <c r="G226" s="1657"/>
    </row>
    <row r="227" spans="1:7">
      <c r="A227" s="1650" t="s">
        <v>295</v>
      </c>
      <c r="B227" s="1639" t="s">
        <v>1837</v>
      </c>
      <c r="C227" s="1651"/>
      <c r="D227" s="1651"/>
      <c r="E227" s="1651"/>
      <c r="F227" s="1640">
        <v>0.05</v>
      </c>
      <c r="G227" s="1657"/>
    </row>
    <row r="228" spans="1:7">
      <c r="A228" s="1650" t="s">
        <v>295</v>
      </c>
      <c r="B228" s="1639" t="s">
        <v>1842</v>
      </c>
      <c r="C228" s="1651"/>
      <c r="D228" s="1651"/>
      <c r="E228" s="1651"/>
      <c r="F228" s="1640">
        <v>0.05</v>
      </c>
      <c r="G228" s="1657"/>
    </row>
    <row r="229" spans="1:7">
      <c r="A229" s="1650" t="s">
        <v>295</v>
      </c>
      <c r="B229" s="1639" t="s">
        <v>1847</v>
      </c>
      <c r="C229" s="1651"/>
      <c r="D229" s="1651"/>
      <c r="E229" s="1651"/>
      <c r="F229" s="1640">
        <v>0.05</v>
      </c>
      <c r="G229" s="1657"/>
    </row>
    <row r="230" spans="1:7">
      <c r="A230" s="1650" t="s">
        <v>295</v>
      </c>
      <c r="B230" s="1639" t="s">
        <v>1851</v>
      </c>
      <c r="C230" s="1651"/>
      <c r="D230" s="1651"/>
      <c r="E230" s="1651"/>
      <c r="F230" s="1640">
        <v>0.05</v>
      </c>
      <c r="G230" s="1657"/>
    </row>
    <row r="231" spans="1:7">
      <c r="A231" s="1650" t="s">
        <v>295</v>
      </c>
      <c r="B231" s="1639" t="s">
        <v>1855</v>
      </c>
      <c r="C231" s="1651"/>
      <c r="D231" s="1651"/>
      <c r="E231" s="1651"/>
      <c r="F231" s="1640">
        <v>0.05</v>
      </c>
      <c r="G231" s="1657"/>
    </row>
    <row r="232" spans="1:7">
      <c r="A232" s="1650" t="s">
        <v>295</v>
      </c>
      <c r="B232" s="1639" t="s">
        <v>1859</v>
      </c>
      <c r="C232" s="1651"/>
      <c r="D232" s="1651"/>
      <c r="E232" s="1651"/>
      <c r="F232" s="1640">
        <v>0.05</v>
      </c>
      <c r="G232" s="1657"/>
    </row>
    <row r="233" spans="1:7">
      <c r="A233" s="1653" t="s">
        <v>295</v>
      </c>
      <c r="B233" s="1643" t="s">
        <v>1863</v>
      </c>
      <c r="C233" s="1645"/>
      <c r="D233" s="1645"/>
      <c r="E233" s="1645"/>
      <c r="F233" s="1644">
        <v>0.05</v>
      </c>
      <c r="G233" s="1658"/>
    </row>
    <row r="234" spans="1:7">
      <c r="A234" s="1649" t="s">
        <v>301</v>
      </c>
      <c r="B234" s="1635" t="s">
        <v>1516</v>
      </c>
      <c r="C234" s="1636">
        <v>0.13</v>
      </c>
      <c r="D234" s="1636">
        <v>0.128</v>
      </c>
      <c r="E234" s="1636">
        <v>0.14199999999999999</v>
      </c>
      <c r="F234" s="1636">
        <v>0.14699999999999999</v>
      </c>
      <c r="G234" s="1637">
        <v>0.14000000000000001</v>
      </c>
    </row>
    <row r="235" spans="1:7">
      <c r="A235" s="1650" t="s">
        <v>301</v>
      </c>
      <c r="B235" s="1639" t="s">
        <v>1529</v>
      </c>
      <c r="C235" s="1640">
        <v>0.13600000000000001</v>
      </c>
      <c r="D235" s="1640">
        <v>0.13800000000000001</v>
      </c>
      <c r="E235" s="1640">
        <v>0.14499999999999999</v>
      </c>
      <c r="F235" s="1640">
        <v>0.14299999999999999</v>
      </c>
      <c r="G235" s="1641">
        <v>0.14099999999999999</v>
      </c>
    </row>
    <row r="236" spans="1:7">
      <c r="A236" s="1650" t="s">
        <v>301</v>
      </c>
      <c r="B236" s="1639" t="s">
        <v>1542</v>
      </c>
      <c r="C236" s="1640">
        <v>0.15</v>
      </c>
      <c r="D236" s="1640">
        <v>0.15</v>
      </c>
      <c r="E236" s="1640">
        <v>0.15</v>
      </c>
      <c r="F236" s="1640">
        <v>0.15</v>
      </c>
      <c r="G236" s="1641">
        <v>0.15</v>
      </c>
    </row>
    <row r="237" spans="1:7">
      <c r="A237" s="1650" t="s">
        <v>301</v>
      </c>
      <c r="B237" s="1639" t="s">
        <v>1554</v>
      </c>
      <c r="C237" s="1640">
        <v>0.15</v>
      </c>
      <c r="D237" s="1640">
        <v>0.15</v>
      </c>
      <c r="E237" s="1640">
        <v>0.15</v>
      </c>
      <c r="F237" s="1640">
        <v>0.15</v>
      </c>
      <c r="G237" s="1641">
        <v>0.15</v>
      </c>
    </row>
    <row r="238" spans="1:7">
      <c r="A238" s="1650" t="s">
        <v>301</v>
      </c>
      <c r="B238" s="1639" t="s">
        <v>1566</v>
      </c>
      <c r="C238" s="1640">
        <v>0.14899999999999999</v>
      </c>
      <c r="D238" s="1640">
        <v>0.14899999999999999</v>
      </c>
      <c r="E238" s="1640">
        <v>0.15</v>
      </c>
      <c r="F238" s="1640">
        <v>0.15</v>
      </c>
      <c r="G238" s="1641">
        <v>0.15</v>
      </c>
    </row>
    <row r="239" spans="1:7">
      <c r="A239" s="1650" t="s">
        <v>301</v>
      </c>
      <c r="B239" s="1639" t="s">
        <v>1577</v>
      </c>
      <c r="C239" s="1640">
        <v>0.15</v>
      </c>
      <c r="D239" s="1640">
        <v>0.15</v>
      </c>
      <c r="E239" s="1640">
        <v>0.15</v>
      </c>
      <c r="F239" s="1640">
        <v>0.15</v>
      </c>
      <c r="G239" s="1641">
        <v>0.15</v>
      </c>
    </row>
    <row r="240" spans="1:7">
      <c r="A240" s="1650" t="s">
        <v>301</v>
      </c>
      <c r="B240" s="1639" t="s">
        <v>1588</v>
      </c>
      <c r="C240" s="1640">
        <v>0.15</v>
      </c>
      <c r="D240" s="1640">
        <v>0.15</v>
      </c>
      <c r="E240" s="1640">
        <v>0.15</v>
      </c>
      <c r="F240" s="1640">
        <v>0.15</v>
      </c>
      <c r="G240" s="1641">
        <v>0.15</v>
      </c>
    </row>
    <row r="241" spans="1:7">
      <c r="A241" s="1650" t="s">
        <v>301</v>
      </c>
      <c r="B241" s="1639" t="s">
        <v>1599</v>
      </c>
      <c r="C241" s="1640">
        <v>0.14099999999999999</v>
      </c>
      <c r="D241" s="1640">
        <v>0.14199999999999999</v>
      </c>
      <c r="E241" s="1640">
        <v>0.14899999999999999</v>
      </c>
      <c r="F241" s="1640">
        <v>0.15</v>
      </c>
      <c r="G241" s="1641">
        <v>0.14399999999999999</v>
      </c>
    </row>
    <row r="242" spans="1:7">
      <c r="A242" s="1650" t="s">
        <v>301</v>
      </c>
      <c r="B242" s="1639" t="s">
        <v>1609</v>
      </c>
      <c r="C242" s="1640">
        <v>0.14099999999999999</v>
      </c>
      <c r="D242" s="1640">
        <v>0.14199999999999999</v>
      </c>
      <c r="E242" s="1640">
        <v>0.14799999999999999</v>
      </c>
      <c r="F242" s="1640">
        <v>0.127</v>
      </c>
      <c r="G242" s="1641">
        <v>0.14399999999999999</v>
      </c>
    </row>
    <row r="243" spans="1:7">
      <c r="A243" s="1650" t="s">
        <v>301</v>
      </c>
      <c r="B243" s="1639" t="s">
        <v>1619</v>
      </c>
      <c r="C243" s="1640">
        <v>0.14699999999999999</v>
      </c>
      <c r="D243" s="1640">
        <v>0.14699999999999999</v>
      </c>
      <c r="E243" s="1640">
        <v>0.15</v>
      </c>
      <c r="F243" s="1640">
        <v>0.15</v>
      </c>
      <c r="G243" s="1641">
        <v>0.14899999999999999</v>
      </c>
    </row>
    <row r="244" spans="1:7">
      <c r="A244" s="1650" t="s">
        <v>301</v>
      </c>
      <c r="B244" s="1639" t="s">
        <v>1629</v>
      </c>
      <c r="C244" s="1640">
        <v>0.15</v>
      </c>
      <c r="D244" s="1640">
        <v>0.15</v>
      </c>
      <c r="E244" s="1640">
        <v>0.15</v>
      </c>
      <c r="F244" s="1640">
        <v>0.15</v>
      </c>
      <c r="G244" s="1641">
        <v>0.15</v>
      </c>
    </row>
    <row r="245" spans="1:7">
      <c r="A245" s="1650" t="s">
        <v>301</v>
      </c>
      <c r="B245" s="1639" t="s">
        <v>1639</v>
      </c>
      <c r="C245" s="1640">
        <v>0.14199999999999999</v>
      </c>
      <c r="D245" s="1640">
        <v>0.14199999999999999</v>
      </c>
      <c r="E245" s="1640">
        <v>0.15</v>
      </c>
      <c r="F245" s="1640">
        <v>0.15</v>
      </c>
      <c r="G245" s="1641">
        <v>0.14499999999999999</v>
      </c>
    </row>
    <row r="246" spans="1:7">
      <c r="A246" s="1650" t="s">
        <v>301</v>
      </c>
      <c r="B246" s="1639" t="s">
        <v>1649</v>
      </c>
      <c r="C246" s="1640">
        <v>0.14199999999999999</v>
      </c>
      <c r="D246" s="1640">
        <v>0.14299999999999999</v>
      </c>
      <c r="E246" s="1640">
        <v>0.15</v>
      </c>
      <c r="F246" s="1640">
        <v>0.14199999999999999</v>
      </c>
      <c r="G246" s="1641">
        <v>0.14399999999999999</v>
      </c>
    </row>
    <row r="247" spans="1:7">
      <c r="A247" s="1650" t="s">
        <v>301</v>
      </c>
      <c r="B247" s="1639" t="s">
        <v>1659</v>
      </c>
      <c r="C247" s="1640">
        <v>0.14899999999999999</v>
      </c>
      <c r="D247" s="1640">
        <v>0.14899999999999999</v>
      </c>
      <c r="E247" s="1640">
        <v>0.15</v>
      </c>
      <c r="F247" s="1640">
        <v>0.15</v>
      </c>
      <c r="G247" s="1641">
        <v>0.15</v>
      </c>
    </row>
    <row r="248" spans="1:7">
      <c r="A248" s="1650" t="s">
        <v>301</v>
      </c>
      <c r="B248" s="1639" t="s">
        <v>1669</v>
      </c>
      <c r="C248" s="1640">
        <v>0.14399999999999999</v>
      </c>
      <c r="D248" s="1640">
        <v>0.14399999999999999</v>
      </c>
      <c r="E248" s="1640">
        <v>0.14899999999999999</v>
      </c>
      <c r="F248" s="1640">
        <v>0.14799999999999999</v>
      </c>
      <c r="G248" s="1641">
        <v>0.14599999999999999</v>
      </c>
    </row>
    <row r="249" spans="1:7">
      <c r="A249" s="1650" t="s">
        <v>301</v>
      </c>
      <c r="B249" s="1639" t="s">
        <v>1679</v>
      </c>
      <c r="C249" s="1640">
        <v>0.14000000000000001</v>
      </c>
      <c r="D249" s="1640">
        <v>0.14000000000000001</v>
      </c>
      <c r="E249" s="1640">
        <v>0.14699999999999999</v>
      </c>
      <c r="F249" s="1640">
        <v>0.14899999999999999</v>
      </c>
      <c r="G249" s="1641">
        <v>0.14199999999999999</v>
      </c>
    </row>
    <row r="250" spans="1:7">
      <c r="A250" s="1650" t="s">
        <v>301</v>
      </c>
      <c r="B250" s="1639" t="s">
        <v>1689</v>
      </c>
      <c r="C250" s="1640">
        <v>0.14399999999999999</v>
      </c>
      <c r="D250" s="1640">
        <v>0.14299999999999999</v>
      </c>
      <c r="E250" s="1640">
        <v>0.14899999999999999</v>
      </c>
      <c r="F250" s="1640">
        <v>0.15</v>
      </c>
      <c r="G250" s="1641">
        <v>0.14599999999999999</v>
      </c>
    </row>
    <row r="251" spans="1:7">
      <c r="A251" s="1650" t="s">
        <v>301</v>
      </c>
      <c r="B251" s="1639" t="s">
        <v>1699</v>
      </c>
      <c r="C251" s="1656"/>
      <c r="D251" s="1651"/>
      <c r="E251" s="1651"/>
      <c r="F251" s="1640">
        <v>0.1</v>
      </c>
      <c r="G251" s="1657"/>
    </row>
    <row r="252" spans="1:7">
      <c r="A252" s="1650" t="s">
        <v>301</v>
      </c>
      <c r="B252" s="1639" t="s">
        <v>1709</v>
      </c>
      <c r="C252" s="1640">
        <v>0.14399999999999999</v>
      </c>
      <c r="D252" s="1640">
        <v>0.14399999999999999</v>
      </c>
      <c r="E252" s="1640">
        <v>0.15</v>
      </c>
      <c r="F252" s="1640">
        <v>0.14899999999999999</v>
      </c>
      <c r="G252" s="1641">
        <v>0.14599999999999999</v>
      </c>
    </row>
    <row r="253" spans="1:7">
      <c r="A253" s="1650" t="s">
        <v>301</v>
      </c>
      <c r="B253" s="1639" t="s">
        <v>1719</v>
      </c>
      <c r="C253" s="1640">
        <v>0.14199999999999999</v>
      </c>
      <c r="D253" s="1640">
        <v>0.14199999999999999</v>
      </c>
      <c r="E253" s="1640">
        <v>0.14599999999999999</v>
      </c>
      <c r="F253" s="1640">
        <v>0.14799999999999999</v>
      </c>
      <c r="G253" s="1641">
        <v>0.14499999999999999</v>
      </c>
    </row>
    <row r="254" spans="1:7">
      <c r="A254" s="1650" t="s">
        <v>301</v>
      </c>
      <c r="B254" s="1639" t="s">
        <v>1728</v>
      </c>
      <c r="C254" s="1640">
        <v>0.15</v>
      </c>
      <c r="D254" s="1640">
        <v>0.15</v>
      </c>
      <c r="E254" s="1640">
        <v>0.15</v>
      </c>
      <c r="F254" s="1640">
        <v>0.15</v>
      </c>
      <c r="G254" s="1641">
        <v>0.15</v>
      </c>
    </row>
    <row r="255" spans="1:7">
      <c r="A255" s="1650" t="s">
        <v>301</v>
      </c>
      <c r="B255" s="1639" t="s">
        <v>1736</v>
      </c>
      <c r="C255" s="1640">
        <v>0.14299999999999999</v>
      </c>
      <c r="D255" s="1640">
        <v>0.14299999999999999</v>
      </c>
      <c r="E255" s="1640">
        <v>0.15</v>
      </c>
      <c r="F255" s="1640">
        <v>0.15</v>
      </c>
      <c r="G255" s="1641">
        <v>0.14499999999999999</v>
      </c>
    </row>
    <row r="256" spans="1:7">
      <c r="A256" s="1650" t="s">
        <v>301</v>
      </c>
      <c r="B256" s="1639" t="s">
        <v>1744</v>
      </c>
      <c r="C256" s="1640">
        <v>0.15</v>
      </c>
      <c r="D256" s="1640">
        <v>0.15</v>
      </c>
      <c r="E256" s="1640">
        <v>0.15</v>
      </c>
      <c r="F256" s="1640">
        <v>0.14599999999999999</v>
      </c>
      <c r="G256" s="1641">
        <v>0.15</v>
      </c>
    </row>
    <row r="257" spans="1:7">
      <c r="A257" s="1650" t="s">
        <v>301</v>
      </c>
      <c r="B257" s="1639" t="s">
        <v>1752</v>
      </c>
      <c r="C257" s="1640">
        <v>0.14199999999999999</v>
      </c>
      <c r="D257" s="1640">
        <v>0.14299999999999999</v>
      </c>
      <c r="E257" s="1640">
        <v>0.14799999999999999</v>
      </c>
      <c r="F257" s="1640">
        <v>0.15</v>
      </c>
      <c r="G257" s="1641">
        <v>0.14499999999999999</v>
      </c>
    </row>
    <row r="258" spans="1:7">
      <c r="A258" s="1650" t="s">
        <v>301</v>
      </c>
      <c r="B258" s="1639" t="s">
        <v>1760</v>
      </c>
      <c r="C258" s="1640">
        <v>0.14299999999999999</v>
      </c>
      <c r="D258" s="1640">
        <v>0.14299999999999999</v>
      </c>
      <c r="E258" s="1640">
        <v>0.15</v>
      </c>
      <c r="F258" s="1640">
        <v>0.14799999999999999</v>
      </c>
      <c r="G258" s="1641">
        <v>0.14599999999999999</v>
      </c>
    </row>
    <row r="259" spans="1:7">
      <c r="A259" s="1650" t="s">
        <v>301</v>
      </c>
      <c r="B259" s="1639" t="s">
        <v>1766</v>
      </c>
      <c r="C259" s="1640">
        <v>0.14399999999999999</v>
      </c>
      <c r="D259" s="1640">
        <v>0.14399999999999999</v>
      </c>
      <c r="E259" s="1640">
        <v>0.14899999999999999</v>
      </c>
      <c r="F259" s="1640">
        <v>0.14699999999999999</v>
      </c>
      <c r="G259" s="1641">
        <v>0.14599999999999999</v>
      </c>
    </row>
    <row r="260" spans="1:7">
      <c r="A260" s="1650" t="s">
        <v>301</v>
      </c>
      <c r="B260" s="1639" t="s">
        <v>1773</v>
      </c>
      <c r="C260" s="1640">
        <v>0.109</v>
      </c>
      <c r="D260" s="1640">
        <v>0.111</v>
      </c>
      <c r="E260" s="1640">
        <v>0.13100000000000001</v>
      </c>
      <c r="F260" s="1640">
        <v>0.126</v>
      </c>
      <c r="G260" s="1641">
        <v>0.11899999999999999</v>
      </c>
    </row>
    <row r="261" spans="1:7">
      <c r="A261" s="1650" t="s">
        <v>301</v>
      </c>
      <c r="B261" s="1639" t="s">
        <v>1780</v>
      </c>
      <c r="C261" s="1640">
        <v>0.1</v>
      </c>
      <c r="D261" s="1640">
        <v>0.1</v>
      </c>
      <c r="E261" s="1640">
        <v>0.11799999999999999</v>
      </c>
      <c r="F261" s="1640">
        <v>0.108</v>
      </c>
      <c r="G261" s="1641">
        <v>0.107</v>
      </c>
    </row>
    <row r="262" spans="1:7">
      <c r="A262" s="1650" t="s">
        <v>301</v>
      </c>
      <c r="B262" s="1639" t="s">
        <v>1787</v>
      </c>
      <c r="C262" s="1640">
        <v>0.1</v>
      </c>
      <c r="D262" s="1640">
        <v>0.1</v>
      </c>
      <c r="E262" s="1640">
        <v>0.1</v>
      </c>
      <c r="F262" s="1640">
        <v>0.14099999999999999</v>
      </c>
      <c r="G262" s="1641">
        <v>0.1</v>
      </c>
    </row>
    <row r="263" spans="1:7">
      <c r="A263" s="1650" t="s">
        <v>301</v>
      </c>
      <c r="B263" s="1639" t="s">
        <v>1794</v>
      </c>
      <c r="C263" s="1640">
        <v>0.14799999999999999</v>
      </c>
      <c r="D263" s="1640">
        <v>0.14799999999999999</v>
      </c>
      <c r="E263" s="1640">
        <v>0.15</v>
      </c>
      <c r="F263" s="1640">
        <v>0.14699999999999999</v>
      </c>
      <c r="G263" s="1641">
        <v>0.15</v>
      </c>
    </row>
    <row r="264" spans="1:7">
      <c r="A264" s="1650" t="s">
        <v>301</v>
      </c>
      <c r="B264" s="1639" t="s">
        <v>1801</v>
      </c>
      <c r="C264" s="1640">
        <v>0.14299999999999999</v>
      </c>
      <c r="D264" s="1640">
        <v>0.14299999999999999</v>
      </c>
      <c r="E264" s="1640">
        <v>0.15</v>
      </c>
      <c r="F264" s="1640">
        <v>0.14899999999999999</v>
      </c>
      <c r="G264" s="1641">
        <v>0.14599999999999999</v>
      </c>
    </row>
    <row r="265" spans="1:7">
      <c r="A265" s="1650" t="s">
        <v>301</v>
      </c>
      <c r="B265" s="1639" t="s">
        <v>1808</v>
      </c>
      <c r="C265" s="1651"/>
      <c r="D265" s="1651"/>
      <c r="E265" s="1651"/>
      <c r="F265" s="1640">
        <v>0.05</v>
      </c>
      <c r="G265" s="1657"/>
    </row>
    <row r="266" spans="1:7">
      <c r="A266" s="1650" t="s">
        <v>301</v>
      </c>
      <c r="B266" s="1639" t="s">
        <v>1813</v>
      </c>
      <c r="C266" s="1651"/>
      <c r="D266" s="1651"/>
      <c r="E266" s="1651"/>
      <c r="F266" s="1640">
        <v>0.05</v>
      </c>
      <c r="G266" s="1657"/>
    </row>
    <row r="267" spans="1:7">
      <c r="A267" s="1650" t="s">
        <v>301</v>
      </c>
      <c r="B267" s="1639" t="s">
        <v>1818</v>
      </c>
      <c r="C267" s="1651"/>
      <c r="D267" s="1651"/>
      <c r="E267" s="1651"/>
      <c r="F267" s="1640">
        <v>0.05</v>
      </c>
      <c r="G267" s="1657"/>
    </row>
    <row r="268" spans="1:7">
      <c r="A268" s="1650" t="s">
        <v>301</v>
      </c>
      <c r="B268" s="1639" t="s">
        <v>1823</v>
      </c>
      <c r="C268" s="1651"/>
      <c r="D268" s="1651"/>
      <c r="E268" s="1651"/>
      <c r="F268" s="1640">
        <v>0.05</v>
      </c>
      <c r="G268" s="1657"/>
    </row>
    <row r="269" spans="1:7">
      <c r="A269" s="1650" t="s">
        <v>301</v>
      </c>
      <c r="B269" s="1639" t="s">
        <v>1828</v>
      </c>
      <c r="C269" s="1651"/>
      <c r="D269" s="1651"/>
      <c r="E269" s="1651"/>
      <c r="F269" s="1640">
        <v>0.05</v>
      </c>
      <c r="G269" s="1657"/>
    </row>
    <row r="270" spans="1:7">
      <c r="A270" s="1650" t="s">
        <v>301</v>
      </c>
      <c r="B270" s="1639" t="s">
        <v>1833</v>
      </c>
      <c r="C270" s="1651"/>
      <c r="D270" s="1651"/>
      <c r="E270" s="1651"/>
      <c r="F270" s="1640">
        <v>0.05</v>
      </c>
      <c r="G270" s="1657"/>
    </row>
    <row r="271" spans="1:7">
      <c r="A271" s="1650" t="s">
        <v>301</v>
      </c>
      <c r="B271" s="1639" t="s">
        <v>1838</v>
      </c>
      <c r="C271" s="1651"/>
      <c r="D271" s="1651"/>
      <c r="E271" s="1651"/>
      <c r="F271" s="1640">
        <v>0.05</v>
      </c>
      <c r="G271" s="1657"/>
    </row>
    <row r="272" spans="1:7">
      <c r="A272" s="1650" t="s">
        <v>301</v>
      </c>
      <c r="B272" s="1639" t="s">
        <v>1843</v>
      </c>
      <c r="C272" s="1651"/>
      <c r="D272" s="1651"/>
      <c r="E272" s="1651"/>
      <c r="F272" s="1640">
        <v>0.05</v>
      </c>
      <c r="G272" s="1657"/>
    </row>
    <row r="273" spans="1:7">
      <c r="A273" s="1650" t="s">
        <v>301</v>
      </c>
      <c r="B273" s="1639" t="s">
        <v>1848</v>
      </c>
      <c r="C273" s="1651"/>
      <c r="D273" s="1651"/>
      <c r="E273" s="1651"/>
      <c r="F273" s="1640">
        <v>0.05</v>
      </c>
      <c r="G273" s="1657"/>
    </row>
    <row r="274" spans="1:7">
      <c r="A274" s="1650" t="s">
        <v>301</v>
      </c>
      <c r="B274" s="1639" t="s">
        <v>1852</v>
      </c>
      <c r="C274" s="1651"/>
      <c r="D274" s="1651"/>
      <c r="E274" s="1651"/>
      <c r="F274" s="1640">
        <v>0.05</v>
      </c>
      <c r="G274" s="1657"/>
    </row>
    <row r="275" spans="1:7">
      <c r="A275" s="1650" t="s">
        <v>301</v>
      </c>
      <c r="B275" s="1639" t="s">
        <v>1856</v>
      </c>
      <c r="C275" s="1651"/>
      <c r="D275" s="1651"/>
      <c r="E275" s="1651"/>
      <c r="F275" s="1640">
        <v>0.05</v>
      </c>
      <c r="G275" s="1657"/>
    </row>
    <row r="276" spans="1:7">
      <c r="A276" s="1653" t="s">
        <v>301</v>
      </c>
      <c r="B276" s="1643" t="s">
        <v>1860</v>
      </c>
      <c r="C276" s="1645"/>
      <c r="D276" s="1645"/>
      <c r="E276" s="1645"/>
      <c r="F276" s="1644">
        <v>0.05</v>
      </c>
      <c r="G276" s="1658"/>
    </row>
    <row r="277" spans="1:7">
      <c r="A277" s="1649" t="s">
        <v>305</v>
      </c>
      <c r="B277" s="1635" t="s">
        <v>1517</v>
      </c>
      <c r="C277" s="1636">
        <v>0.15</v>
      </c>
      <c r="D277" s="1636">
        <v>0.15</v>
      </c>
      <c r="E277" s="1636">
        <v>0.15</v>
      </c>
      <c r="F277" s="1636">
        <v>0.15</v>
      </c>
      <c r="G277" s="1637">
        <v>0.15</v>
      </c>
    </row>
    <row r="278" spans="1:7">
      <c r="A278" s="1650" t="s">
        <v>305</v>
      </c>
      <c r="B278" s="1639" t="s">
        <v>1530</v>
      </c>
      <c r="C278" s="1640">
        <v>0.15</v>
      </c>
      <c r="D278" s="1640">
        <v>0.15</v>
      </c>
      <c r="E278" s="1640">
        <v>0.15</v>
      </c>
      <c r="F278" s="1640">
        <v>0.15</v>
      </c>
      <c r="G278" s="1641">
        <v>0.15</v>
      </c>
    </row>
    <row r="279" spans="1:7">
      <c r="A279" s="1650" t="s">
        <v>305</v>
      </c>
      <c r="B279" s="1639" t="s">
        <v>1543</v>
      </c>
      <c r="C279" s="1640">
        <v>0.15</v>
      </c>
      <c r="D279" s="1640">
        <v>0.15</v>
      </c>
      <c r="E279" s="1640">
        <v>0.15</v>
      </c>
      <c r="F279" s="1640">
        <v>0.15</v>
      </c>
      <c r="G279" s="1641">
        <v>0.15</v>
      </c>
    </row>
    <row r="280" spans="1:7">
      <c r="A280" s="1650" t="s">
        <v>305</v>
      </c>
      <c r="B280" s="1639" t="s">
        <v>1555</v>
      </c>
      <c r="C280" s="1640">
        <v>0.15</v>
      </c>
      <c r="D280" s="1640">
        <v>0.15</v>
      </c>
      <c r="E280" s="1640">
        <v>0.15</v>
      </c>
      <c r="F280" s="1640">
        <v>0.15</v>
      </c>
      <c r="G280" s="1641">
        <v>0.15</v>
      </c>
    </row>
    <row r="281" spans="1:7">
      <c r="A281" s="1650" t="s">
        <v>305</v>
      </c>
      <c r="B281" s="1639" t="s">
        <v>1567</v>
      </c>
      <c r="C281" s="1640">
        <v>0.15</v>
      </c>
      <c r="D281" s="1640">
        <v>0.15</v>
      </c>
      <c r="E281" s="1640">
        <v>0.15</v>
      </c>
      <c r="F281" s="1640">
        <v>0.15</v>
      </c>
      <c r="G281" s="1641">
        <v>0.15</v>
      </c>
    </row>
    <row r="282" spans="1:7">
      <c r="A282" s="1650" t="s">
        <v>305</v>
      </c>
      <c r="B282" s="1639" t="s">
        <v>1578</v>
      </c>
      <c r="C282" s="1640">
        <v>0.15</v>
      </c>
      <c r="D282" s="1640">
        <v>0.15</v>
      </c>
      <c r="E282" s="1640">
        <v>0.15</v>
      </c>
      <c r="F282" s="1640">
        <v>0.14499999999999999</v>
      </c>
      <c r="G282" s="1641">
        <v>0.15</v>
      </c>
    </row>
    <row r="283" spans="1:7">
      <c r="A283" s="1650" t="s">
        <v>305</v>
      </c>
      <c r="B283" s="1639" t="s">
        <v>1589</v>
      </c>
      <c r="C283" s="1640">
        <v>0.15</v>
      </c>
      <c r="D283" s="1640">
        <v>0.15</v>
      </c>
      <c r="E283" s="1640">
        <v>0.15</v>
      </c>
      <c r="F283" s="1640">
        <v>0.14199999999999999</v>
      </c>
      <c r="G283" s="1641">
        <v>0.15</v>
      </c>
    </row>
    <row r="284" spans="1:7">
      <c r="A284" s="1650" t="s">
        <v>305</v>
      </c>
      <c r="B284" s="1639" t="s">
        <v>1600</v>
      </c>
      <c r="C284" s="1640">
        <v>0.15</v>
      </c>
      <c r="D284" s="1640">
        <v>0.15</v>
      </c>
      <c r="E284" s="1640">
        <v>0.15</v>
      </c>
      <c r="F284" s="1640">
        <v>0.15</v>
      </c>
      <c r="G284" s="1641">
        <v>0.15</v>
      </c>
    </row>
    <row r="285" spans="1:7">
      <c r="A285" s="1650" t="s">
        <v>305</v>
      </c>
      <c r="B285" s="1639" t="s">
        <v>1610</v>
      </c>
      <c r="C285" s="1640">
        <v>0.15</v>
      </c>
      <c r="D285" s="1640">
        <v>0.15</v>
      </c>
      <c r="E285" s="1640">
        <v>0.15</v>
      </c>
      <c r="F285" s="1640">
        <v>0.15</v>
      </c>
      <c r="G285" s="1641">
        <v>0.15</v>
      </c>
    </row>
    <row r="286" spans="1:7">
      <c r="A286" s="1650" t="s">
        <v>305</v>
      </c>
      <c r="B286" s="1639" t="s">
        <v>1620</v>
      </c>
      <c r="C286" s="1640">
        <v>0.14499999999999999</v>
      </c>
      <c r="D286" s="1640">
        <v>0.14499999999999999</v>
      </c>
      <c r="E286" s="1640">
        <v>0.15</v>
      </c>
      <c r="F286" s="1640">
        <v>0.14099999999999999</v>
      </c>
      <c r="G286" s="1641">
        <v>0.14499999999999999</v>
      </c>
    </row>
    <row r="287" spans="1:7">
      <c r="A287" s="1650" t="s">
        <v>305</v>
      </c>
      <c r="B287" s="1639" t="s">
        <v>1630</v>
      </c>
      <c r="C287" s="1640">
        <v>0.11</v>
      </c>
      <c r="D287" s="1640">
        <v>0.111</v>
      </c>
      <c r="E287" s="1640">
        <v>0.14099999999999999</v>
      </c>
      <c r="F287" s="1640">
        <v>0.11</v>
      </c>
      <c r="G287" s="1641">
        <v>0.12</v>
      </c>
    </row>
    <row r="288" spans="1:7">
      <c r="A288" s="1650" t="s">
        <v>305</v>
      </c>
      <c r="B288" s="1639" t="s">
        <v>1640</v>
      </c>
      <c r="C288" s="1640">
        <v>0.14199999999999999</v>
      </c>
      <c r="D288" s="1640">
        <v>0.14299999999999999</v>
      </c>
      <c r="E288" s="1640">
        <v>0.15</v>
      </c>
      <c r="F288" s="1640">
        <v>0.14199999999999999</v>
      </c>
      <c r="G288" s="1641">
        <v>0.14399999999999999</v>
      </c>
    </row>
    <row r="289" spans="1:7">
      <c r="A289" s="1650" t="s">
        <v>305</v>
      </c>
      <c r="B289" s="1639" t="s">
        <v>1650</v>
      </c>
      <c r="C289" s="1640">
        <v>0.14299999999999999</v>
      </c>
      <c r="D289" s="1640">
        <v>0.14299999999999999</v>
      </c>
      <c r="E289" s="1640">
        <v>0.14799999999999999</v>
      </c>
      <c r="F289" s="1640">
        <v>0.14399999999999999</v>
      </c>
      <c r="G289" s="1641">
        <v>0.14399999999999999</v>
      </c>
    </row>
    <row r="290" spans="1:7">
      <c r="A290" s="1650" t="s">
        <v>305</v>
      </c>
      <c r="B290" s="1639" t="s">
        <v>1660</v>
      </c>
      <c r="C290" s="1640">
        <v>0.14799999999999999</v>
      </c>
      <c r="D290" s="1640">
        <v>0.14899999999999999</v>
      </c>
      <c r="E290" s="1640">
        <v>0.15</v>
      </c>
      <c r="F290" s="1640">
        <v>0.127</v>
      </c>
      <c r="G290" s="1641">
        <v>0.15</v>
      </c>
    </row>
    <row r="291" spans="1:7">
      <c r="A291" s="1650" t="s">
        <v>305</v>
      </c>
      <c r="B291" s="1639" t="s">
        <v>1670</v>
      </c>
      <c r="C291" s="1640">
        <v>0.15</v>
      </c>
      <c r="D291" s="1640">
        <v>0.15</v>
      </c>
      <c r="E291" s="1640">
        <v>0.15</v>
      </c>
      <c r="F291" s="1640">
        <v>0.14899999999999999</v>
      </c>
      <c r="G291" s="1641">
        <v>0.15</v>
      </c>
    </row>
    <row r="292" spans="1:7">
      <c r="A292" s="1650" t="s">
        <v>305</v>
      </c>
      <c r="B292" s="1639" t="s">
        <v>1680</v>
      </c>
      <c r="C292" s="1640">
        <v>0.15</v>
      </c>
      <c r="D292" s="1640">
        <v>0.15</v>
      </c>
      <c r="E292" s="1640">
        <v>0.15</v>
      </c>
      <c r="F292" s="1640">
        <v>0.14399999999999999</v>
      </c>
      <c r="G292" s="1641">
        <v>0.15</v>
      </c>
    </row>
    <row r="293" spans="1:7">
      <c r="A293" s="1650" t="s">
        <v>305</v>
      </c>
      <c r="B293" s="1639" t="s">
        <v>1690</v>
      </c>
      <c r="C293" s="1640">
        <v>0.15</v>
      </c>
      <c r="D293" s="1640">
        <v>0.15</v>
      </c>
      <c r="E293" s="1640">
        <v>0.15</v>
      </c>
      <c r="F293" s="1640">
        <v>0.14499999999999999</v>
      </c>
      <c r="G293" s="1641">
        <v>0.15</v>
      </c>
    </row>
    <row r="294" spans="1:7">
      <c r="A294" s="1650" t="s">
        <v>305</v>
      </c>
      <c r="B294" s="1639" t="s">
        <v>1700</v>
      </c>
      <c r="C294" s="1640">
        <v>0.15</v>
      </c>
      <c r="D294" s="1640">
        <v>0.15</v>
      </c>
      <c r="E294" s="1640">
        <v>0.15</v>
      </c>
      <c r="F294" s="1640">
        <v>0.14899999999999999</v>
      </c>
      <c r="G294" s="1641">
        <v>0.15</v>
      </c>
    </row>
    <row r="295" spans="1:7">
      <c r="A295" s="1650" t="s">
        <v>305</v>
      </c>
      <c r="B295" s="1639" t="s">
        <v>1710</v>
      </c>
      <c r="C295" s="1640">
        <v>0.15</v>
      </c>
      <c r="D295" s="1640">
        <v>0.15</v>
      </c>
      <c r="E295" s="1640">
        <v>0.15</v>
      </c>
      <c r="F295" s="1640">
        <v>0.14799999999999999</v>
      </c>
      <c r="G295" s="1641">
        <v>0.15</v>
      </c>
    </row>
    <row r="296" spans="1:7">
      <c r="A296" s="1650" t="s">
        <v>305</v>
      </c>
      <c r="B296" s="1639" t="s">
        <v>1720</v>
      </c>
      <c r="C296" s="1640">
        <v>0.15</v>
      </c>
      <c r="D296" s="1640">
        <v>0.15</v>
      </c>
      <c r="E296" s="1640">
        <v>0.15</v>
      </c>
      <c r="F296" s="1640">
        <v>0.14399999999999999</v>
      </c>
      <c r="G296" s="1641">
        <v>0.15</v>
      </c>
    </row>
    <row r="297" spans="1:7">
      <c r="A297" s="1650" t="s">
        <v>305</v>
      </c>
      <c r="B297" s="1639" t="s">
        <v>1729</v>
      </c>
      <c r="C297" s="1640">
        <v>0.15</v>
      </c>
      <c r="D297" s="1640">
        <v>0.15</v>
      </c>
      <c r="E297" s="1640">
        <v>0.15</v>
      </c>
      <c r="F297" s="1640">
        <v>0.14499999999999999</v>
      </c>
      <c r="G297" s="1641">
        <v>0.15</v>
      </c>
    </row>
    <row r="298" spans="1:7">
      <c r="A298" s="1650" t="s">
        <v>305</v>
      </c>
      <c r="B298" s="1639" t="s">
        <v>1737</v>
      </c>
      <c r="C298" s="1640">
        <v>0.15</v>
      </c>
      <c r="D298" s="1640">
        <v>0.15</v>
      </c>
      <c r="E298" s="1640">
        <v>0.15</v>
      </c>
      <c r="F298" s="1640">
        <v>0.15</v>
      </c>
      <c r="G298" s="1641">
        <v>0.15</v>
      </c>
    </row>
    <row r="299" spans="1:7">
      <c r="A299" s="1650" t="s">
        <v>305</v>
      </c>
      <c r="B299" s="1659" t="s">
        <v>1745</v>
      </c>
      <c r="C299" s="1640">
        <v>0.15</v>
      </c>
      <c r="D299" s="1640">
        <v>0.15</v>
      </c>
      <c r="E299" s="1640">
        <v>0.15</v>
      </c>
      <c r="F299" s="1640">
        <v>0.14499999999999999</v>
      </c>
      <c r="G299" s="1641">
        <v>0.15</v>
      </c>
    </row>
    <row r="300" spans="1:7">
      <c r="A300" s="1650" t="s">
        <v>305</v>
      </c>
      <c r="B300" s="1659" t="s">
        <v>1753</v>
      </c>
      <c r="C300" s="1640">
        <v>0.15</v>
      </c>
      <c r="D300" s="1640">
        <v>0.15</v>
      </c>
      <c r="E300" s="1640">
        <v>0.15</v>
      </c>
      <c r="F300" s="1640">
        <v>0.14599999999999999</v>
      </c>
      <c r="G300" s="1641">
        <v>0.15</v>
      </c>
    </row>
    <row r="301" spans="1:7">
      <c r="A301" s="1650" t="s">
        <v>305</v>
      </c>
      <c r="B301" s="1659" t="s">
        <v>1761</v>
      </c>
      <c r="C301" s="1640">
        <v>0.126</v>
      </c>
      <c r="D301" s="1640">
        <v>0.124</v>
      </c>
      <c r="E301" s="1640">
        <v>0.14099999999999999</v>
      </c>
      <c r="F301" s="1640">
        <v>0.14399999999999999</v>
      </c>
      <c r="G301" s="1641">
        <v>0.13</v>
      </c>
    </row>
    <row r="302" spans="1:7">
      <c r="A302" s="1650" t="s">
        <v>305</v>
      </c>
      <c r="B302" s="1639" t="s">
        <v>1767</v>
      </c>
      <c r="C302" s="1640">
        <v>0.15</v>
      </c>
      <c r="D302" s="1640">
        <v>0.15</v>
      </c>
      <c r="E302" s="1640">
        <v>0.15</v>
      </c>
      <c r="F302" s="1640">
        <v>0.14699999999999999</v>
      </c>
      <c r="G302" s="1641">
        <v>0.15</v>
      </c>
    </row>
    <row r="303" spans="1:7">
      <c r="A303" s="1650" t="s">
        <v>305</v>
      </c>
      <c r="B303" s="1639" t="s">
        <v>1774</v>
      </c>
      <c r="C303" s="1640">
        <v>0.15</v>
      </c>
      <c r="D303" s="1640">
        <v>0.15</v>
      </c>
      <c r="E303" s="1640">
        <v>0.15</v>
      </c>
      <c r="F303" s="1640">
        <v>0.14199999999999999</v>
      </c>
      <c r="G303" s="1641">
        <v>0.15</v>
      </c>
    </row>
    <row r="304" spans="1:7">
      <c r="A304" s="1650" t="s">
        <v>305</v>
      </c>
      <c r="B304" s="1639" t="s">
        <v>1781</v>
      </c>
      <c r="C304" s="1640">
        <v>0.15</v>
      </c>
      <c r="D304" s="1640">
        <v>0.15</v>
      </c>
      <c r="E304" s="1640">
        <v>0.15</v>
      </c>
      <c r="F304" s="1640">
        <v>0.14499999999999999</v>
      </c>
      <c r="G304" s="1641">
        <v>0.15</v>
      </c>
    </row>
    <row r="305" spans="1:7">
      <c r="A305" s="1650" t="s">
        <v>305</v>
      </c>
      <c r="B305" s="1639" t="s">
        <v>1788</v>
      </c>
      <c r="C305" s="1640">
        <v>0.15</v>
      </c>
      <c r="D305" s="1640">
        <v>0.15</v>
      </c>
      <c r="E305" s="1640">
        <v>0.15</v>
      </c>
      <c r="F305" s="1640">
        <v>0.111</v>
      </c>
      <c r="G305" s="1641">
        <v>0.15</v>
      </c>
    </row>
    <row r="306" spans="1:7">
      <c r="A306" s="1650" t="s">
        <v>305</v>
      </c>
      <c r="B306" s="1639" t="s">
        <v>1795</v>
      </c>
      <c r="C306" s="1640">
        <v>0.15</v>
      </c>
      <c r="D306" s="1640">
        <v>0.15</v>
      </c>
      <c r="E306" s="1640">
        <v>0.15</v>
      </c>
      <c r="F306" s="1640">
        <v>0.126</v>
      </c>
      <c r="G306" s="1641">
        <v>0.15</v>
      </c>
    </row>
    <row r="307" spans="1:7">
      <c r="A307" s="1650" t="s">
        <v>305</v>
      </c>
      <c r="B307" s="1639" t="s">
        <v>1802</v>
      </c>
      <c r="C307" s="1640">
        <v>0.15</v>
      </c>
      <c r="D307" s="1640">
        <v>0.15</v>
      </c>
      <c r="E307" s="1640">
        <v>0.15</v>
      </c>
      <c r="F307" s="1640">
        <v>0.12</v>
      </c>
      <c r="G307" s="1641">
        <v>0.15</v>
      </c>
    </row>
    <row r="308" spans="1:7">
      <c r="A308" s="1650" t="s">
        <v>305</v>
      </c>
      <c r="B308" s="1639" t="s">
        <v>1809</v>
      </c>
      <c r="C308" s="1640">
        <v>0.15</v>
      </c>
      <c r="D308" s="1640">
        <v>0.15</v>
      </c>
      <c r="E308" s="1640">
        <v>0.15</v>
      </c>
      <c r="F308" s="1640">
        <v>0.13</v>
      </c>
      <c r="G308" s="1641">
        <v>0.15</v>
      </c>
    </row>
    <row r="309" spans="1:7">
      <c r="A309" s="1650" t="s">
        <v>305</v>
      </c>
      <c r="B309" s="1639" t="s">
        <v>1814</v>
      </c>
      <c r="C309" s="1640">
        <v>0.15</v>
      </c>
      <c r="D309" s="1640">
        <v>0.15</v>
      </c>
      <c r="E309" s="1640">
        <v>0.15</v>
      </c>
      <c r="F309" s="1640">
        <v>0.14099999999999999</v>
      </c>
      <c r="G309" s="1641">
        <v>0.15</v>
      </c>
    </row>
    <row r="310" spans="1:7">
      <c r="A310" s="1650" t="s">
        <v>305</v>
      </c>
      <c r="B310" s="1639" t="s">
        <v>1819</v>
      </c>
      <c r="C310" s="1640">
        <v>0.15</v>
      </c>
      <c r="D310" s="1640">
        <v>0.15</v>
      </c>
      <c r="E310" s="1640">
        <v>0.15</v>
      </c>
      <c r="F310" s="1640">
        <v>0.15</v>
      </c>
      <c r="G310" s="1641">
        <v>0.15</v>
      </c>
    </row>
    <row r="311" spans="1:7">
      <c r="A311" s="1650" t="s">
        <v>305</v>
      </c>
      <c r="B311" s="1639" t="s">
        <v>1824</v>
      </c>
      <c r="C311" s="1640">
        <v>0.13200000000000001</v>
      </c>
      <c r="D311" s="1640">
        <v>0.13300000000000001</v>
      </c>
      <c r="E311" s="1640">
        <v>0.14499999999999999</v>
      </c>
      <c r="F311" s="1640">
        <v>0.14199999999999999</v>
      </c>
      <c r="G311" s="1641">
        <v>0.14000000000000001</v>
      </c>
    </row>
    <row r="312" spans="1:7">
      <c r="A312" s="1650" t="s">
        <v>305</v>
      </c>
      <c r="B312" s="1639" t="s">
        <v>1829</v>
      </c>
      <c r="C312" s="1640">
        <v>0.13800000000000001</v>
      </c>
      <c r="D312" s="1640">
        <v>0.14000000000000001</v>
      </c>
      <c r="E312" s="1640">
        <v>0.14599999999999999</v>
      </c>
      <c r="F312" s="1640">
        <v>0.14899999999999999</v>
      </c>
      <c r="G312" s="1641">
        <v>0.14199999999999999</v>
      </c>
    </row>
    <row r="313" spans="1:7">
      <c r="A313" s="1650" t="s">
        <v>305</v>
      </c>
      <c r="B313" s="1639" t="s">
        <v>1834</v>
      </c>
      <c r="C313" s="1640">
        <v>0.125</v>
      </c>
      <c r="D313" s="1640">
        <v>0.127</v>
      </c>
      <c r="E313" s="1640">
        <v>0.14399999999999999</v>
      </c>
      <c r="F313" s="1640">
        <v>0.115</v>
      </c>
      <c r="G313" s="1641">
        <v>0.13600000000000001</v>
      </c>
    </row>
    <row r="314" spans="1:7">
      <c r="A314" s="1650" t="s">
        <v>305</v>
      </c>
      <c r="B314" s="1639" t="s">
        <v>1839</v>
      </c>
      <c r="C314" s="1656"/>
      <c r="D314" s="1656"/>
      <c r="E314" s="1656"/>
      <c r="F314" s="1640">
        <v>0.05</v>
      </c>
      <c r="G314" s="1657"/>
    </row>
    <row r="315" spans="1:7">
      <c r="A315" s="1650" t="s">
        <v>305</v>
      </c>
      <c r="B315" s="1639" t="s">
        <v>1844</v>
      </c>
      <c r="C315" s="1656"/>
      <c r="D315" s="1656"/>
      <c r="E315" s="1656"/>
      <c r="F315" s="1640">
        <v>0.05</v>
      </c>
      <c r="G315" s="1657"/>
    </row>
    <row r="316" spans="1:7">
      <c r="A316" s="1650" t="s">
        <v>305</v>
      </c>
      <c r="B316" s="1639" t="s">
        <v>1849</v>
      </c>
      <c r="C316" s="1651"/>
      <c r="D316" s="1651"/>
      <c r="E316" s="1651"/>
      <c r="F316" s="1640">
        <v>0.05</v>
      </c>
      <c r="G316" s="1657"/>
    </row>
    <row r="317" spans="1:7">
      <c r="A317" s="1650" t="s">
        <v>305</v>
      </c>
      <c r="B317" s="1639" t="s">
        <v>1853</v>
      </c>
      <c r="C317" s="1651"/>
      <c r="D317" s="1651"/>
      <c r="E317" s="1651"/>
      <c r="F317" s="1640">
        <v>0.05</v>
      </c>
      <c r="G317" s="1657"/>
    </row>
    <row r="318" spans="1:7">
      <c r="A318" s="1650" t="s">
        <v>305</v>
      </c>
      <c r="B318" s="1639" t="s">
        <v>1857</v>
      </c>
      <c r="C318" s="1651"/>
      <c r="D318" s="1651"/>
      <c r="E318" s="1651"/>
      <c r="F318" s="1640">
        <v>0.05</v>
      </c>
      <c r="G318" s="1657"/>
    </row>
    <row r="319" spans="1:7">
      <c r="A319" s="1650" t="s">
        <v>305</v>
      </c>
      <c r="B319" s="1639" t="s">
        <v>1861</v>
      </c>
      <c r="C319" s="1651"/>
      <c r="D319" s="1651"/>
      <c r="E319" s="1651"/>
      <c r="F319" s="1640">
        <v>0.05</v>
      </c>
      <c r="G319" s="1657"/>
    </row>
    <row r="320" spans="1:7">
      <c r="A320" s="1650" t="s">
        <v>305</v>
      </c>
      <c r="B320" s="1639" t="s">
        <v>1864</v>
      </c>
      <c r="C320" s="1651"/>
      <c r="D320" s="1651"/>
      <c r="E320" s="1651"/>
      <c r="F320" s="1640">
        <v>0.05</v>
      </c>
      <c r="G320" s="1657"/>
    </row>
    <row r="321" spans="1:7">
      <c r="A321" s="1650" t="s">
        <v>305</v>
      </c>
      <c r="B321" s="1639" t="s">
        <v>1866</v>
      </c>
      <c r="C321" s="1651"/>
      <c r="D321" s="1651"/>
      <c r="E321" s="1651"/>
      <c r="F321" s="1640">
        <v>0.05</v>
      </c>
      <c r="G321" s="1657"/>
    </row>
    <row r="322" spans="1:7">
      <c r="A322" s="1650" t="s">
        <v>305</v>
      </c>
      <c r="B322" s="1639" t="s">
        <v>1868</v>
      </c>
      <c r="C322" s="1651"/>
      <c r="D322" s="1651"/>
      <c r="E322" s="1651"/>
      <c r="F322" s="1640">
        <v>0.05</v>
      </c>
      <c r="G322" s="1657"/>
    </row>
    <row r="323" spans="1:7">
      <c r="A323" s="1650" t="s">
        <v>305</v>
      </c>
      <c r="B323" s="1639" t="s">
        <v>1870</v>
      </c>
      <c r="C323" s="1651"/>
      <c r="D323" s="1651"/>
      <c r="E323" s="1651"/>
      <c r="F323" s="1640">
        <v>0.05</v>
      </c>
      <c r="G323" s="1657"/>
    </row>
    <row r="324" spans="1:7">
      <c r="A324" s="1650" t="s">
        <v>305</v>
      </c>
      <c r="B324" s="1639" t="s">
        <v>1872</v>
      </c>
      <c r="C324" s="1651"/>
      <c r="D324" s="1651"/>
      <c r="E324" s="1651"/>
      <c r="F324" s="1640">
        <v>0.05</v>
      </c>
      <c r="G324" s="1657"/>
    </row>
    <row r="325" spans="1:7">
      <c r="A325" s="1650" t="s">
        <v>305</v>
      </c>
      <c r="B325" s="1639" t="s">
        <v>1874</v>
      </c>
      <c r="C325" s="1651"/>
      <c r="D325" s="1651"/>
      <c r="E325" s="1651"/>
      <c r="F325" s="1640">
        <v>0.05</v>
      </c>
      <c r="G325" s="1657"/>
    </row>
    <row r="326" spans="1:7">
      <c r="A326" s="1653" t="s">
        <v>305</v>
      </c>
      <c r="B326" s="1643" t="s">
        <v>1876</v>
      </c>
      <c r="C326" s="1645"/>
      <c r="D326" s="1645"/>
      <c r="E326" s="1645"/>
      <c r="F326" s="1644">
        <v>0.05</v>
      </c>
      <c r="G326" s="1658"/>
    </row>
    <row r="327" spans="1:7">
      <c r="A327" s="1649" t="s">
        <v>309</v>
      </c>
      <c r="B327" s="1635" t="s">
        <v>1518</v>
      </c>
      <c r="C327" s="1636">
        <v>0.15</v>
      </c>
      <c r="D327" s="1636">
        <v>0.15</v>
      </c>
      <c r="E327" s="1636">
        <v>0.15</v>
      </c>
      <c r="F327" s="1636">
        <v>0.15</v>
      </c>
      <c r="G327" s="1637">
        <v>0.15</v>
      </c>
    </row>
    <row r="328" spans="1:7">
      <c r="A328" s="1650" t="s">
        <v>309</v>
      </c>
      <c r="B328" s="1639" t="s">
        <v>1531</v>
      </c>
      <c r="C328" s="1640">
        <v>0.15</v>
      </c>
      <c r="D328" s="1640">
        <v>0.15</v>
      </c>
      <c r="E328" s="1640">
        <v>0.15</v>
      </c>
      <c r="F328" s="1640">
        <v>0.126</v>
      </c>
      <c r="G328" s="1641">
        <v>0.15</v>
      </c>
    </row>
    <row r="329" spans="1:7">
      <c r="A329" s="1650" t="s">
        <v>309</v>
      </c>
      <c r="B329" s="1639" t="s">
        <v>1544</v>
      </c>
      <c r="C329" s="1640">
        <v>0.15</v>
      </c>
      <c r="D329" s="1640">
        <v>0.15</v>
      </c>
      <c r="E329" s="1640">
        <v>0.15</v>
      </c>
      <c r="F329" s="1640">
        <v>0.15</v>
      </c>
      <c r="G329" s="1641">
        <v>0.15</v>
      </c>
    </row>
    <row r="330" spans="1:7">
      <c r="A330" s="1650" t="s">
        <v>309</v>
      </c>
      <c r="B330" s="1639" t="s">
        <v>1556</v>
      </c>
      <c r="C330" s="1640">
        <v>0.15</v>
      </c>
      <c r="D330" s="1640">
        <v>0.15</v>
      </c>
      <c r="E330" s="1640">
        <v>0.15</v>
      </c>
      <c r="F330" s="1640">
        <v>0.15</v>
      </c>
      <c r="G330" s="1641">
        <v>0.15</v>
      </c>
    </row>
    <row r="331" spans="1:7">
      <c r="A331" s="1650" t="s">
        <v>309</v>
      </c>
      <c r="B331" s="1639" t="s">
        <v>1568</v>
      </c>
      <c r="C331" s="1640">
        <v>0.15</v>
      </c>
      <c r="D331" s="1640">
        <v>0.15</v>
      </c>
      <c r="E331" s="1640">
        <v>0.15</v>
      </c>
      <c r="F331" s="1640">
        <v>0.15</v>
      </c>
      <c r="G331" s="1641">
        <v>0.15</v>
      </c>
    </row>
    <row r="332" spans="1:7">
      <c r="A332" s="1650" t="s">
        <v>309</v>
      </c>
      <c r="B332" s="1639" t="s">
        <v>1579</v>
      </c>
      <c r="C332" s="1640">
        <v>0.15</v>
      </c>
      <c r="D332" s="1640">
        <v>0.15</v>
      </c>
      <c r="E332" s="1640">
        <v>0.15</v>
      </c>
      <c r="F332" s="1640">
        <v>0.15</v>
      </c>
      <c r="G332" s="1641">
        <v>0.15</v>
      </c>
    </row>
    <row r="333" spans="1:7">
      <c r="A333" s="1650" t="s">
        <v>309</v>
      </c>
      <c r="B333" s="1639" t="s">
        <v>1590</v>
      </c>
      <c r="C333" s="1640">
        <v>0.14899999999999999</v>
      </c>
      <c r="D333" s="1640">
        <v>0.14899999999999999</v>
      </c>
      <c r="E333" s="1640">
        <v>0.15</v>
      </c>
      <c r="F333" s="1640">
        <v>0.11600000000000001</v>
      </c>
      <c r="G333" s="1641">
        <v>0.15</v>
      </c>
    </row>
    <row r="334" spans="1:7">
      <c r="A334" s="1650" t="s">
        <v>309</v>
      </c>
      <c r="B334" s="1639" t="s">
        <v>1601</v>
      </c>
      <c r="C334" s="1640">
        <v>0.15</v>
      </c>
      <c r="D334" s="1640">
        <v>0.15</v>
      </c>
      <c r="E334" s="1640">
        <v>0.15</v>
      </c>
      <c r="F334" s="1640">
        <v>0.13</v>
      </c>
      <c r="G334" s="1641">
        <v>0.15</v>
      </c>
    </row>
    <row r="335" spans="1:7">
      <c r="A335" s="1650" t="s">
        <v>309</v>
      </c>
      <c r="B335" s="1639" t="s">
        <v>1611</v>
      </c>
      <c r="C335" s="1640">
        <v>0.15</v>
      </c>
      <c r="D335" s="1640">
        <v>0.15</v>
      </c>
      <c r="E335" s="1640">
        <v>0.15</v>
      </c>
      <c r="F335" s="1640">
        <v>0.14399999999999999</v>
      </c>
      <c r="G335" s="1641">
        <v>0.15</v>
      </c>
    </row>
    <row r="336" spans="1:7">
      <c r="A336" s="1650" t="s">
        <v>309</v>
      </c>
      <c r="B336" s="1639" t="s">
        <v>1621</v>
      </c>
      <c r="C336" s="1640">
        <v>0.15</v>
      </c>
      <c r="D336" s="1640">
        <v>0.15</v>
      </c>
      <c r="E336" s="1640">
        <v>0.15</v>
      </c>
      <c r="F336" s="1640">
        <v>0.14199999999999999</v>
      </c>
      <c r="G336" s="1641">
        <v>0.15</v>
      </c>
    </row>
    <row r="337" spans="1:7">
      <c r="A337" s="1650" t="s">
        <v>309</v>
      </c>
      <c r="B337" s="1639" t="s">
        <v>1631</v>
      </c>
      <c r="C337" s="1640">
        <v>0.15</v>
      </c>
      <c r="D337" s="1640">
        <v>0.15</v>
      </c>
      <c r="E337" s="1640">
        <v>0.15</v>
      </c>
      <c r="F337" s="1640">
        <v>0.14499999999999999</v>
      </c>
      <c r="G337" s="1641">
        <v>0.15</v>
      </c>
    </row>
    <row r="338" spans="1:7">
      <c r="A338" s="1650" t="s">
        <v>309</v>
      </c>
      <c r="B338" s="1639" t="s">
        <v>1641</v>
      </c>
      <c r="C338" s="1640">
        <v>0.15</v>
      </c>
      <c r="D338" s="1640">
        <v>0.15</v>
      </c>
      <c r="E338" s="1640">
        <v>0.15</v>
      </c>
      <c r="F338" s="1640">
        <v>0.15</v>
      </c>
      <c r="G338" s="1641">
        <v>0.15</v>
      </c>
    </row>
    <row r="339" spans="1:7">
      <c r="A339" s="1650" t="s">
        <v>309</v>
      </c>
      <c r="B339" s="1639" t="s">
        <v>1651</v>
      </c>
      <c r="C339" s="1640">
        <v>0.15</v>
      </c>
      <c r="D339" s="1640">
        <v>0.15</v>
      </c>
      <c r="E339" s="1640">
        <v>0.15</v>
      </c>
      <c r="F339" s="1640">
        <v>0.14699999999999999</v>
      </c>
      <c r="G339" s="1641">
        <v>0.15</v>
      </c>
    </row>
    <row r="340" spans="1:7">
      <c r="A340" s="1650" t="s">
        <v>309</v>
      </c>
      <c r="B340" s="1639" t="s">
        <v>1661</v>
      </c>
      <c r="C340" s="1640">
        <v>0.14599999999999999</v>
      </c>
      <c r="D340" s="1640">
        <v>0.14599999999999999</v>
      </c>
      <c r="E340" s="1640">
        <v>0.15</v>
      </c>
      <c r="F340" s="1640">
        <v>0.14099999999999999</v>
      </c>
      <c r="G340" s="1641">
        <v>0.14699999999999999</v>
      </c>
    </row>
    <row r="341" spans="1:7">
      <c r="A341" s="1650" t="s">
        <v>309</v>
      </c>
      <c r="B341" s="1639" t="s">
        <v>1671</v>
      </c>
      <c r="C341" s="1640">
        <v>0.126</v>
      </c>
      <c r="D341" s="1640">
        <v>0.124</v>
      </c>
      <c r="E341" s="1640">
        <v>0.14099999999999999</v>
      </c>
      <c r="F341" s="1640">
        <v>0.14399999999999999</v>
      </c>
      <c r="G341" s="1641">
        <v>0.13</v>
      </c>
    </row>
    <row r="342" spans="1:7">
      <c r="A342" s="1650" t="s">
        <v>309</v>
      </c>
      <c r="B342" s="1639" t="s">
        <v>1681</v>
      </c>
      <c r="C342" s="1640">
        <v>0.15</v>
      </c>
      <c r="D342" s="1640">
        <v>0.15</v>
      </c>
      <c r="E342" s="1640">
        <v>0.15</v>
      </c>
      <c r="F342" s="1640">
        <v>0.14399999999999999</v>
      </c>
      <c r="G342" s="1641">
        <v>0.15</v>
      </c>
    </row>
    <row r="343" spans="1:7">
      <c r="A343" s="1650" t="s">
        <v>309</v>
      </c>
      <c r="B343" s="1639" t="s">
        <v>1691</v>
      </c>
      <c r="C343" s="1640">
        <v>0.15</v>
      </c>
      <c r="D343" s="1640">
        <v>0.15</v>
      </c>
      <c r="E343" s="1640">
        <v>0.15</v>
      </c>
      <c r="F343" s="1640">
        <v>0.128</v>
      </c>
      <c r="G343" s="1641">
        <v>0.15</v>
      </c>
    </row>
    <row r="344" spans="1:7">
      <c r="A344" s="1650" t="s">
        <v>309</v>
      </c>
      <c r="B344" s="1639" t="s">
        <v>1701</v>
      </c>
      <c r="C344" s="1640">
        <v>0.15</v>
      </c>
      <c r="D344" s="1640">
        <v>0.15</v>
      </c>
      <c r="E344" s="1640">
        <v>0.15</v>
      </c>
      <c r="F344" s="1640">
        <v>0.14799999999999999</v>
      </c>
      <c r="G344" s="1641">
        <v>0.15</v>
      </c>
    </row>
    <row r="345" spans="1:7">
      <c r="A345" s="1650" t="s">
        <v>309</v>
      </c>
      <c r="B345" s="1639" t="s">
        <v>1711</v>
      </c>
      <c r="C345" s="1640">
        <v>0.15</v>
      </c>
      <c r="D345" s="1640">
        <v>0.15</v>
      </c>
      <c r="E345" s="1640">
        <v>0.15</v>
      </c>
      <c r="F345" s="1640">
        <v>0.13800000000000001</v>
      </c>
      <c r="G345" s="1641">
        <v>0.15</v>
      </c>
    </row>
    <row r="346" spans="1:7">
      <c r="A346" s="1650" t="s">
        <v>309</v>
      </c>
      <c r="B346" s="1639" t="s">
        <v>1721</v>
      </c>
      <c r="C346" s="1640">
        <v>0.15</v>
      </c>
      <c r="D346" s="1640">
        <v>0.15</v>
      </c>
      <c r="E346" s="1640">
        <v>0.15</v>
      </c>
      <c r="F346" s="1640">
        <v>0.14399999999999999</v>
      </c>
      <c r="G346" s="1641">
        <v>0.15</v>
      </c>
    </row>
    <row r="347" spans="1:7">
      <c r="A347" s="1650" t="s">
        <v>309</v>
      </c>
      <c r="B347" s="1639" t="s">
        <v>1730</v>
      </c>
      <c r="C347" s="1640">
        <v>0.15</v>
      </c>
      <c r="D347" s="1640">
        <v>0.15</v>
      </c>
      <c r="E347" s="1640">
        <v>0.15</v>
      </c>
      <c r="F347" s="1640">
        <v>0.14599999999999999</v>
      </c>
      <c r="G347" s="1641">
        <v>0.15</v>
      </c>
    </row>
    <row r="348" spans="1:7">
      <c r="A348" s="1650" t="s">
        <v>309</v>
      </c>
      <c r="B348" s="1639" t="s">
        <v>1738</v>
      </c>
      <c r="C348" s="1640">
        <v>0.15</v>
      </c>
      <c r="D348" s="1640">
        <v>0.15</v>
      </c>
      <c r="E348" s="1640">
        <v>0.15</v>
      </c>
      <c r="F348" s="1640">
        <v>0.14399999999999999</v>
      </c>
      <c r="G348" s="1641">
        <v>0.15</v>
      </c>
    </row>
    <row r="349" spans="1:7">
      <c r="A349" s="1650" t="s">
        <v>309</v>
      </c>
      <c r="B349" s="1639" t="s">
        <v>1746</v>
      </c>
      <c r="C349" s="1640">
        <v>0.15</v>
      </c>
      <c r="D349" s="1640">
        <v>0.15</v>
      </c>
      <c r="E349" s="1640">
        <v>0.15</v>
      </c>
      <c r="F349" s="1640">
        <v>0.15</v>
      </c>
      <c r="G349" s="1641">
        <v>0.15</v>
      </c>
    </row>
    <row r="350" spans="1:7">
      <c r="A350" s="1650" t="s">
        <v>309</v>
      </c>
      <c r="B350" s="1639" t="s">
        <v>1754</v>
      </c>
      <c r="C350" s="1640">
        <v>0.15</v>
      </c>
      <c r="D350" s="1640">
        <v>0.15</v>
      </c>
      <c r="E350" s="1640">
        <v>0.15</v>
      </c>
      <c r="F350" s="1640">
        <v>0.14699999999999999</v>
      </c>
      <c r="G350" s="1641">
        <v>0.15</v>
      </c>
    </row>
    <row r="351" spans="1:7">
      <c r="A351" s="1650" t="s">
        <v>309</v>
      </c>
      <c r="B351" s="1639" t="s">
        <v>479</v>
      </c>
      <c r="C351" s="1640">
        <v>0.15</v>
      </c>
      <c r="D351" s="1640">
        <v>0.15</v>
      </c>
      <c r="E351" s="1640">
        <v>0.15</v>
      </c>
      <c r="F351" s="1640">
        <v>0.13</v>
      </c>
      <c r="G351" s="1641">
        <v>0.15</v>
      </c>
    </row>
    <row r="352" spans="1:7">
      <c r="A352" s="1650" t="s">
        <v>309</v>
      </c>
      <c r="B352" s="1639" t="s">
        <v>1768</v>
      </c>
      <c r="C352" s="1640">
        <v>0.15</v>
      </c>
      <c r="D352" s="1640">
        <v>0.15</v>
      </c>
      <c r="E352" s="1640">
        <v>0.15</v>
      </c>
      <c r="F352" s="1640">
        <v>0.14599999999999999</v>
      </c>
      <c r="G352" s="1641">
        <v>0.15</v>
      </c>
    </row>
    <row r="353" spans="1:7">
      <c r="A353" s="1650" t="s">
        <v>309</v>
      </c>
      <c r="B353" s="1639" t="s">
        <v>1775</v>
      </c>
      <c r="C353" s="1640">
        <v>0.15</v>
      </c>
      <c r="D353" s="1640">
        <v>0.15</v>
      </c>
      <c r="E353" s="1640">
        <v>0.15</v>
      </c>
      <c r="F353" s="1640">
        <v>0.14499999999999999</v>
      </c>
      <c r="G353" s="1641">
        <v>0.15</v>
      </c>
    </row>
    <row r="354" spans="1:7">
      <c r="A354" s="1650" t="s">
        <v>309</v>
      </c>
      <c r="B354" s="1639" t="s">
        <v>1782</v>
      </c>
      <c r="C354" s="1640">
        <v>0.15</v>
      </c>
      <c r="D354" s="1640">
        <v>0.15</v>
      </c>
      <c r="E354" s="1640">
        <v>0.15</v>
      </c>
      <c r="F354" s="1640">
        <v>0.14099999999999999</v>
      </c>
      <c r="G354" s="1641">
        <v>0.15</v>
      </c>
    </row>
    <row r="355" spans="1:7">
      <c r="A355" s="1650" t="s">
        <v>309</v>
      </c>
      <c r="B355" s="1639" t="s">
        <v>1789</v>
      </c>
      <c r="C355" s="1640">
        <v>0.15</v>
      </c>
      <c r="D355" s="1640">
        <v>0.15</v>
      </c>
      <c r="E355" s="1640">
        <v>0.15</v>
      </c>
      <c r="F355" s="1640">
        <v>0.15</v>
      </c>
      <c r="G355" s="1641">
        <v>0.15</v>
      </c>
    </row>
    <row r="356" spans="1:7">
      <c r="A356" s="1650" t="s">
        <v>309</v>
      </c>
      <c r="B356" s="1639" t="s">
        <v>1796</v>
      </c>
      <c r="C356" s="1640">
        <v>0.15</v>
      </c>
      <c r="D356" s="1640">
        <v>0.15</v>
      </c>
      <c r="E356" s="1640">
        <v>0.15</v>
      </c>
      <c r="F356" s="1640">
        <v>0.15</v>
      </c>
      <c r="G356" s="1641">
        <v>0.15</v>
      </c>
    </row>
    <row r="357" spans="1:7">
      <c r="A357" s="1653" t="s">
        <v>309</v>
      </c>
      <c r="B357" s="1643" t="s">
        <v>1803</v>
      </c>
      <c r="C357" s="1644">
        <v>0.126</v>
      </c>
      <c r="D357" s="1644">
        <v>0.127</v>
      </c>
      <c r="E357" s="1644">
        <v>0.14299999999999999</v>
      </c>
      <c r="F357" s="1644">
        <v>0.125</v>
      </c>
      <c r="G357" s="1646">
        <v>0.129</v>
      </c>
    </row>
    <row r="358" spans="1:7">
      <c r="A358" s="1649" t="s">
        <v>313</v>
      </c>
      <c r="B358" s="1635" t="s">
        <v>1519</v>
      </c>
      <c r="C358" s="1636">
        <v>0.15</v>
      </c>
      <c r="D358" s="1636">
        <v>0.15</v>
      </c>
      <c r="E358" s="1636">
        <v>0.15</v>
      </c>
      <c r="F358" s="1636">
        <v>0.15</v>
      </c>
      <c r="G358" s="1637">
        <v>0.15</v>
      </c>
    </row>
    <row r="359" spans="1:7">
      <c r="A359" s="1650" t="s">
        <v>313</v>
      </c>
      <c r="B359" s="1639" t="s">
        <v>1532</v>
      </c>
      <c r="C359" s="1640">
        <v>0.1</v>
      </c>
      <c r="D359" s="1640">
        <v>0.1</v>
      </c>
      <c r="E359" s="1640">
        <v>0.1</v>
      </c>
      <c r="F359" s="1640">
        <v>0.1</v>
      </c>
      <c r="G359" s="1641">
        <v>0.1</v>
      </c>
    </row>
    <row r="360" spans="1:7">
      <c r="A360" s="1650" t="s">
        <v>313</v>
      </c>
      <c r="B360" s="1639" t="s">
        <v>1545</v>
      </c>
      <c r="C360" s="1640">
        <v>0.15</v>
      </c>
      <c r="D360" s="1640">
        <v>0.15</v>
      </c>
      <c r="E360" s="1640">
        <v>0.15</v>
      </c>
      <c r="F360" s="1640">
        <v>0.14899999999999999</v>
      </c>
      <c r="G360" s="1641">
        <v>0.15</v>
      </c>
    </row>
    <row r="361" spans="1:7">
      <c r="A361" s="1650" t="s">
        <v>313</v>
      </c>
      <c r="B361" s="1639" t="s">
        <v>1557</v>
      </c>
      <c r="C361" s="1640">
        <v>0.15</v>
      </c>
      <c r="D361" s="1640">
        <v>0.15</v>
      </c>
      <c r="E361" s="1640">
        <v>0.15</v>
      </c>
      <c r="F361" s="1640">
        <v>0.115</v>
      </c>
      <c r="G361" s="1641">
        <v>0.15</v>
      </c>
    </row>
    <row r="362" spans="1:7">
      <c r="A362" s="1650" t="s">
        <v>313</v>
      </c>
      <c r="B362" s="1639" t="s">
        <v>1569</v>
      </c>
      <c r="C362" s="1640">
        <v>0.15</v>
      </c>
      <c r="D362" s="1640">
        <v>0.15</v>
      </c>
      <c r="E362" s="1640">
        <v>0.15</v>
      </c>
      <c r="F362" s="1640">
        <v>0.106</v>
      </c>
      <c r="G362" s="1641">
        <v>0.15</v>
      </c>
    </row>
    <row r="363" spans="1:7">
      <c r="A363" s="1650" t="s">
        <v>313</v>
      </c>
      <c r="B363" s="1639" t="s">
        <v>1580</v>
      </c>
      <c r="C363" s="1640">
        <v>0.15</v>
      </c>
      <c r="D363" s="1640">
        <v>0.15</v>
      </c>
      <c r="E363" s="1640">
        <v>0.15</v>
      </c>
      <c r="F363" s="1640">
        <v>0.14699999999999999</v>
      </c>
      <c r="G363" s="1641">
        <v>0.15</v>
      </c>
    </row>
    <row r="364" spans="1:7">
      <c r="A364" s="1650" t="s">
        <v>313</v>
      </c>
      <c r="B364" s="1639" t="s">
        <v>1591</v>
      </c>
      <c r="C364" s="1640">
        <v>0.15</v>
      </c>
      <c r="D364" s="1640">
        <v>0.15</v>
      </c>
      <c r="E364" s="1640">
        <v>0.15</v>
      </c>
      <c r="F364" s="1640">
        <v>0.14799999999999999</v>
      </c>
      <c r="G364" s="1641">
        <v>0.15</v>
      </c>
    </row>
    <row r="365" spans="1:7">
      <c r="A365" s="1650" t="s">
        <v>313</v>
      </c>
      <c r="B365" s="1639" t="s">
        <v>1602</v>
      </c>
      <c r="C365" s="1640">
        <v>0.15</v>
      </c>
      <c r="D365" s="1640">
        <v>0.15</v>
      </c>
      <c r="E365" s="1640">
        <v>0.15</v>
      </c>
      <c r="F365" s="1640">
        <v>0.15</v>
      </c>
      <c r="G365" s="1641">
        <v>0.15</v>
      </c>
    </row>
    <row r="366" spans="1:7">
      <c r="A366" s="1650" t="s">
        <v>313</v>
      </c>
      <c r="B366" s="1639" t="s">
        <v>1612</v>
      </c>
      <c r="C366" s="1640">
        <v>0.15</v>
      </c>
      <c r="D366" s="1640">
        <v>0.15</v>
      </c>
      <c r="E366" s="1640">
        <v>0.15</v>
      </c>
      <c r="F366" s="1640">
        <v>0.15</v>
      </c>
      <c r="G366" s="1641">
        <v>0.15</v>
      </c>
    </row>
    <row r="367" spans="1:7">
      <c r="A367" s="1650" t="s">
        <v>313</v>
      </c>
      <c r="B367" s="1639" t="s">
        <v>1622</v>
      </c>
      <c r="C367" s="1640">
        <v>0.15</v>
      </c>
      <c r="D367" s="1640">
        <v>0.15</v>
      </c>
      <c r="E367" s="1640">
        <v>0.15</v>
      </c>
      <c r="F367" s="1640">
        <v>0.14699999999999999</v>
      </c>
      <c r="G367" s="1641">
        <v>0.15</v>
      </c>
    </row>
    <row r="368" spans="1:7">
      <c r="A368" s="1650" t="s">
        <v>313</v>
      </c>
      <c r="B368" s="1639" t="s">
        <v>1632</v>
      </c>
      <c r="C368" s="1640">
        <v>0.15</v>
      </c>
      <c r="D368" s="1640">
        <v>0.15</v>
      </c>
      <c r="E368" s="1640">
        <v>0.15</v>
      </c>
      <c r="F368" s="1640">
        <v>0.13600000000000001</v>
      </c>
      <c r="G368" s="1641">
        <v>0.15</v>
      </c>
    </row>
    <row r="369" spans="1:7">
      <c r="A369" s="1650" t="s">
        <v>313</v>
      </c>
      <c r="B369" s="1639" t="s">
        <v>1642</v>
      </c>
      <c r="C369" s="1640">
        <v>0.15</v>
      </c>
      <c r="D369" s="1640">
        <v>0.15</v>
      </c>
      <c r="E369" s="1640">
        <v>0.15</v>
      </c>
      <c r="F369" s="1640">
        <v>0.14399999999999999</v>
      </c>
      <c r="G369" s="1641">
        <v>0.15</v>
      </c>
    </row>
    <row r="370" spans="1:7">
      <c r="A370" s="1650" t="s">
        <v>313</v>
      </c>
      <c r="B370" s="1639" t="s">
        <v>1652</v>
      </c>
      <c r="C370" s="1640">
        <v>0.15</v>
      </c>
      <c r="D370" s="1640">
        <v>0.15</v>
      </c>
      <c r="E370" s="1640">
        <v>0.15</v>
      </c>
      <c r="F370" s="1640">
        <v>0.14599999999999999</v>
      </c>
      <c r="G370" s="1641">
        <v>0.15</v>
      </c>
    </row>
    <row r="371" spans="1:7">
      <c r="A371" s="1650" t="s">
        <v>313</v>
      </c>
      <c r="B371" s="1639" t="s">
        <v>1662</v>
      </c>
      <c r="C371" s="1640">
        <v>0.15</v>
      </c>
      <c r="D371" s="1640">
        <v>0.15</v>
      </c>
      <c r="E371" s="1640">
        <v>0.15</v>
      </c>
      <c r="F371" s="1640">
        <v>0.12</v>
      </c>
      <c r="G371" s="1641">
        <v>0.15</v>
      </c>
    </row>
    <row r="372" spans="1:7">
      <c r="A372" s="1650" t="s">
        <v>313</v>
      </c>
      <c r="B372" s="1639" t="s">
        <v>1672</v>
      </c>
      <c r="C372" s="1640">
        <v>0.15</v>
      </c>
      <c r="D372" s="1640">
        <v>0.15</v>
      </c>
      <c r="E372" s="1640">
        <v>0.15</v>
      </c>
      <c r="F372" s="1640">
        <v>0.14299999999999999</v>
      </c>
      <c r="G372" s="1641">
        <v>0.15</v>
      </c>
    </row>
    <row r="373" spans="1:7">
      <c r="A373" s="1650" t="s">
        <v>313</v>
      </c>
      <c r="B373" s="1639" t="s">
        <v>1682</v>
      </c>
      <c r="C373" s="1640">
        <v>0.15</v>
      </c>
      <c r="D373" s="1640">
        <v>0.15</v>
      </c>
      <c r="E373" s="1640">
        <v>0.15</v>
      </c>
      <c r="F373" s="1640">
        <v>0.14599999999999999</v>
      </c>
      <c r="G373" s="1641">
        <v>0.15</v>
      </c>
    </row>
    <row r="374" spans="1:7">
      <c r="A374" s="1650" t="s">
        <v>313</v>
      </c>
      <c r="B374" s="1639" t="s">
        <v>1692</v>
      </c>
      <c r="C374" s="1640">
        <v>0.15</v>
      </c>
      <c r="D374" s="1640">
        <v>0.15</v>
      </c>
      <c r="E374" s="1640">
        <v>0.15</v>
      </c>
      <c r="F374" s="1640">
        <v>0.14399999999999999</v>
      </c>
      <c r="G374" s="1641">
        <v>0.15</v>
      </c>
    </row>
    <row r="375" spans="1:7">
      <c r="A375" s="1650" t="s">
        <v>313</v>
      </c>
      <c r="B375" s="1639" t="s">
        <v>1702</v>
      </c>
      <c r="C375" s="1640">
        <v>0.15</v>
      </c>
      <c r="D375" s="1640">
        <v>0.15</v>
      </c>
      <c r="E375" s="1640">
        <v>0.15</v>
      </c>
      <c r="F375" s="1640">
        <v>0.13</v>
      </c>
      <c r="G375" s="1641">
        <v>0.15</v>
      </c>
    </row>
    <row r="376" spans="1:7">
      <c r="A376" s="1650" t="s">
        <v>313</v>
      </c>
      <c r="B376" s="1639" t="s">
        <v>1712</v>
      </c>
      <c r="C376" s="1640">
        <v>0.15</v>
      </c>
      <c r="D376" s="1640">
        <v>0.15</v>
      </c>
      <c r="E376" s="1640">
        <v>0.15</v>
      </c>
      <c r="F376" s="1640">
        <v>0.14199999999999999</v>
      </c>
      <c r="G376" s="1641">
        <v>0.15</v>
      </c>
    </row>
    <row r="377" spans="1:7">
      <c r="A377" s="1653" t="s">
        <v>313</v>
      </c>
      <c r="B377" s="1643" t="s">
        <v>1722</v>
      </c>
      <c r="C377" s="1644">
        <v>0.15</v>
      </c>
      <c r="D377" s="1644">
        <v>0.15</v>
      </c>
      <c r="E377" s="1644">
        <v>0.15</v>
      </c>
      <c r="F377" s="1644">
        <v>0.14000000000000001</v>
      </c>
      <c r="G377" s="1646">
        <v>0.15</v>
      </c>
    </row>
    <row r="378" spans="1:7">
      <c r="A378" s="1649" t="s">
        <v>317</v>
      </c>
      <c r="B378" s="1635" t="s">
        <v>1520</v>
      </c>
      <c r="C378" s="1636">
        <v>0.15</v>
      </c>
      <c r="D378" s="1636">
        <v>0.15</v>
      </c>
      <c r="E378" s="1636">
        <v>0.15</v>
      </c>
      <c r="F378" s="1636">
        <v>0.107</v>
      </c>
      <c r="G378" s="1637">
        <v>0.15</v>
      </c>
    </row>
    <row r="379" spans="1:7">
      <c r="A379" s="1650" t="s">
        <v>317</v>
      </c>
      <c r="B379" s="1639" t="s">
        <v>1533</v>
      </c>
      <c r="C379" s="1640">
        <v>0.15</v>
      </c>
      <c r="D379" s="1640">
        <v>0.15</v>
      </c>
      <c r="E379" s="1640">
        <v>0.15</v>
      </c>
      <c r="F379" s="1640">
        <v>0.115</v>
      </c>
      <c r="G379" s="1641">
        <v>0.14899999999999999</v>
      </c>
    </row>
    <row r="380" spans="1:7">
      <c r="A380" s="1650" t="s">
        <v>317</v>
      </c>
      <c r="B380" s="1639" t="s">
        <v>1546</v>
      </c>
      <c r="C380" s="1640">
        <v>0.15</v>
      </c>
      <c r="D380" s="1640">
        <v>0.15</v>
      </c>
      <c r="E380" s="1640">
        <v>0.15</v>
      </c>
      <c r="F380" s="1640">
        <v>0.1</v>
      </c>
      <c r="G380" s="1641">
        <v>0.14799999999999999</v>
      </c>
    </row>
    <row r="381" spans="1:7">
      <c r="A381" s="1650" t="s">
        <v>317</v>
      </c>
      <c r="B381" s="1639" t="s">
        <v>1558</v>
      </c>
      <c r="C381" s="1640">
        <v>0.15</v>
      </c>
      <c r="D381" s="1640">
        <v>0.15</v>
      </c>
      <c r="E381" s="1640">
        <v>0.15</v>
      </c>
      <c r="F381" s="1640">
        <v>0.126</v>
      </c>
      <c r="G381" s="1641">
        <v>0.15</v>
      </c>
    </row>
    <row r="382" spans="1:7">
      <c r="A382" s="1650" t="s">
        <v>317</v>
      </c>
      <c r="B382" s="1639" t="s">
        <v>1570</v>
      </c>
      <c r="C382" s="1640">
        <v>0.15</v>
      </c>
      <c r="D382" s="1640">
        <v>0.15</v>
      </c>
      <c r="E382" s="1640">
        <v>0.15</v>
      </c>
      <c r="F382" s="1640">
        <v>0.15</v>
      </c>
      <c r="G382" s="1641">
        <v>0.15</v>
      </c>
    </row>
    <row r="383" spans="1:7">
      <c r="A383" s="1650" t="s">
        <v>317</v>
      </c>
      <c r="B383" s="1639" t="s">
        <v>1581</v>
      </c>
      <c r="C383" s="1640">
        <v>0.15</v>
      </c>
      <c r="D383" s="1640">
        <v>0.15</v>
      </c>
      <c r="E383" s="1640">
        <v>0.15</v>
      </c>
      <c r="F383" s="1640">
        <v>0.14699999999999999</v>
      </c>
      <c r="G383" s="1641">
        <v>0.15</v>
      </c>
    </row>
    <row r="384" spans="1:7">
      <c r="A384" s="1660" t="s">
        <v>317</v>
      </c>
      <c r="B384" s="1661" t="s">
        <v>1592</v>
      </c>
      <c r="C384" s="1662">
        <v>0.15</v>
      </c>
      <c r="D384" s="1662">
        <v>0.15</v>
      </c>
      <c r="E384" s="1662">
        <v>0.15</v>
      </c>
      <c r="F384" s="1662">
        <v>0.15</v>
      </c>
      <c r="G384" s="1663">
        <v>0.15</v>
      </c>
    </row>
  </sheetData>
  <sheetProtection password="CEE9" sheet="1" objects="1" scenarios="1"/>
  <mergeCells count="1">
    <mergeCell ref="A1:B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1"/>
    <col min="2" max="6" width="9" style="1511" customWidth="1"/>
    <col min="7" max="7" width="9" style="1512" customWidth="1"/>
    <col min="8" max="12" width="9" style="1511" customWidth="1"/>
    <col min="13" max="13" width="2.25" style="1511" customWidth="1"/>
    <col min="14" max="14" width="9" style="1512" customWidth="1"/>
    <col min="15" max="17" width="9" style="1511" customWidth="1"/>
    <col min="18" max="18" width="2.375" style="1511" customWidth="1"/>
    <col min="19" max="19" width="7.125" style="1512" customWidth="1"/>
    <col min="20" max="22" width="7.125" style="1511" customWidth="1"/>
    <col min="23" max="23" width="24" style="1511" customWidth="1"/>
    <col min="24" max="25" width="9" style="1511"/>
    <col min="26" max="27" width="11.625" style="1511" customWidth="1"/>
    <col min="28" max="28" width="9" style="1511"/>
    <col min="29" max="29" width="2" style="1511" customWidth="1"/>
    <col min="30" max="16384" width="9" style="1511"/>
  </cols>
  <sheetData>
    <row r="1" spans="1:34" s="1503" customFormat="1">
      <c r="B1" s="3932" t="s">
        <v>1901</v>
      </c>
      <c r="C1" s="3932"/>
      <c r="D1" s="3932"/>
      <c r="E1" s="3932"/>
      <c r="F1" s="3932"/>
      <c r="G1" s="3933" t="s">
        <v>1902</v>
      </c>
      <c r="H1" s="3933"/>
      <c r="I1" s="3933"/>
      <c r="J1" s="3933"/>
      <c r="K1" s="3933"/>
      <c r="L1" s="3933"/>
      <c r="N1" s="3933" t="s">
        <v>1903</v>
      </c>
      <c r="O1" s="3933"/>
      <c r="P1" s="3933"/>
      <c r="Q1" s="3933"/>
      <c r="S1" s="3933" t="s">
        <v>1904</v>
      </c>
      <c r="T1" s="3933"/>
      <c r="U1" s="3933"/>
      <c r="V1" s="3933"/>
      <c r="X1" s="3934" t="s">
        <v>1905</v>
      </c>
      <c r="Y1" s="3933"/>
      <c r="Z1" s="3933"/>
      <c r="AA1" s="3933"/>
      <c r="AB1" s="3933"/>
      <c r="AD1" s="3934" t="s">
        <v>1906</v>
      </c>
      <c r="AE1" s="3933"/>
      <c r="AF1" s="3933"/>
      <c r="AG1" s="3933"/>
      <c r="AH1" s="3933"/>
    </row>
    <row r="2" spans="1:34" s="1504" customFormat="1" ht="13.5">
      <c r="B2" s="1513" t="s">
        <v>1065</v>
      </c>
      <c r="C2" s="1513" t="s">
        <v>1907</v>
      </c>
      <c r="D2" s="1514" t="s">
        <v>436</v>
      </c>
      <c r="E2" s="1514" t="s">
        <v>402</v>
      </c>
      <c r="F2" s="1513" t="s">
        <v>1908</v>
      </c>
      <c r="G2" s="1515"/>
      <c r="I2" s="1513" t="s">
        <v>1065</v>
      </c>
      <c r="J2" s="1514" t="s">
        <v>1285</v>
      </c>
      <c r="K2" s="1514" t="s">
        <v>402</v>
      </c>
      <c r="L2" s="1513" t="s">
        <v>1908</v>
      </c>
      <c r="N2" s="1513" t="s">
        <v>1065</v>
      </c>
      <c r="O2" s="1514" t="s">
        <v>1285</v>
      </c>
      <c r="P2" s="1514" t="s">
        <v>402</v>
      </c>
      <c r="Q2" s="1513" t="s">
        <v>1908</v>
      </c>
      <c r="S2" s="1513" t="s">
        <v>1065</v>
      </c>
      <c r="T2" s="1514" t="s">
        <v>1285</v>
      </c>
      <c r="U2" s="1514" t="s">
        <v>402</v>
      </c>
      <c r="V2" s="1513" t="s">
        <v>1908</v>
      </c>
      <c r="X2" s="1513" t="s">
        <v>1065</v>
      </c>
      <c r="Y2" s="1513" t="s">
        <v>1907</v>
      </c>
      <c r="Z2" s="1514" t="s">
        <v>436</v>
      </c>
      <c r="AA2" s="1514" t="s">
        <v>402</v>
      </c>
      <c r="AB2" s="1513" t="s">
        <v>1908</v>
      </c>
      <c r="AD2" s="1513" t="s">
        <v>1065</v>
      </c>
      <c r="AE2" s="1513" t="s">
        <v>1907</v>
      </c>
      <c r="AF2" s="1514" t="s">
        <v>436</v>
      </c>
      <c r="AG2" s="1514" t="s">
        <v>402</v>
      </c>
      <c r="AH2" s="1513" t="s">
        <v>1908</v>
      </c>
    </row>
    <row r="3" spans="1:34" s="1505" customFormat="1" ht="14.25">
      <c r="A3" s="1516" t="s">
        <v>1909</v>
      </c>
      <c r="B3" s="1517"/>
      <c r="C3" s="1517"/>
      <c r="D3" s="1518"/>
      <c r="E3" s="1518"/>
      <c r="F3" s="1517"/>
      <c r="G3" s="1519"/>
      <c r="H3" s="1520"/>
      <c r="I3" s="1548">
        <f>ROUND(AVERAGE($I4:$I41),2)</f>
        <v>1.47</v>
      </c>
      <c r="J3" s="1548">
        <f>ROUND(AVERAGE($J4:$J41),2)</f>
        <v>0.92</v>
      </c>
      <c r="K3" s="1548">
        <f>ROUND(AVERAGE($K4:$K41),2)</f>
        <v>1.61</v>
      </c>
      <c r="L3" s="1548">
        <f>ROUND(AVERAGE($L4:$L41),2)</f>
        <v>1.07</v>
      </c>
      <c r="N3" s="1519"/>
      <c r="S3" s="1519"/>
      <c r="W3" s="1569"/>
      <c r="X3" s="1570">
        <f>ROUND(SUMPRODUCT(PRODUCT(1+N3:N$40)),4)</f>
        <v>1.6585000000000001</v>
      </c>
      <c r="Y3" s="1570">
        <f>ROUND(SUMPRODUCT(PRODUCT(1+O3:O$40)),4)</f>
        <v>1.3676999999999999</v>
      </c>
      <c r="Z3" s="1570">
        <f>Y3</f>
        <v>1.3676999999999999</v>
      </c>
      <c r="AA3" s="1570">
        <f>ROUND(SUMPRODUCT(PRODUCT(1+P3:P$40)),4)</f>
        <v>1.7434000000000001</v>
      </c>
      <c r="AB3" s="1570">
        <f>ROUND(SUMPRODUCT(PRODUCT(1+Q3:Q$40)),4)</f>
        <v>1.4609000000000001</v>
      </c>
      <c r="AD3" s="1582">
        <f>ROUND(AVERAGE(I3:I$41)/100,4)</f>
        <v>1.47E-2</v>
      </c>
      <c r="AE3" s="1582">
        <f>ROUND(AVERAGE(J3:J$41)/100,4)</f>
        <v>9.1999999999999998E-3</v>
      </c>
      <c r="AF3" s="1582">
        <f>AE3</f>
        <v>9.1999999999999998E-3</v>
      </c>
      <c r="AG3" s="1582">
        <f>ROUND(AVERAGE(K3:K$41)/100,4)</f>
        <v>1.61E-2</v>
      </c>
      <c r="AH3" s="1582">
        <f>ROUND(AVERAGE(L3:L$41)/100,4)</f>
        <v>1.0699999999999999E-2</v>
      </c>
    </row>
    <row r="4" spans="1:34" s="1506" customFormat="1" ht="14.25">
      <c r="B4" s="1521"/>
      <c r="C4" s="1521"/>
      <c r="D4" s="1522"/>
      <c r="E4" s="1522"/>
      <c r="F4" s="1521"/>
      <c r="G4" s="1523"/>
      <c r="H4" s="1524"/>
      <c r="I4" s="1549"/>
      <c r="J4" s="1549"/>
      <c r="K4" s="1549"/>
      <c r="L4" s="1549"/>
      <c r="N4" s="1523"/>
      <c r="S4" s="1523"/>
      <c r="W4" s="1571"/>
      <c r="X4" s="1511"/>
      <c r="Y4" s="1511"/>
      <c r="Z4" s="1511"/>
      <c r="AA4" s="1511"/>
      <c r="AB4" s="1511"/>
      <c r="AD4" s="1553"/>
      <c r="AE4" s="1553"/>
      <c r="AF4" s="1553"/>
      <c r="AG4" s="1553"/>
      <c r="AH4" s="1553"/>
    </row>
    <row r="5" spans="1:34" s="1507" customFormat="1">
      <c r="A5" s="1525" t="s">
        <v>1910</v>
      </c>
      <c r="B5" s="1526">
        <f t="shared" ref="B5:B19" si="0">B6*(1+N5)</f>
        <v>510.070896595546</v>
      </c>
      <c r="C5" s="1526">
        <f t="shared" ref="C5:C19" si="1">C6*(1+O5)</f>
        <v>352.55593185737399</v>
      </c>
      <c r="D5" s="1526">
        <f t="shared" ref="D5:D24" si="2">C5</f>
        <v>352.55593185737399</v>
      </c>
      <c r="E5" s="1526">
        <f t="shared" ref="E5:E25" si="3">E6*(1+P5)</f>
        <v>737.279924634037</v>
      </c>
      <c r="F5" s="1526">
        <f t="shared" ref="F5:F25" si="4">F6*(1+Q5)</f>
        <v>335.88319198297899</v>
      </c>
      <c r="G5" s="1523">
        <v>2023</v>
      </c>
      <c r="H5" s="1527">
        <v>1</v>
      </c>
      <c r="I5" s="1550">
        <v>0</v>
      </c>
      <c r="J5" s="1550">
        <v>0</v>
      </c>
      <c r="K5" s="1550">
        <v>0</v>
      </c>
      <c r="L5" s="1551">
        <v>0</v>
      </c>
      <c r="M5" s="1511"/>
      <c r="N5" s="1552">
        <f t="shared" ref="N5:N24" si="5">I5/100</f>
        <v>0</v>
      </c>
      <c r="O5" s="1553">
        <f t="shared" ref="O5:O24" si="6">J5/100</f>
        <v>0</v>
      </c>
      <c r="P5" s="1553">
        <f t="shared" ref="P5:P24" si="7">K5/100</f>
        <v>0</v>
      </c>
      <c r="Q5" s="1553">
        <f t="shared" ref="Q5:Q24" si="8">L5/100</f>
        <v>0</v>
      </c>
      <c r="R5" s="1572"/>
      <c r="S5" s="1560">
        <f>B5/B6-1</f>
        <v>0</v>
      </c>
      <c r="T5" s="1561">
        <f>C5/C6-1</f>
        <v>0</v>
      </c>
      <c r="U5" s="1561">
        <f>E5/E6-1</f>
        <v>0</v>
      </c>
      <c r="V5" s="1561">
        <f>F5/F6-1</f>
        <v>0</v>
      </c>
      <c r="W5" s="1511"/>
      <c r="X5" s="1511">
        <f>ROUND(IF(项目基本情况!B8="出让",SUMPRODUCT(PRODUCT(1+N5:N$41)),SUMPRODUCT(PRODUCT(1+N5:N$40))),4)</f>
        <v>1.6585000000000001</v>
      </c>
      <c r="Y5" s="1511">
        <f>ROUND(IF(项目基本情况!B8="出让",SUMPRODUCT(PRODUCT(1+O5:O$41)),SUMPRODUCT(PRODUCT(1+O5:O$40))),4)</f>
        <v>1.3676999999999999</v>
      </c>
      <c r="Z5" s="1511">
        <f t="shared" ref="Z5:Z40" si="9">Y5</f>
        <v>1.3676999999999999</v>
      </c>
      <c r="AA5" s="1511">
        <f>ROUND(IF(项目基本情况!B8="出让",SUMPRODUCT(PRODUCT(1+P5:P$41)),SUMPRODUCT(PRODUCT(1+P5:P$40))),4)</f>
        <v>1.7434000000000001</v>
      </c>
      <c r="AB5" s="1511">
        <f>ROUND(IF(项目基本情况!B8="出让",SUMPRODUCT(PRODUCT(1+Q5:Q$41)),SUMPRODUCT(PRODUCT(1+Q5:Q$40))),4)</f>
        <v>1.4609000000000001</v>
      </c>
      <c r="AC5" s="1511"/>
      <c r="AD5" s="1553">
        <f>ROUND(AVERAGE(I5:I$41)/100,4)</f>
        <v>1.47E-2</v>
      </c>
      <c r="AE5" s="1553">
        <f>ROUND(AVERAGE(J5:J$41)/100,4)</f>
        <v>9.1999999999999998E-3</v>
      </c>
      <c r="AF5" s="1553">
        <f t="shared" ref="AF5:AF41" si="10">AE5</f>
        <v>9.1999999999999998E-3</v>
      </c>
      <c r="AG5" s="1553">
        <f>ROUND(AVERAGE(K5:K$41)/100,4)</f>
        <v>1.61E-2</v>
      </c>
      <c r="AH5" s="1553">
        <f>ROUND(AVERAGE(L5:L$41)/100,4)</f>
        <v>1.0699999999999999E-2</v>
      </c>
    </row>
    <row r="6" spans="1:34" s="1507" customFormat="1">
      <c r="A6" s="1525" t="s">
        <v>1911</v>
      </c>
      <c r="B6" s="1526">
        <f t="shared" si="0"/>
        <v>510.070896595546</v>
      </c>
      <c r="C6" s="1526">
        <f t="shared" si="1"/>
        <v>352.55593185737399</v>
      </c>
      <c r="D6" s="1526">
        <f t="shared" si="2"/>
        <v>352.55593185737399</v>
      </c>
      <c r="E6" s="1526">
        <f t="shared" si="3"/>
        <v>737.279924634037</v>
      </c>
      <c r="F6" s="1526">
        <f t="shared" si="4"/>
        <v>335.88319198297899</v>
      </c>
      <c r="G6" s="1523">
        <v>2022</v>
      </c>
      <c r="H6" s="1527">
        <v>4</v>
      </c>
      <c r="I6" s="1550">
        <v>0</v>
      </c>
      <c r="J6" s="1550">
        <v>0</v>
      </c>
      <c r="K6" s="1550">
        <v>0</v>
      </c>
      <c r="L6" s="1551">
        <v>0</v>
      </c>
      <c r="M6" s="1511"/>
      <c r="N6" s="1552">
        <f t="shared" si="5"/>
        <v>0</v>
      </c>
      <c r="O6" s="1553">
        <f t="shared" si="6"/>
        <v>0</v>
      </c>
      <c r="P6" s="1553">
        <f t="shared" si="7"/>
        <v>0</v>
      </c>
      <c r="Q6" s="1553">
        <f t="shared" si="8"/>
        <v>0</v>
      </c>
      <c r="R6" s="1572"/>
      <c r="S6" s="1560"/>
      <c r="T6" s="1561"/>
      <c r="U6" s="1561"/>
      <c r="V6" s="1561"/>
      <c r="W6" s="1511"/>
      <c r="X6" s="1511">
        <f>ROUND(IF(项目基本情况!B8="出让",SUMPRODUCT(PRODUCT(1+N6:N$41)),SUMPRODUCT(PRODUCT(1+N6:N$40))),4)</f>
        <v>1.6585000000000001</v>
      </c>
      <c r="Y6" s="1511">
        <f>ROUND(IF(项目基本情况!B8="出让",SUMPRODUCT(PRODUCT(1+O6:O$41)),SUMPRODUCT(PRODUCT(1+O6:O$40))),4)</f>
        <v>1.3676999999999999</v>
      </c>
      <c r="Z6" s="1511">
        <f t="shared" si="9"/>
        <v>1.3676999999999999</v>
      </c>
      <c r="AA6" s="1511">
        <f>ROUND(IF(项目基本情况!B8="出让",SUMPRODUCT(PRODUCT(1+P6:P$41)),SUMPRODUCT(PRODUCT(1+P6:P$40))),4)</f>
        <v>1.7434000000000001</v>
      </c>
      <c r="AB6" s="1511">
        <f>ROUND(IF(项目基本情况!B8="出让",SUMPRODUCT(PRODUCT(1+Q6:Q$41)),SUMPRODUCT(PRODUCT(1+Q6:Q$40))),4)</f>
        <v>1.4609000000000001</v>
      </c>
      <c r="AC6" s="1511"/>
      <c r="AD6" s="1553">
        <f>ROUND(AVERAGE(I6:I$41)/100,4)</f>
        <v>1.5100000000000001E-2</v>
      </c>
      <c r="AE6" s="1553">
        <f>ROUND(AVERAGE(J6:J$41)/100,4)</f>
        <v>9.4000000000000004E-3</v>
      </c>
      <c r="AF6" s="1553">
        <f t="shared" si="10"/>
        <v>9.4000000000000004E-3</v>
      </c>
      <c r="AG6" s="1553">
        <f>ROUND(AVERAGE(K6:K$41)/100,4)</f>
        <v>1.66E-2</v>
      </c>
      <c r="AH6" s="1553">
        <f>ROUND(AVERAGE(L6:L$41)/100,4)</f>
        <v>1.0999999999999999E-2</v>
      </c>
    </row>
    <row r="7" spans="1:34" s="1507" customFormat="1">
      <c r="A7" s="1525" t="s">
        <v>1912</v>
      </c>
      <c r="B7" s="1526">
        <f t="shared" si="0"/>
        <v>510.070896595546</v>
      </c>
      <c r="C7" s="1526">
        <f t="shared" si="1"/>
        <v>352.55593185737399</v>
      </c>
      <c r="D7" s="1526">
        <f t="shared" si="2"/>
        <v>352.55593185737399</v>
      </c>
      <c r="E7" s="1526">
        <f t="shared" si="3"/>
        <v>737.279924634037</v>
      </c>
      <c r="F7" s="1526">
        <f t="shared" si="4"/>
        <v>335.88319198297899</v>
      </c>
      <c r="G7" s="1523">
        <v>2022</v>
      </c>
      <c r="H7" s="1527">
        <v>3</v>
      </c>
      <c r="I7" s="1550">
        <v>0</v>
      </c>
      <c r="J7" s="1550">
        <v>0</v>
      </c>
      <c r="K7" s="1550">
        <v>0</v>
      </c>
      <c r="L7" s="1551">
        <v>0</v>
      </c>
      <c r="M7" s="1511"/>
      <c r="N7" s="1552">
        <f t="shared" si="5"/>
        <v>0</v>
      </c>
      <c r="O7" s="1553">
        <f t="shared" si="6"/>
        <v>0</v>
      </c>
      <c r="P7" s="1553">
        <f t="shared" si="7"/>
        <v>0</v>
      </c>
      <c r="Q7" s="1553">
        <f t="shared" si="8"/>
        <v>0</v>
      </c>
      <c r="R7" s="1572"/>
      <c r="S7" s="1560"/>
      <c r="T7" s="1561"/>
      <c r="U7" s="1561"/>
      <c r="V7" s="1561"/>
      <c r="W7" s="1511"/>
      <c r="X7" s="1511">
        <f>ROUND(IF(项目基本情况!B8="出让",SUMPRODUCT(PRODUCT(1+N7:N$41)),SUMPRODUCT(PRODUCT(1+N7:N$40))),4)</f>
        <v>1.6585000000000001</v>
      </c>
      <c r="Y7" s="1511">
        <f>ROUND(IF(项目基本情况!B8="出让",SUMPRODUCT(PRODUCT(1+O7:O$41)),SUMPRODUCT(PRODUCT(1+O7:O$40))),4)</f>
        <v>1.3676999999999999</v>
      </c>
      <c r="Z7" s="1511">
        <f t="shared" si="9"/>
        <v>1.3676999999999999</v>
      </c>
      <c r="AA7" s="1511">
        <f>ROUND(IF(项目基本情况!B8="出让",SUMPRODUCT(PRODUCT(1+P7:P$41)),SUMPRODUCT(PRODUCT(1+P7:P$40))),4)</f>
        <v>1.7434000000000001</v>
      </c>
      <c r="AB7" s="1511">
        <f>ROUND(IF(项目基本情况!B8="出让",SUMPRODUCT(PRODUCT(1+Q7:Q$41)),SUMPRODUCT(PRODUCT(1+Q7:Q$40))),4)</f>
        <v>1.4609000000000001</v>
      </c>
      <c r="AC7" s="1511"/>
      <c r="AD7" s="1553">
        <f>ROUND(AVERAGE(I7:I$41)/100,4)</f>
        <v>1.55E-2</v>
      </c>
      <c r="AE7" s="1553">
        <f>ROUND(AVERAGE(J7:J$41)/100,4)</f>
        <v>9.7000000000000003E-3</v>
      </c>
      <c r="AF7" s="1553">
        <f t="shared" si="10"/>
        <v>9.7000000000000003E-3</v>
      </c>
      <c r="AG7" s="1553">
        <f>ROUND(AVERAGE(K7:K$41)/100,4)</f>
        <v>1.7100000000000001E-2</v>
      </c>
      <c r="AH7" s="1553">
        <f>ROUND(AVERAGE(L7:L$41)/100,4)</f>
        <v>1.1299999999999999E-2</v>
      </c>
    </row>
    <row r="8" spans="1:34" s="1507" customFormat="1">
      <c r="A8" s="1525" t="s">
        <v>1913</v>
      </c>
      <c r="B8" s="1526">
        <f t="shared" si="0"/>
        <v>510.070896595546</v>
      </c>
      <c r="C8" s="1526">
        <f t="shared" si="1"/>
        <v>352.55593185737399</v>
      </c>
      <c r="D8" s="1526">
        <f t="shared" si="2"/>
        <v>352.55593185737399</v>
      </c>
      <c r="E8" s="1526">
        <f t="shared" si="3"/>
        <v>737.279924634037</v>
      </c>
      <c r="F8" s="1526">
        <f t="shared" si="4"/>
        <v>335.88319198297899</v>
      </c>
      <c r="G8" s="1523">
        <v>2022</v>
      </c>
      <c r="H8" s="1527">
        <v>2</v>
      </c>
      <c r="I8" s="1550">
        <v>0</v>
      </c>
      <c r="J8" s="1550">
        <v>0</v>
      </c>
      <c r="K8" s="1550">
        <v>0</v>
      </c>
      <c r="L8" s="1551">
        <v>0</v>
      </c>
      <c r="M8" s="1511"/>
      <c r="N8" s="1552">
        <f t="shared" si="5"/>
        <v>0</v>
      </c>
      <c r="O8" s="1553">
        <f t="shared" si="6"/>
        <v>0</v>
      </c>
      <c r="P8" s="1553">
        <f t="shared" si="7"/>
        <v>0</v>
      </c>
      <c r="Q8" s="1553">
        <f t="shared" si="8"/>
        <v>0</v>
      </c>
      <c r="R8" s="1572"/>
      <c r="S8" s="1560"/>
      <c r="T8" s="1561"/>
      <c r="U8" s="1561"/>
      <c r="V8" s="1561"/>
      <c r="W8" s="1511"/>
      <c r="X8" s="1511">
        <f>ROUND(IF(项目基本情况!B8="出让",SUMPRODUCT(PRODUCT(1+N8:N$41)),SUMPRODUCT(PRODUCT(1+N8:N$40))),4)</f>
        <v>1.6585000000000001</v>
      </c>
      <c r="Y8" s="1511">
        <f>ROUND(IF(项目基本情况!B8="出让",SUMPRODUCT(PRODUCT(1+O8:O$41)),SUMPRODUCT(PRODUCT(1+O8:O$40))),4)</f>
        <v>1.3676999999999999</v>
      </c>
      <c r="Z8" s="1511">
        <f t="shared" si="9"/>
        <v>1.3676999999999999</v>
      </c>
      <c r="AA8" s="1511">
        <f>ROUND(IF(项目基本情况!B8="出让",SUMPRODUCT(PRODUCT(1+P8:P$41)),SUMPRODUCT(PRODUCT(1+P8:P$40))),4)</f>
        <v>1.7434000000000001</v>
      </c>
      <c r="AB8" s="1511">
        <f>ROUND(IF(项目基本情况!B8="出让",SUMPRODUCT(PRODUCT(1+Q8:Q$41)),SUMPRODUCT(PRODUCT(1+Q8:Q$40))),4)</f>
        <v>1.4609000000000001</v>
      </c>
      <c r="AC8" s="1511"/>
      <c r="AD8" s="1553">
        <f>ROUND(AVERAGE(I8:I$41)/100,4)</f>
        <v>1.6E-2</v>
      </c>
      <c r="AE8" s="1553">
        <f>ROUND(AVERAGE(J8:J$41)/100,4)</f>
        <v>0.01</v>
      </c>
      <c r="AF8" s="1553">
        <f t="shared" si="10"/>
        <v>0.01</v>
      </c>
      <c r="AG8" s="1553">
        <f>ROUND(AVERAGE(K8:K$41)/100,4)</f>
        <v>1.7600000000000001E-2</v>
      </c>
      <c r="AH8" s="1553">
        <f>ROUND(AVERAGE(L8:L$41)/100,4)</f>
        <v>1.1599999999999999E-2</v>
      </c>
    </row>
    <row r="9" spans="1:34" s="1507" customFormat="1">
      <c r="A9" s="1525" t="s">
        <v>1914</v>
      </c>
      <c r="B9" s="1526">
        <f t="shared" si="0"/>
        <v>510.070896595546</v>
      </c>
      <c r="C9" s="1526">
        <f t="shared" si="1"/>
        <v>352.55593185737399</v>
      </c>
      <c r="D9" s="1526">
        <f t="shared" si="2"/>
        <v>352.55593185737399</v>
      </c>
      <c r="E9" s="1526">
        <f t="shared" si="3"/>
        <v>737.279924634037</v>
      </c>
      <c r="F9" s="1526">
        <f t="shared" si="4"/>
        <v>335.88319198297899</v>
      </c>
      <c r="G9" s="1523">
        <v>2022</v>
      </c>
      <c r="H9" s="1527">
        <v>1</v>
      </c>
      <c r="I9" s="1550">
        <v>0</v>
      </c>
      <c r="J9" s="1550">
        <v>0</v>
      </c>
      <c r="K9" s="1550">
        <v>0</v>
      </c>
      <c r="L9" s="1551">
        <v>0</v>
      </c>
      <c r="M9" s="1511"/>
      <c r="N9" s="1552">
        <f t="shared" si="5"/>
        <v>0</v>
      </c>
      <c r="O9" s="1553">
        <f t="shared" si="6"/>
        <v>0</v>
      </c>
      <c r="P9" s="1553">
        <f t="shared" si="7"/>
        <v>0</v>
      </c>
      <c r="Q9" s="1553">
        <f t="shared" si="8"/>
        <v>0</v>
      </c>
      <c r="R9" s="1572"/>
      <c r="S9" s="1560">
        <f>B9/B10-1</f>
        <v>0</v>
      </c>
      <c r="T9" s="1561">
        <f>C9/C10-1</f>
        <v>0</v>
      </c>
      <c r="U9" s="1561">
        <f>E9/E10-1</f>
        <v>0</v>
      </c>
      <c r="V9" s="1561">
        <f>F9/F10-1</f>
        <v>0</v>
      </c>
      <c r="W9" s="1511"/>
      <c r="X9" s="1511">
        <f>ROUND(IF(项目基本情况!B1="出让",SUMPRODUCT(PRODUCT(1+N9:N$41)),SUMPRODUCT(PRODUCT(1+N9:N$40))),4)</f>
        <v>1.6585000000000001</v>
      </c>
      <c r="Y9" s="1511">
        <f>ROUND(IF(项目基本情况!B1="出让",SUMPRODUCT(PRODUCT(1+O9:O$41)),SUMPRODUCT(PRODUCT(1+O9:O$40))),4)</f>
        <v>1.3676999999999999</v>
      </c>
      <c r="Z9" s="1511">
        <f t="shared" si="9"/>
        <v>1.3676999999999999</v>
      </c>
      <c r="AA9" s="1511">
        <f>ROUND(IF(项目基本情况!B1="出让",SUMPRODUCT(PRODUCT(1+P9:P$41)),SUMPRODUCT(PRODUCT(1+P9:P$40))),4)</f>
        <v>1.7434000000000001</v>
      </c>
      <c r="AB9" s="1511">
        <f>ROUND(IF(项目基本情况!B1="出让",SUMPRODUCT(PRODUCT(1+Q9:Q$41)),SUMPRODUCT(PRODUCT(1+Q9:Q$40))),4)</f>
        <v>1.4609000000000001</v>
      </c>
      <c r="AC9" s="1511"/>
      <c r="AD9" s="1553">
        <f>ROUND(AVERAGE(I9:I$41)/100,4)</f>
        <v>1.6400000000000001E-2</v>
      </c>
      <c r="AE9" s="1553">
        <f>ROUND(AVERAGE(J9:J$41)/100,4)</f>
        <v>1.03E-2</v>
      </c>
      <c r="AF9" s="1553">
        <f t="shared" si="10"/>
        <v>1.03E-2</v>
      </c>
      <c r="AG9" s="1553">
        <f>ROUND(AVERAGE(K9:K$41)/100,4)</f>
        <v>1.8100000000000002E-2</v>
      </c>
      <c r="AH9" s="1553">
        <f>ROUND(AVERAGE(L9:L$41)/100,4)</f>
        <v>1.2E-2</v>
      </c>
    </row>
    <row r="10" spans="1:34" s="1507" customFormat="1">
      <c r="A10" s="1525" t="s">
        <v>1915</v>
      </c>
      <c r="B10" s="1526">
        <f t="shared" si="0"/>
        <v>510.070896595546</v>
      </c>
      <c r="C10" s="1526">
        <f t="shared" si="1"/>
        <v>352.55593185737399</v>
      </c>
      <c r="D10" s="1526">
        <f t="shared" si="2"/>
        <v>352.55593185737399</v>
      </c>
      <c r="E10" s="1526">
        <f t="shared" si="3"/>
        <v>737.279924634037</v>
      </c>
      <c r="F10" s="1526">
        <f t="shared" si="4"/>
        <v>335.88319198297899</v>
      </c>
      <c r="G10" s="1523">
        <v>2021</v>
      </c>
      <c r="H10" s="1527">
        <v>4</v>
      </c>
      <c r="I10" s="1550">
        <v>1.03</v>
      </c>
      <c r="J10" s="1550">
        <v>0.24</v>
      </c>
      <c r="K10" s="1550">
        <v>1.17</v>
      </c>
      <c r="L10" s="1551">
        <v>0.55000000000000004</v>
      </c>
      <c r="M10" s="1511"/>
      <c r="N10" s="1552">
        <f t="shared" si="5"/>
        <v>1.03E-2</v>
      </c>
      <c r="O10" s="1553">
        <f t="shared" si="6"/>
        <v>2.3999999999999998E-3</v>
      </c>
      <c r="P10" s="1553">
        <f t="shared" si="7"/>
        <v>1.17E-2</v>
      </c>
      <c r="Q10" s="1553">
        <f t="shared" si="8"/>
        <v>5.4999999999999997E-3</v>
      </c>
      <c r="R10" s="1572"/>
      <c r="S10" s="1560"/>
      <c r="T10" s="1561"/>
      <c r="U10" s="1561"/>
      <c r="V10" s="1561"/>
      <c r="W10" s="1511"/>
      <c r="X10" s="1511">
        <f>ROUND(IF(项目基本情况!B2="出让",SUMPRODUCT(PRODUCT(1+N10:N$41)),SUMPRODUCT(PRODUCT(1+N10:N$40))),4)</f>
        <v>1.6585000000000001</v>
      </c>
      <c r="Y10" s="1511">
        <f>ROUND(IF(项目基本情况!B2="出让",SUMPRODUCT(PRODUCT(1+O10:O$41)),SUMPRODUCT(PRODUCT(1+O10:O$40))),4)</f>
        <v>1.3676999999999999</v>
      </c>
      <c r="Z10" s="1511">
        <f t="shared" si="9"/>
        <v>1.3676999999999999</v>
      </c>
      <c r="AA10" s="1511">
        <f>ROUND(IF(项目基本情况!B2="出让",SUMPRODUCT(PRODUCT(1+P10:P$41)),SUMPRODUCT(PRODUCT(1+P10:P$40))),4)</f>
        <v>1.7434000000000001</v>
      </c>
      <c r="AB10" s="1511">
        <f>ROUND(IF(项目基本情况!B2="出让",SUMPRODUCT(PRODUCT(1+Q10:Q$41)),SUMPRODUCT(PRODUCT(1+Q10:Q$40))),4)</f>
        <v>1.4609000000000001</v>
      </c>
      <c r="AC10" s="1511"/>
      <c r="AD10" s="1553">
        <f>ROUND(AVERAGE(I10:I$41)/100,4)</f>
        <v>1.6899999999999998E-2</v>
      </c>
      <c r="AE10" s="1553">
        <f>ROUND(AVERAGE(J10:J$41)/100,4)</f>
        <v>1.06E-2</v>
      </c>
      <c r="AF10" s="1553">
        <f t="shared" si="10"/>
        <v>1.06E-2</v>
      </c>
      <c r="AG10" s="1553">
        <f>ROUND(AVERAGE(K10:K$41)/100,4)</f>
        <v>1.8700000000000001E-2</v>
      </c>
      <c r="AH10" s="1553">
        <f>ROUND(AVERAGE(L10:L$41)/100,4)</f>
        <v>1.24E-2</v>
      </c>
    </row>
    <row r="11" spans="1:34" s="1507" customFormat="1">
      <c r="A11" s="1525" t="s">
        <v>1916</v>
      </c>
      <c r="B11" s="1526">
        <f t="shared" si="0"/>
        <v>504.87072809615597</v>
      </c>
      <c r="C11" s="1526">
        <f t="shared" si="1"/>
        <v>351.71182348102002</v>
      </c>
      <c r="D11" s="1526">
        <f t="shared" si="2"/>
        <v>351.71182348102002</v>
      </c>
      <c r="E11" s="1526">
        <f t="shared" si="3"/>
        <v>728.75350858360798</v>
      </c>
      <c r="F11" s="1526">
        <f t="shared" si="4"/>
        <v>334.04593931673702</v>
      </c>
      <c r="G11" s="1523">
        <v>2021</v>
      </c>
      <c r="H11" s="1527">
        <v>3</v>
      </c>
      <c r="I11" s="1550">
        <v>0.47</v>
      </c>
      <c r="J11" s="1550">
        <v>0.41</v>
      </c>
      <c r="K11" s="1550">
        <v>0.48</v>
      </c>
      <c r="L11" s="1551">
        <v>0.48</v>
      </c>
      <c r="M11" s="1511"/>
      <c r="N11" s="1552">
        <f t="shared" si="5"/>
        <v>4.7000000000000002E-3</v>
      </c>
      <c r="O11" s="1553">
        <f t="shared" si="6"/>
        <v>4.1000000000000003E-3</v>
      </c>
      <c r="P11" s="1553">
        <f t="shared" si="7"/>
        <v>4.7999999999999996E-3</v>
      </c>
      <c r="Q11" s="1553">
        <f t="shared" si="8"/>
        <v>4.7999999999999996E-3</v>
      </c>
      <c r="R11" s="1572"/>
      <c r="S11" s="1560"/>
      <c r="T11" s="1561"/>
      <c r="U11" s="1561"/>
      <c r="V11" s="1561"/>
      <c r="W11" s="1511"/>
      <c r="X11" s="1511">
        <f>ROUND(IF(项目基本情况!B3="出让",SUMPRODUCT(PRODUCT(1+N11:N$41)),SUMPRODUCT(PRODUCT(1+N11:N$40))),4)</f>
        <v>1.6415999999999999</v>
      </c>
      <c r="Y11" s="1511">
        <f>ROUND(IF(项目基本情况!B3="出让",SUMPRODUCT(PRODUCT(1+O11:O$41)),SUMPRODUCT(PRODUCT(1+O11:O$40))),4)</f>
        <v>1.3644000000000001</v>
      </c>
      <c r="Z11" s="1511">
        <f t="shared" si="9"/>
        <v>1.3644000000000001</v>
      </c>
      <c r="AA11" s="1511">
        <f>ROUND(IF(项目基本情况!B3="出让",SUMPRODUCT(PRODUCT(1+P11:P$41)),SUMPRODUCT(PRODUCT(1+P11:P$40))),4)</f>
        <v>1.7232000000000001</v>
      </c>
      <c r="AB11" s="1511">
        <f>ROUND(IF(项目基本情况!B3="出让",SUMPRODUCT(PRODUCT(1+Q11:Q$41)),SUMPRODUCT(PRODUCT(1+Q11:Q$40))),4)</f>
        <v>1.4529000000000001</v>
      </c>
      <c r="AC11" s="1511"/>
      <c r="AD11" s="1553">
        <f>ROUND(AVERAGE(I11:I$41)/100,4)</f>
        <v>1.72E-2</v>
      </c>
      <c r="AE11" s="1553">
        <f>ROUND(AVERAGE(J11:J$41)/100,4)</f>
        <v>1.09E-2</v>
      </c>
      <c r="AF11" s="1553">
        <f t="shared" si="10"/>
        <v>1.09E-2</v>
      </c>
      <c r="AG11" s="1553">
        <f>ROUND(AVERAGE(K11:K$41)/100,4)</f>
        <v>1.89E-2</v>
      </c>
      <c r="AH11" s="1553">
        <f>ROUND(AVERAGE(L11:L$41)/100,4)</f>
        <v>1.26E-2</v>
      </c>
    </row>
    <row r="12" spans="1:34" s="1507" customFormat="1">
      <c r="A12" s="1525" t="s">
        <v>1917</v>
      </c>
      <c r="B12" s="1526">
        <f t="shared" si="0"/>
        <v>502.508936096502</v>
      </c>
      <c r="C12" s="1526">
        <f t="shared" si="1"/>
        <v>350.27569313914898</v>
      </c>
      <c r="D12" s="1526">
        <f t="shared" si="2"/>
        <v>350.27569313914898</v>
      </c>
      <c r="E12" s="1526">
        <f t="shared" si="3"/>
        <v>725.27220201394096</v>
      </c>
      <c r="F12" s="1526">
        <f t="shared" si="4"/>
        <v>332.45017846012797</v>
      </c>
      <c r="G12" s="1523">
        <v>2021</v>
      </c>
      <c r="H12" s="1527">
        <v>2</v>
      </c>
      <c r="I12" s="1550">
        <v>0.92</v>
      </c>
      <c r="J12" s="1550">
        <v>0.72</v>
      </c>
      <c r="K12" s="1550">
        <v>0.95</v>
      </c>
      <c r="L12" s="1551">
        <v>1.01</v>
      </c>
      <c r="M12" s="1511"/>
      <c r="N12" s="1552">
        <f t="shared" si="5"/>
        <v>9.1999999999999998E-3</v>
      </c>
      <c r="O12" s="1553">
        <f t="shared" si="6"/>
        <v>7.1999999999999998E-3</v>
      </c>
      <c r="P12" s="1553">
        <f t="shared" si="7"/>
        <v>9.4999999999999998E-3</v>
      </c>
      <c r="Q12" s="1553">
        <f t="shared" si="8"/>
        <v>1.01E-2</v>
      </c>
      <c r="R12" s="1572"/>
      <c r="S12" s="1560"/>
      <c r="T12" s="1561"/>
      <c r="U12" s="1561"/>
      <c r="V12" s="1561"/>
      <c r="W12" s="1511"/>
      <c r="X12" s="1511">
        <f>ROUND(IF(项目基本情况!B4="出让",SUMPRODUCT(PRODUCT(1+N12:N$41)),SUMPRODUCT(PRODUCT(1+N12:N$40))),4)</f>
        <v>1.6338999999999999</v>
      </c>
      <c r="Y12" s="1511">
        <f>ROUND(IF(项目基本情况!B4="出让",SUMPRODUCT(PRODUCT(1+O12:O$41)),SUMPRODUCT(PRODUCT(1+O12:O$40))),4)</f>
        <v>1.3588</v>
      </c>
      <c r="Z12" s="1511">
        <f t="shared" si="9"/>
        <v>1.3588</v>
      </c>
      <c r="AA12" s="1511">
        <f>ROUND(IF(项目基本情况!B4="出让",SUMPRODUCT(PRODUCT(1+P12:P$41)),SUMPRODUCT(PRODUCT(1+P12:P$40))),4)</f>
        <v>1.7150000000000001</v>
      </c>
      <c r="AB12" s="1511">
        <f>ROUND(IF(项目基本情况!B4="出让",SUMPRODUCT(PRODUCT(1+Q12:Q$41)),SUMPRODUCT(PRODUCT(1+Q12:Q$40))),4)</f>
        <v>1.446</v>
      </c>
      <c r="AC12" s="1511"/>
      <c r="AD12" s="1553">
        <f>ROUND(AVERAGE(I12:I$41)/100,4)</f>
        <v>1.7600000000000001E-2</v>
      </c>
      <c r="AE12" s="1553">
        <f>ROUND(AVERAGE(J12:J$41)/100,4)</f>
        <v>1.11E-2</v>
      </c>
      <c r="AF12" s="1553">
        <f t="shared" si="10"/>
        <v>1.11E-2</v>
      </c>
      <c r="AG12" s="1553">
        <f>ROUND(AVERAGE(K12:K$41)/100,4)</f>
        <v>1.9400000000000001E-2</v>
      </c>
      <c r="AH12" s="1553">
        <f>ROUND(AVERAGE(L12:L$41)/100,4)</f>
        <v>1.2800000000000001E-2</v>
      </c>
    </row>
    <row r="13" spans="1:34" s="1507" customFormat="1">
      <c r="A13" s="1525" t="s">
        <v>1918</v>
      </c>
      <c r="B13" s="1526">
        <f t="shared" si="0"/>
        <v>497.927998510208</v>
      </c>
      <c r="C13" s="1526">
        <f t="shared" si="1"/>
        <v>347.771736635374</v>
      </c>
      <c r="D13" s="1526">
        <f t="shared" si="2"/>
        <v>347.771736635374</v>
      </c>
      <c r="E13" s="1526">
        <f t="shared" si="3"/>
        <v>718.446955932582</v>
      </c>
      <c r="F13" s="1526">
        <f t="shared" si="4"/>
        <v>329.12600580153202</v>
      </c>
      <c r="G13" s="1523">
        <v>2021</v>
      </c>
      <c r="H13" s="1527">
        <v>1</v>
      </c>
      <c r="I13" s="1550">
        <v>0.97</v>
      </c>
      <c r="J13" s="1550">
        <v>0.16</v>
      </c>
      <c r="K13" s="1550">
        <v>1.1100000000000001</v>
      </c>
      <c r="L13" s="1551">
        <v>0.36</v>
      </c>
      <c r="M13" s="1511"/>
      <c r="N13" s="1552">
        <f t="shared" si="5"/>
        <v>9.7000000000000003E-3</v>
      </c>
      <c r="O13" s="1553">
        <f t="shared" si="6"/>
        <v>1.6000000000000001E-3</v>
      </c>
      <c r="P13" s="1553">
        <f t="shared" si="7"/>
        <v>1.11E-2</v>
      </c>
      <c r="Q13" s="1553">
        <f t="shared" si="8"/>
        <v>3.5999999999999999E-3</v>
      </c>
      <c r="R13" s="1572"/>
      <c r="S13" s="1560">
        <f>B13/B14-1</f>
        <v>9.7000000000000402E-3</v>
      </c>
      <c r="T13" s="1561">
        <f>C13/C14-1</f>
        <v>1.6000000000000499E-3</v>
      </c>
      <c r="U13" s="1561">
        <f>E13/E14-1</f>
        <v>1.1100000000000099E-2</v>
      </c>
      <c r="V13" s="1561">
        <f>F13/F14-1</f>
        <v>3.6000000000000502E-3</v>
      </c>
      <c r="W13" s="1511"/>
      <c r="X13" s="1511">
        <f>ROUND(IF(项目基本情况!B5="出让",SUMPRODUCT(PRODUCT(1+N13:N$41)),SUMPRODUCT(PRODUCT(1+N13:N$40))),4)</f>
        <v>1.619</v>
      </c>
      <c r="Y13" s="1511">
        <f>ROUND(IF(项目基本情况!B5="出让",SUMPRODUCT(PRODUCT(1+O13:O$41)),SUMPRODUCT(PRODUCT(1+O13:O$40))),4)</f>
        <v>1.3491</v>
      </c>
      <c r="Z13" s="1511">
        <f t="shared" si="9"/>
        <v>1.3491</v>
      </c>
      <c r="AA13" s="1511">
        <f>ROUND(IF(项目基本情况!B5="出让",SUMPRODUCT(PRODUCT(1+P13:P$41)),SUMPRODUCT(PRODUCT(1+P13:P$40))),4)</f>
        <v>1.6988000000000001</v>
      </c>
      <c r="AB13" s="1511">
        <f>ROUND(IF(项目基本情况!B5="出让",SUMPRODUCT(PRODUCT(1+Q13:Q$41)),SUMPRODUCT(PRODUCT(1+Q13:Q$40))),4)</f>
        <v>1.4315</v>
      </c>
      <c r="AC13" s="1511"/>
      <c r="AD13" s="1553">
        <f>ROUND(AVERAGE(I13:I$41)/100,4)</f>
        <v>1.7899999999999999E-2</v>
      </c>
      <c r="AE13" s="1553">
        <f>ROUND(AVERAGE(J13:J$41)/100,4)</f>
        <v>1.12E-2</v>
      </c>
      <c r="AF13" s="1553">
        <f t="shared" si="10"/>
        <v>1.12E-2</v>
      </c>
      <c r="AG13" s="1553">
        <f>ROUND(AVERAGE(K13:K$41)/100,4)</f>
        <v>1.9699999999999999E-2</v>
      </c>
      <c r="AH13" s="1553">
        <f>ROUND(AVERAGE(L13:L$41)/100,4)</f>
        <v>1.29E-2</v>
      </c>
    </row>
    <row r="14" spans="1:34" s="1507" customFormat="1">
      <c r="A14" s="1525" t="s">
        <v>1919</v>
      </c>
      <c r="B14" s="1526">
        <f t="shared" si="0"/>
        <v>493.14449689037201</v>
      </c>
      <c r="C14" s="1526">
        <f t="shared" si="1"/>
        <v>347.21619073020599</v>
      </c>
      <c r="D14" s="1526">
        <f t="shared" si="2"/>
        <v>347.21619073020599</v>
      </c>
      <c r="E14" s="1526">
        <f t="shared" si="3"/>
        <v>710.55974278763904</v>
      </c>
      <c r="F14" s="1526">
        <f t="shared" si="4"/>
        <v>327.94540235306101</v>
      </c>
      <c r="G14" s="1523">
        <v>2020</v>
      </c>
      <c r="H14" s="1527">
        <v>4</v>
      </c>
      <c r="I14" s="1550">
        <v>2.0699999999999998</v>
      </c>
      <c r="J14" s="1550">
        <v>0.37</v>
      </c>
      <c r="K14" s="1550">
        <v>2.35</v>
      </c>
      <c r="L14" s="1551">
        <v>2.69</v>
      </c>
      <c r="M14" s="1511"/>
      <c r="N14" s="1552">
        <f t="shared" si="5"/>
        <v>2.07E-2</v>
      </c>
      <c r="O14" s="1553">
        <f t="shared" si="6"/>
        <v>3.7000000000000002E-3</v>
      </c>
      <c r="P14" s="1553">
        <f t="shared" si="7"/>
        <v>2.35E-2</v>
      </c>
      <c r="Q14" s="1553">
        <f t="shared" si="8"/>
        <v>2.69E-2</v>
      </c>
      <c r="R14" s="1572"/>
      <c r="S14" s="1560"/>
      <c r="T14" s="1561"/>
      <c r="U14" s="1561"/>
      <c r="V14" s="1561"/>
      <c r="W14" s="1511"/>
      <c r="X14" s="1511">
        <f>ROUND(IF(项目基本情况!B6="出让",SUMPRODUCT(PRODUCT(1+N14:N$41)),SUMPRODUCT(PRODUCT(1+N14:N$40))),4)</f>
        <v>1.6034999999999999</v>
      </c>
      <c r="Y14" s="1511">
        <f>ROUND(IF(项目基本情况!B6="出让",SUMPRODUCT(PRODUCT(1+O14:O$41)),SUMPRODUCT(PRODUCT(1+O14:O$40))),4)</f>
        <v>1.3469</v>
      </c>
      <c r="Z14" s="1511">
        <f t="shared" si="9"/>
        <v>1.3469</v>
      </c>
      <c r="AA14" s="1511">
        <f>ROUND(IF(项目基本情况!B6="出让",SUMPRODUCT(PRODUCT(1+P14:P$41)),SUMPRODUCT(PRODUCT(1+P14:P$40))),4)</f>
        <v>1.6801999999999999</v>
      </c>
      <c r="AB14" s="1511">
        <f>ROUND(IF(项目基本情况!B6="出让",SUMPRODUCT(PRODUCT(1+Q14:Q$41)),SUMPRODUCT(PRODUCT(1+Q14:Q$40))),4)</f>
        <v>1.4263999999999999</v>
      </c>
      <c r="AC14" s="1511"/>
      <c r="AD14" s="1553">
        <f>ROUND(AVERAGE(I14:I$41)/100,4)</f>
        <v>1.8200000000000001E-2</v>
      </c>
      <c r="AE14" s="1553">
        <f>ROUND(AVERAGE(J14:J$41)/100,4)</f>
        <v>1.1599999999999999E-2</v>
      </c>
      <c r="AF14" s="1553">
        <f t="shared" si="10"/>
        <v>1.1599999999999999E-2</v>
      </c>
      <c r="AG14" s="1553">
        <f>ROUND(AVERAGE(K14:K$41)/100,4)</f>
        <v>0.02</v>
      </c>
      <c r="AH14" s="1553">
        <f>ROUND(AVERAGE(L14:L$41)/100,4)</f>
        <v>1.3299999999999999E-2</v>
      </c>
    </row>
    <row r="15" spans="1:34" s="1507" customFormat="1">
      <c r="A15" s="1525" t="s">
        <v>1920</v>
      </c>
      <c r="B15" s="1526">
        <f t="shared" si="0"/>
        <v>483.143427932176</v>
      </c>
      <c r="C15" s="1526">
        <f t="shared" si="1"/>
        <v>345.93622669144798</v>
      </c>
      <c r="D15" s="1526">
        <f t="shared" si="2"/>
        <v>345.93622669144798</v>
      </c>
      <c r="E15" s="1526">
        <f t="shared" si="3"/>
        <v>694.24498562544102</v>
      </c>
      <c r="F15" s="1526">
        <f t="shared" si="4"/>
        <v>319.35475932716099</v>
      </c>
      <c r="G15" s="1523">
        <v>2020</v>
      </c>
      <c r="H15" s="1527">
        <v>3</v>
      </c>
      <c r="I15" s="1550">
        <v>0.36</v>
      </c>
      <c r="J15" s="1550">
        <v>-0.39</v>
      </c>
      <c r="K15" s="1550">
        <v>0.49</v>
      </c>
      <c r="L15" s="1551">
        <v>7.0000000000000007E-2</v>
      </c>
      <c r="M15" s="1511"/>
      <c r="N15" s="1552">
        <f t="shared" si="5"/>
        <v>3.5999999999999999E-3</v>
      </c>
      <c r="O15" s="1553">
        <f t="shared" si="6"/>
        <v>-3.8999999999999998E-3</v>
      </c>
      <c r="P15" s="1553">
        <f t="shared" si="7"/>
        <v>4.8999999999999998E-3</v>
      </c>
      <c r="Q15" s="1553">
        <f t="shared" si="8"/>
        <v>6.9999999999999999E-4</v>
      </c>
      <c r="R15" s="1572"/>
      <c r="S15" s="1560"/>
      <c r="T15" s="1561"/>
      <c r="U15" s="1561"/>
      <c r="V15" s="1561"/>
      <c r="W15" s="1511"/>
      <c r="X15" s="1511">
        <f>ROUND(IF(项目基本情况!B7="出让",SUMPRODUCT(PRODUCT(1+N15:N$41)),SUMPRODUCT(PRODUCT(1+N15:N$40))),4)</f>
        <v>1.571</v>
      </c>
      <c r="Y15" s="1511">
        <f>ROUND(IF(项目基本情况!B7="出让",SUMPRODUCT(PRODUCT(1+O15:O$41)),SUMPRODUCT(PRODUCT(1+O15:O$40))),4)</f>
        <v>1.3420000000000001</v>
      </c>
      <c r="Z15" s="1511">
        <f t="shared" si="9"/>
        <v>1.3420000000000001</v>
      </c>
      <c r="AA15" s="1511">
        <f>ROUND(IF(项目基本情况!B7="出让",SUMPRODUCT(PRODUCT(1+P15:P$41)),SUMPRODUCT(PRODUCT(1+P15:P$40))),4)</f>
        <v>1.6415999999999999</v>
      </c>
      <c r="AB15" s="1511">
        <f>ROUND(IF(项目基本情况!B7="出让",SUMPRODUCT(PRODUCT(1+Q15:Q$41)),SUMPRODUCT(PRODUCT(1+Q15:Q$40))),4)</f>
        <v>1.389</v>
      </c>
      <c r="AC15" s="1511"/>
      <c r="AD15" s="1553">
        <f>ROUND(AVERAGE(I15:I$41)/100,4)</f>
        <v>1.8100000000000002E-2</v>
      </c>
      <c r="AE15" s="1553">
        <f>ROUND(AVERAGE(J15:J$41)/100,4)</f>
        <v>1.1900000000000001E-2</v>
      </c>
      <c r="AF15" s="1553">
        <f t="shared" si="10"/>
        <v>1.1900000000000001E-2</v>
      </c>
      <c r="AG15" s="1553">
        <f>ROUND(AVERAGE(K15:K$41)/100,4)</f>
        <v>1.9900000000000001E-2</v>
      </c>
      <c r="AH15" s="1553">
        <f>ROUND(AVERAGE(L15:L$41)/100,4)</f>
        <v>1.2800000000000001E-2</v>
      </c>
    </row>
    <row r="16" spans="1:34" s="1507" customFormat="1">
      <c r="A16" s="1525" t="s">
        <v>1921</v>
      </c>
      <c r="B16" s="1526">
        <f t="shared" si="0"/>
        <v>481.410350669764</v>
      </c>
      <c r="C16" s="1526">
        <f t="shared" si="1"/>
        <v>347.29066026648701</v>
      </c>
      <c r="D16" s="1526">
        <f t="shared" si="2"/>
        <v>347.29066026648701</v>
      </c>
      <c r="E16" s="1526">
        <f t="shared" si="3"/>
        <v>690.85977273901995</v>
      </c>
      <c r="F16" s="1526">
        <f t="shared" si="4"/>
        <v>319.13136737000201</v>
      </c>
      <c r="G16" s="1523">
        <v>2020</v>
      </c>
      <c r="H16" s="1527">
        <v>2</v>
      </c>
      <c r="I16" s="1550">
        <v>0.31</v>
      </c>
      <c r="J16" s="1550">
        <v>-0.78</v>
      </c>
      <c r="K16" s="1550">
        <v>0.5</v>
      </c>
      <c r="L16" s="1551">
        <v>0.47</v>
      </c>
      <c r="M16" s="1511"/>
      <c r="N16" s="1552">
        <f t="shared" si="5"/>
        <v>3.0999999999999999E-3</v>
      </c>
      <c r="O16" s="1553">
        <f t="shared" si="6"/>
        <v>-7.7999999999999996E-3</v>
      </c>
      <c r="P16" s="1553">
        <f t="shared" si="7"/>
        <v>5.0000000000000001E-3</v>
      </c>
      <c r="Q16" s="1553">
        <f t="shared" si="8"/>
        <v>4.7000000000000002E-3</v>
      </c>
      <c r="R16" s="1572"/>
      <c r="S16" s="1560"/>
      <c r="T16" s="1561"/>
      <c r="U16" s="1561"/>
      <c r="V16" s="1561"/>
      <c r="W16" s="1511"/>
      <c r="X16" s="1511">
        <f>ROUND(IF(项目基本情况!B8="出让",SUMPRODUCT(PRODUCT(1+N16:N$41)),SUMPRODUCT(PRODUCT(1+N16:N$40))),4)</f>
        <v>1.5652999999999999</v>
      </c>
      <c r="Y16" s="1511">
        <f>ROUND(IF(项目基本情况!B8="出让",SUMPRODUCT(PRODUCT(1+O16:O$41)),SUMPRODUCT(PRODUCT(1+O16:O$40))),4)</f>
        <v>1.3472</v>
      </c>
      <c r="Z16" s="1511">
        <f t="shared" si="9"/>
        <v>1.3472</v>
      </c>
      <c r="AA16" s="1511">
        <f>ROUND(IF(项目基本情况!B8="出让",SUMPRODUCT(PRODUCT(1+P16:P$41)),SUMPRODUCT(PRODUCT(1+P16:P$40))),4)</f>
        <v>1.6335999999999999</v>
      </c>
      <c r="AB16" s="1511">
        <f>ROUND(IF(项目基本情况!B8="出让",SUMPRODUCT(PRODUCT(1+Q16:Q$41)),SUMPRODUCT(PRODUCT(1+Q16:Q$40))),4)</f>
        <v>1.3880999999999999</v>
      </c>
      <c r="AC16" s="1511"/>
      <c r="AD16" s="1553">
        <f>ROUND(AVERAGE(I16:I$41)/100,4)</f>
        <v>1.8599999999999998E-2</v>
      </c>
      <c r="AE16" s="1553">
        <f>ROUND(AVERAGE(J16:J$41)/100,4)</f>
        <v>1.2500000000000001E-2</v>
      </c>
      <c r="AF16" s="1553">
        <f t="shared" si="10"/>
        <v>1.2500000000000001E-2</v>
      </c>
      <c r="AG16" s="1553">
        <f>ROUND(AVERAGE(K16:K$41)/100,4)</f>
        <v>2.0400000000000001E-2</v>
      </c>
      <c r="AH16" s="1553">
        <f>ROUND(AVERAGE(L16:L$41)/100,4)</f>
        <v>1.32E-2</v>
      </c>
    </row>
    <row r="17" spans="1:34" s="1507" customFormat="1">
      <c r="A17" s="1525" t="s">
        <v>1922</v>
      </c>
      <c r="B17" s="1526">
        <f t="shared" si="0"/>
        <v>479.92259063878402</v>
      </c>
      <c r="C17" s="1526">
        <f t="shared" si="1"/>
        <v>350.02082268341798</v>
      </c>
      <c r="D17" s="1526">
        <f t="shared" si="2"/>
        <v>350.02082268341798</v>
      </c>
      <c r="E17" s="1526">
        <f t="shared" si="3"/>
        <v>687.42265944181099</v>
      </c>
      <c r="F17" s="1526">
        <f t="shared" si="4"/>
        <v>317.63846657709001</v>
      </c>
      <c r="G17" s="1523">
        <v>2020</v>
      </c>
      <c r="H17" s="1527">
        <v>1</v>
      </c>
      <c r="I17" s="1550">
        <v>0.12</v>
      </c>
      <c r="J17" s="1550">
        <v>-0.4</v>
      </c>
      <c r="K17" s="1550">
        <v>0.21</v>
      </c>
      <c r="L17" s="1551">
        <v>0.27</v>
      </c>
      <c r="M17" s="1511"/>
      <c r="N17" s="1552">
        <f t="shared" si="5"/>
        <v>1.1999999999999999E-3</v>
      </c>
      <c r="O17" s="1553">
        <f t="shared" si="6"/>
        <v>-4.0000000000000001E-3</v>
      </c>
      <c r="P17" s="1553">
        <f t="shared" si="7"/>
        <v>2.0999999999999999E-3</v>
      </c>
      <c r="Q17" s="1553">
        <f t="shared" si="8"/>
        <v>2.7000000000000001E-3</v>
      </c>
      <c r="R17" s="1572"/>
      <c r="S17" s="1560">
        <f>B17/B18-1</f>
        <v>1.2000000000000901E-3</v>
      </c>
      <c r="T17" s="1561">
        <f>C17/C18-1</f>
        <v>-4.0000000000000001E-3</v>
      </c>
      <c r="U17" s="1561">
        <f>E17/E18-1</f>
        <v>2.0999999999999899E-3</v>
      </c>
      <c r="V17" s="1561">
        <f>F17/F18-1</f>
        <v>2.6999999999999199E-3</v>
      </c>
      <c r="W17" s="1511"/>
      <c r="X17" s="1511">
        <f>ROUND(IF(项目基本情况!B8="出让",SUMPRODUCT(PRODUCT(1+N17:N$41)),SUMPRODUCT(PRODUCT(1+N17:N$40))),4)</f>
        <v>1.5605</v>
      </c>
      <c r="Y17" s="1511">
        <f>ROUND(IF(项目基本情况!B8="出让",SUMPRODUCT(PRODUCT(1+O17:O$41)),SUMPRODUCT(PRODUCT(1+O17:O$40))),4)</f>
        <v>1.3577999999999999</v>
      </c>
      <c r="Z17" s="1511">
        <f t="shared" si="9"/>
        <v>1.3577999999999999</v>
      </c>
      <c r="AA17" s="1511">
        <f>ROUND(IF(项目基本情况!B8="出让",SUMPRODUCT(PRODUCT(1+P17:P$41)),SUMPRODUCT(PRODUCT(1+P17:P$40))),4)</f>
        <v>1.6254999999999999</v>
      </c>
      <c r="AB17" s="1511">
        <f>ROUND(IF(项目基本情况!B8="出让",SUMPRODUCT(PRODUCT(1+Q17:Q$41)),SUMPRODUCT(PRODUCT(1+Q17:Q$40))),4)</f>
        <v>1.3815999999999999</v>
      </c>
      <c r="AC17" s="1511"/>
      <c r="AD17" s="1553">
        <f>ROUND(AVERAGE(I17:I$41)/100,4)</f>
        <v>1.9199999999999998E-2</v>
      </c>
      <c r="AE17" s="1553">
        <f>ROUND(AVERAGE(J17:J$41)/100,4)</f>
        <v>1.3299999999999999E-2</v>
      </c>
      <c r="AF17" s="1553">
        <f t="shared" si="10"/>
        <v>1.3299999999999999E-2</v>
      </c>
      <c r="AG17" s="1553">
        <f>ROUND(AVERAGE(K17:K$41)/100,4)</f>
        <v>2.1100000000000001E-2</v>
      </c>
      <c r="AH17" s="1553">
        <f>ROUND(AVERAGE(L17:L$41)/100,4)</f>
        <v>1.3599999999999999E-2</v>
      </c>
    </row>
    <row r="18" spans="1:34" s="1507" customFormat="1">
      <c r="A18" s="1525" t="s">
        <v>1923</v>
      </c>
      <c r="B18" s="1526">
        <f t="shared" si="0"/>
        <v>479.34737379023602</v>
      </c>
      <c r="C18" s="1526">
        <f t="shared" si="1"/>
        <v>351.42652879861203</v>
      </c>
      <c r="D18" s="1526">
        <f t="shared" si="2"/>
        <v>351.42652879861203</v>
      </c>
      <c r="E18" s="1526">
        <f t="shared" si="3"/>
        <v>685.98209703803104</v>
      </c>
      <c r="F18" s="1526">
        <f t="shared" si="4"/>
        <v>316.78315206651001</v>
      </c>
      <c r="G18" s="1523">
        <v>2019</v>
      </c>
      <c r="H18" s="1527">
        <v>4</v>
      </c>
      <c r="I18" s="1527">
        <v>0.45</v>
      </c>
      <c r="J18" s="1527">
        <v>-0.12</v>
      </c>
      <c r="K18" s="1527">
        <v>0.54</v>
      </c>
      <c r="L18" s="1554">
        <v>0.48</v>
      </c>
      <c r="M18" s="1511"/>
      <c r="N18" s="1552">
        <f t="shared" si="5"/>
        <v>4.4999999999999997E-3</v>
      </c>
      <c r="O18" s="1553">
        <f t="shared" si="6"/>
        <v>-1.1999999999999999E-3</v>
      </c>
      <c r="P18" s="1553">
        <f t="shared" si="7"/>
        <v>5.4000000000000003E-3</v>
      </c>
      <c r="Q18" s="1553">
        <f t="shared" si="8"/>
        <v>4.7999999999999996E-3</v>
      </c>
      <c r="R18" s="1572"/>
      <c r="S18" s="1560"/>
      <c r="T18" s="1561"/>
      <c r="U18" s="1561"/>
      <c r="V18" s="1561"/>
      <c r="W18" s="1511"/>
      <c r="X18" s="1511">
        <f>ROUND(IF(项目基本情况!B8="出让",SUMPRODUCT(PRODUCT(1+N18:N$41)),SUMPRODUCT(PRODUCT(1+N18:N$40))),4)</f>
        <v>1.5586</v>
      </c>
      <c r="Y18" s="1511">
        <f>ROUND(IF(项目基本情况!B8="出让",SUMPRODUCT(PRODUCT(1+O18:O$41)),SUMPRODUCT(PRODUCT(1+O18:O$40))),4)</f>
        <v>1.3633</v>
      </c>
      <c r="Z18" s="1511">
        <f t="shared" si="9"/>
        <v>1.3633</v>
      </c>
      <c r="AA18" s="1511">
        <f>ROUND(IF(项目基本情况!B8="出让",SUMPRODUCT(PRODUCT(1+P18:P$41)),SUMPRODUCT(PRODUCT(1+P18:P$40))),4)</f>
        <v>1.6221000000000001</v>
      </c>
      <c r="AB18" s="1511">
        <f>ROUND(IF(项目基本情况!B8="出让",SUMPRODUCT(PRODUCT(1+Q18:Q$41)),SUMPRODUCT(PRODUCT(1+Q18:Q$40))),4)</f>
        <v>1.3777999999999999</v>
      </c>
      <c r="AC18" s="1511"/>
      <c r="AD18" s="1553">
        <f>ROUND(AVERAGE(I18:I$41)/100,4)</f>
        <v>0.02</v>
      </c>
      <c r="AE18" s="1553">
        <f>ROUND(AVERAGE(J18:J$41)/100,4)</f>
        <v>1.4E-2</v>
      </c>
      <c r="AF18" s="1553">
        <f t="shared" si="10"/>
        <v>1.4E-2</v>
      </c>
      <c r="AG18" s="1553">
        <f>ROUND(AVERAGE(K18:K$41)/100,4)</f>
        <v>2.1899999999999999E-2</v>
      </c>
      <c r="AH18" s="1553">
        <f>ROUND(AVERAGE(L18:L$41)/100,4)</f>
        <v>1.4E-2</v>
      </c>
    </row>
    <row r="19" spans="1:34" s="1507" customFormat="1">
      <c r="A19" s="1525" t="s">
        <v>1924</v>
      </c>
      <c r="B19" s="1526">
        <f t="shared" si="0"/>
        <v>477.19997390765099</v>
      </c>
      <c r="C19" s="1526">
        <f t="shared" si="1"/>
        <v>351.84874729536699</v>
      </c>
      <c r="D19" s="1526">
        <f t="shared" si="2"/>
        <v>351.84874729536699</v>
      </c>
      <c r="E19" s="1526">
        <f t="shared" si="3"/>
        <v>682.29768951465201</v>
      </c>
      <c r="F19" s="1526">
        <f t="shared" si="4"/>
        <v>315.26985675408997</v>
      </c>
      <c r="G19" s="1523">
        <v>2019</v>
      </c>
      <c r="H19" s="1527">
        <v>3</v>
      </c>
      <c r="I19" s="1527">
        <v>0.61</v>
      </c>
      <c r="J19" s="1527">
        <v>0.67</v>
      </c>
      <c r="K19" s="1527">
        <v>0.6</v>
      </c>
      <c r="L19" s="1554">
        <v>1.03</v>
      </c>
      <c r="M19" s="1511"/>
      <c r="N19" s="1552">
        <f t="shared" si="5"/>
        <v>6.1000000000000004E-3</v>
      </c>
      <c r="O19" s="1553">
        <f t="shared" si="6"/>
        <v>6.7000000000000002E-3</v>
      </c>
      <c r="P19" s="1553">
        <f t="shared" si="7"/>
        <v>6.0000000000000001E-3</v>
      </c>
      <c r="Q19" s="1553">
        <f t="shared" si="8"/>
        <v>1.03E-2</v>
      </c>
      <c r="R19" s="1572"/>
      <c r="S19" s="1560"/>
      <c r="T19" s="1561"/>
      <c r="U19" s="1561"/>
      <c r="V19" s="1561"/>
      <c r="W19" s="1511"/>
      <c r="X19" s="1511">
        <f>ROUND(IF(项目基本情况!B8="出让",SUMPRODUCT(PRODUCT(1+N19:N$41)),SUMPRODUCT(PRODUCT(1+N19:N$40))),4)</f>
        <v>1.5516000000000001</v>
      </c>
      <c r="Y19" s="1511">
        <f>ROUND(IF(项目基本情况!B8="出让",SUMPRODUCT(PRODUCT(1+O19:O$41)),SUMPRODUCT(PRODUCT(1+O19:O$40))),4)</f>
        <v>1.3649</v>
      </c>
      <c r="Z19" s="1511">
        <f t="shared" si="9"/>
        <v>1.3649</v>
      </c>
      <c r="AA19" s="1511">
        <f>ROUND(IF(项目基本情况!B8="出让",SUMPRODUCT(PRODUCT(1+P19:P$41)),SUMPRODUCT(PRODUCT(1+P19:P$40))),4)</f>
        <v>1.6133999999999999</v>
      </c>
      <c r="AB19" s="1511">
        <f>ROUND(IF(项目基本情况!B8="出让",SUMPRODUCT(PRODUCT(1+Q19:Q$41)),SUMPRODUCT(PRODUCT(1+Q19:Q$40))),4)</f>
        <v>1.3713</v>
      </c>
      <c r="AC19" s="1511"/>
      <c r="AD19" s="1553">
        <f>ROUND(AVERAGE(I19:I$41)/100,4)</f>
        <v>2.07E-2</v>
      </c>
      <c r="AE19" s="1553">
        <f>ROUND(AVERAGE(J19:J$41)/100,4)</f>
        <v>1.47E-2</v>
      </c>
      <c r="AF19" s="1553">
        <f t="shared" si="10"/>
        <v>1.47E-2</v>
      </c>
      <c r="AG19" s="1553">
        <f>ROUND(AVERAGE(K19:K$41)/100,4)</f>
        <v>2.2599999999999999E-2</v>
      </c>
      <c r="AH19" s="1553">
        <f>ROUND(AVERAGE(L19:L$41)/100,4)</f>
        <v>1.44E-2</v>
      </c>
    </row>
    <row r="20" spans="1:34" s="1507" customFormat="1">
      <c r="A20" s="1525" t="s">
        <v>1925</v>
      </c>
      <c r="B20" s="1526">
        <f t="shared" ref="B20:B25" si="11">B21*(1+N20)</f>
        <v>474.30670301923402</v>
      </c>
      <c r="C20" s="1526">
        <f t="shared" ref="C20:C25" si="12">C21*(1+O20)</f>
        <v>349.50705005996502</v>
      </c>
      <c r="D20" s="1526">
        <f t="shared" si="2"/>
        <v>349.50705005996502</v>
      </c>
      <c r="E20" s="1526">
        <f t="shared" si="3"/>
        <v>678.22831959707003</v>
      </c>
      <c r="F20" s="1526">
        <f t="shared" si="4"/>
        <v>312.05568321695603</v>
      </c>
      <c r="G20" s="1523">
        <v>2019</v>
      </c>
      <c r="H20" s="1528">
        <v>2</v>
      </c>
      <c r="I20" s="1528">
        <v>1.53</v>
      </c>
      <c r="J20" s="1528">
        <v>1.01</v>
      </c>
      <c r="K20" s="1528">
        <v>1.62</v>
      </c>
      <c r="L20" s="1555">
        <v>1.25</v>
      </c>
      <c r="M20" s="1511"/>
      <c r="N20" s="1552">
        <f t="shared" si="5"/>
        <v>1.5299999999999999E-2</v>
      </c>
      <c r="O20" s="1553">
        <f t="shared" si="6"/>
        <v>1.01E-2</v>
      </c>
      <c r="P20" s="1553">
        <f t="shared" si="7"/>
        <v>1.6199999999999999E-2</v>
      </c>
      <c r="Q20" s="1553">
        <f t="shared" si="8"/>
        <v>1.2500000000000001E-2</v>
      </c>
      <c r="R20" s="1572"/>
      <c r="S20" s="1560"/>
      <c r="T20" s="1561"/>
      <c r="U20" s="1561"/>
      <c r="V20" s="1561"/>
      <c r="W20" s="1511"/>
      <c r="X20" s="1511">
        <f>ROUND(IF(项目基本情况!B8="出让",SUMPRODUCT(PRODUCT(1+N20:N$41)),SUMPRODUCT(PRODUCT(1+N20:N$40))),4)</f>
        <v>1.5422</v>
      </c>
      <c r="Y20" s="1511">
        <f>ROUND(IF(项目基本情况!B8="出让",SUMPRODUCT(PRODUCT(1+O20:O$41)),SUMPRODUCT(PRODUCT(1+O20:O$40))),4)</f>
        <v>1.3557999999999999</v>
      </c>
      <c r="Z20" s="1511">
        <f t="shared" si="9"/>
        <v>1.3557999999999999</v>
      </c>
      <c r="AA20" s="1511">
        <f>ROUND(IF(项目基本情况!B8="出让",SUMPRODUCT(PRODUCT(1+P20:P$41)),SUMPRODUCT(PRODUCT(1+P20:P$40))),4)</f>
        <v>1.6036999999999999</v>
      </c>
      <c r="AB20" s="1511">
        <f>ROUND(IF(项目基本情况!B8="出让",SUMPRODUCT(PRODUCT(1+Q20:Q$41)),SUMPRODUCT(PRODUCT(1+Q20:Q$40))),4)</f>
        <v>1.3573</v>
      </c>
      <c r="AC20" s="1511"/>
      <c r="AD20" s="1553">
        <f>ROUND(AVERAGE(I20:I$41)/100,4)</f>
        <v>2.1299999999999999E-2</v>
      </c>
      <c r="AE20" s="1553">
        <f>ROUND(AVERAGE(J20:J$41)/100,4)</f>
        <v>1.4999999999999999E-2</v>
      </c>
      <c r="AF20" s="1553">
        <f t="shared" si="10"/>
        <v>1.4999999999999999E-2</v>
      </c>
      <c r="AG20" s="1553">
        <f>ROUND(AVERAGE(K20:K$41)/100,4)</f>
        <v>2.3300000000000001E-2</v>
      </c>
      <c r="AH20" s="1553">
        <f>ROUND(AVERAGE(L20:L$41)/100,4)</f>
        <v>1.46E-2</v>
      </c>
    </row>
    <row r="21" spans="1:34" s="1507" customFormat="1">
      <c r="A21" s="1525" t="s">
        <v>1926</v>
      </c>
      <c r="B21" s="1526">
        <f t="shared" si="11"/>
        <v>467.159167752619</v>
      </c>
      <c r="C21" s="1526">
        <f t="shared" si="12"/>
        <v>346.01232557169101</v>
      </c>
      <c r="D21" s="1526">
        <f t="shared" si="2"/>
        <v>346.01232557169101</v>
      </c>
      <c r="E21" s="1526">
        <f t="shared" si="3"/>
        <v>667.41617752122602</v>
      </c>
      <c r="F21" s="1526">
        <f t="shared" si="4"/>
        <v>308.20314391798098</v>
      </c>
      <c r="G21" s="1523">
        <v>2019</v>
      </c>
      <c r="H21" s="1527">
        <v>1</v>
      </c>
      <c r="I21" s="1527">
        <v>0.6</v>
      </c>
      <c r="J21" s="1527">
        <v>0.37</v>
      </c>
      <c r="K21" s="1527">
        <v>0.63</v>
      </c>
      <c r="L21" s="1554">
        <v>1.1299999999999999</v>
      </c>
      <c r="M21" s="1511"/>
      <c r="N21" s="1552">
        <f t="shared" si="5"/>
        <v>6.0000000000000001E-3</v>
      </c>
      <c r="O21" s="1553">
        <f t="shared" si="6"/>
        <v>3.7000000000000002E-3</v>
      </c>
      <c r="P21" s="1553">
        <f t="shared" si="7"/>
        <v>6.3E-3</v>
      </c>
      <c r="Q21" s="1553">
        <f t="shared" si="8"/>
        <v>1.1299999999999999E-2</v>
      </c>
      <c r="R21" s="1572"/>
      <c r="S21" s="1560">
        <f>B21/B22-1</f>
        <v>6.0000000000000097E-3</v>
      </c>
      <c r="T21" s="1561">
        <f>C21/C22-1</f>
        <v>3.7000000000000401E-3</v>
      </c>
      <c r="U21" s="1561">
        <f>E21/E22-1</f>
        <v>6.2999999999999697E-3</v>
      </c>
      <c r="V21" s="1561">
        <f>F21/F22-1</f>
        <v>1.13000000000001E-2</v>
      </c>
      <c r="W21" s="1511"/>
      <c r="X21" s="1511">
        <f>ROUND(IF(项目基本情况!B8="出让",SUMPRODUCT(PRODUCT(1+N21:N$41)),SUMPRODUCT(PRODUCT(1+N21:N$40))),4)</f>
        <v>1.5189999999999999</v>
      </c>
      <c r="Y21" s="1511">
        <f>ROUND(IF(项目基本情况!B8="出让",SUMPRODUCT(PRODUCT(1+O21:O$41)),SUMPRODUCT(PRODUCT(1+O21:O$40))),4)</f>
        <v>1.3423</v>
      </c>
      <c r="Z21" s="1511">
        <f t="shared" si="9"/>
        <v>1.3423</v>
      </c>
      <c r="AA21" s="1511">
        <f>ROUND(IF(项目基本情况!B8="出让",SUMPRODUCT(PRODUCT(1+P21:P$41)),SUMPRODUCT(PRODUCT(1+P21:P$40))),4)</f>
        <v>1.5782</v>
      </c>
      <c r="AB21" s="1511">
        <f>ROUND(IF(项目基本情况!B8="出让",SUMPRODUCT(PRODUCT(1+Q21:Q$41)),SUMPRODUCT(PRODUCT(1+Q21:Q$40))),4)</f>
        <v>1.3405</v>
      </c>
      <c r="AC21" s="1511"/>
      <c r="AD21" s="1553">
        <f>ROUND(AVERAGE(I21:I$41)/100,4)</f>
        <v>2.1600000000000001E-2</v>
      </c>
      <c r="AE21" s="1553">
        <f>ROUND(AVERAGE(J21:J$41)/100,4)</f>
        <v>1.5299999999999999E-2</v>
      </c>
      <c r="AF21" s="1553">
        <f t="shared" si="10"/>
        <v>1.5299999999999999E-2</v>
      </c>
      <c r="AG21" s="1553">
        <f>ROUND(AVERAGE(K21:K$41)/100,4)</f>
        <v>2.3699999999999999E-2</v>
      </c>
      <c r="AH21" s="1553">
        <f>ROUND(AVERAGE(L21:L$41)/100,4)</f>
        <v>1.47E-2</v>
      </c>
    </row>
    <row r="22" spans="1:34" s="1507" customFormat="1">
      <c r="A22" s="1525" t="s">
        <v>1927</v>
      </c>
      <c r="B22" s="1529">
        <f t="shared" si="11"/>
        <v>464.37293017158902</v>
      </c>
      <c r="C22" s="1529">
        <f t="shared" si="12"/>
        <v>344.73679941386001</v>
      </c>
      <c r="D22" s="1529">
        <f t="shared" si="2"/>
        <v>344.73679941386001</v>
      </c>
      <c r="E22" s="1529">
        <f t="shared" si="3"/>
        <v>663.23777951031104</v>
      </c>
      <c r="F22" s="1530">
        <f t="shared" si="4"/>
        <v>304.75936311478398</v>
      </c>
      <c r="G22" s="3935">
        <v>2018</v>
      </c>
      <c r="H22" s="1528">
        <v>4</v>
      </c>
      <c r="I22" s="1528">
        <v>0.96</v>
      </c>
      <c r="J22" s="1528">
        <v>1.03</v>
      </c>
      <c r="K22" s="1528">
        <v>0.92</v>
      </c>
      <c r="L22" s="1555">
        <v>1.29</v>
      </c>
      <c r="M22" s="1511"/>
      <c r="N22" s="1552">
        <f t="shared" si="5"/>
        <v>9.5999999999999992E-3</v>
      </c>
      <c r="O22" s="1553">
        <f t="shared" si="6"/>
        <v>1.03E-2</v>
      </c>
      <c r="P22" s="1553">
        <f t="shared" si="7"/>
        <v>9.1999999999999998E-3</v>
      </c>
      <c r="Q22" s="1553">
        <f t="shared" si="8"/>
        <v>1.29E-2</v>
      </c>
      <c r="R22" s="1572"/>
      <c r="S22" s="1573"/>
      <c r="T22" s="1574"/>
      <c r="U22" s="1574"/>
      <c r="V22" s="1574"/>
      <c r="W22" s="1511"/>
      <c r="X22" s="1511">
        <f>ROUND(SUMPRODUCT(PRODUCT(1+N22:N$40)),4)</f>
        <v>1.5099</v>
      </c>
      <c r="Y22" s="1511">
        <f>ROUND(SUMPRODUCT(PRODUCT(1+O22:O$40)),4)</f>
        <v>1.3372999999999999</v>
      </c>
      <c r="Z22" s="1511">
        <f t="shared" si="9"/>
        <v>1.3372999999999999</v>
      </c>
      <c r="AA22" s="1511">
        <f>ROUND(SUMPRODUCT(PRODUCT(1+P22:P$40)),4)</f>
        <v>1.5683</v>
      </c>
      <c r="AB22" s="1511">
        <f>ROUND(SUMPRODUCT(PRODUCT(1+Q22:Q$40)),4)</f>
        <v>1.3255999999999999</v>
      </c>
      <c r="AC22" s="1511"/>
      <c r="AD22" s="1553">
        <f>ROUND(AVERAGE(I22:I$41)/100,4)</f>
        <v>2.24E-2</v>
      </c>
      <c r="AE22" s="1553">
        <f>ROUND(AVERAGE(J22:J$41)/100,4)</f>
        <v>1.5800000000000002E-2</v>
      </c>
      <c r="AF22" s="1553">
        <f t="shared" si="10"/>
        <v>1.5800000000000002E-2</v>
      </c>
      <c r="AG22" s="1553">
        <f>ROUND(AVERAGE(K22:K$41)/100,4)</f>
        <v>2.4500000000000001E-2</v>
      </c>
      <c r="AH22" s="1553">
        <f>ROUND(AVERAGE(L22:L$41)/100,4)</f>
        <v>1.49E-2</v>
      </c>
    </row>
    <row r="23" spans="1:34" s="1507" customFormat="1" ht="14.45" customHeight="1">
      <c r="A23" s="1525" t="s">
        <v>1928</v>
      </c>
      <c r="B23" s="1526">
        <f t="shared" si="11"/>
        <v>459.95733971036998</v>
      </c>
      <c r="C23" s="1526">
        <f t="shared" si="12"/>
        <v>341.22221064422399</v>
      </c>
      <c r="D23" s="1526">
        <f t="shared" si="2"/>
        <v>341.22221064422399</v>
      </c>
      <c r="E23" s="1526">
        <f t="shared" si="3"/>
        <v>657.19161663724799</v>
      </c>
      <c r="F23" s="1526">
        <f t="shared" si="4"/>
        <v>300.87803644464799</v>
      </c>
      <c r="G23" s="3935"/>
      <c r="H23" s="1527">
        <v>3</v>
      </c>
      <c r="I23" s="1527">
        <v>1.51</v>
      </c>
      <c r="J23" s="1527">
        <v>1.41</v>
      </c>
      <c r="K23" s="1527">
        <v>1.52</v>
      </c>
      <c r="L23" s="1554">
        <v>1.74</v>
      </c>
      <c r="M23" s="1511"/>
      <c r="N23" s="1552">
        <f t="shared" si="5"/>
        <v>1.5100000000000001E-2</v>
      </c>
      <c r="O23" s="1553">
        <f t="shared" si="6"/>
        <v>1.41E-2</v>
      </c>
      <c r="P23" s="1553">
        <f t="shared" si="7"/>
        <v>1.52E-2</v>
      </c>
      <c r="Q23" s="1553">
        <f t="shared" si="8"/>
        <v>1.7399999999999999E-2</v>
      </c>
      <c r="R23" s="1572"/>
      <c r="S23" s="1552"/>
      <c r="T23" s="1553"/>
      <c r="U23" s="1553"/>
      <c r="V23" s="1553"/>
      <c r="W23" s="1511"/>
      <c r="X23" s="1511">
        <f>ROUND(SUMPRODUCT(PRODUCT(1+N23:N$40)),4)</f>
        <v>1.4956</v>
      </c>
      <c r="Y23" s="1511">
        <f>ROUND(SUMPRODUCT(PRODUCT(1+O23:O$40)),4)</f>
        <v>1.3237000000000001</v>
      </c>
      <c r="Z23" s="1511">
        <f t="shared" si="9"/>
        <v>1.3237000000000001</v>
      </c>
      <c r="AA23" s="1511">
        <f>ROUND(SUMPRODUCT(PRODUCT(1+P23:P$40)),4)</f>
        <v>1.554</v>
      </c>
      <c r="AB23" s="1511">
        <f>ROUND(SUMPRODUCT(PRODUCT(1+Q23:Q$40)),4)</f>
        <v>1.3087</v>
      </c>
      <c r="AC23" s="1511"/>
      <c r="AD23" s="1553">
        <f>ROUND(AVERAGE(I23:I$41)/100,4)</f>
        <v>2.3099999999999999E-2</v>
      </c>
      <c r="AE23" s="1553">
        <f>ROUND(AVERAGE(J23:J$41)/100,4)</f>
        <v>1.61E-2</v>
      </c>
      <c r="AF23" s="1553">
        <f t="shared" si="10"/>
        <v>1.61E-2</v>
      </c>
      <c r="AG23" s="1553">
        <f>ROUND(AVERAGE(K23:K$41)/100,4)</f>
        <v>2.53E-2</v>
      </c>
      <c r="AH23" s="1553">
        <f>ROUND(AVERAGE(L23:L$41)/100,4)</f>
        <v>1.4999999999999999E-2</v>
      </c>
    </row>
    <row r="24" spans="1:34" s="1507" customFormat="1" ht="14.45" customHeight="1">
      <c r="A24" s="1525" t="s">
        <v>1929</v>
      </c>
      <c r="B24" s="1526">
        <f t="shared" si="11"/>
        <v>453.11529869999998</v>
      </c>
      <c r="C24" s="1526">
        <f t="shared" si="12"/>
        <v>336.47787263999999</v>
      </c>
      <c r="D24" s="1526">
        <f t="shared" si="2"/>
        <v>336.47787263999999</v>
      </c>
      <c r="E24" s="1526">
        <f t="shared" si="3"/>
        <v>647.35186824000004</v>
      </c>
      <c r="F24" s="1526">
        <f t="shared" si="4"/>
        <v>295.73229451999998</v>
      </c>
      <c r="G24" s="3935"/>
      <c r="H24" s="1531">
        <v>2</v>
      </c>
      <c r="I24" s="1531">
        <v>1.49</v>
      </c>
      <c r="J24" s="1531">
        <v>0.96</v>
      </c>
      <c r="K24" s="1531">
        <v>1.58</v>
      </c>
      <c r="L24" s="1556">
        <v>2.44</v>
      </c>
      <c r="M24" s="1511"/>
      <c r="N24" s="1552">
        <f t="shared" si="5"/>
        <v>1.49E-2</v>
      </c>
      <c r="O24" s="1553">
        <f t="shared" si="6"/>
        <v>9.5999999999999992E-3</v>
      </c>
      <c r="P24" s="1553">
        <f t="shared" si="7"/>
        <v>1.5800000000000002E-2</v>
      </c>
      <c r="Q24" s="1553">
        <f t="shared" si="8"/>
        <v>2.4400000000000002E-2</v>
      </c>
      <c r="R24" s="1572"/>
      <c r="S24" s="1552"/>
      <c r="T24" s="1553"/>
      <c r="U24" s="1553"/>
      <c r="V24" s="1553"/>
      <c r="W24" s="1511"/>
      <c r="X24" s="1511">
        <f>ROUND(SUMPRODUCT(PRODUCT(1+N24:N$40)),4)</f>
        <v>1.4733000000000001</v>
      </c>
      <c r="Y24" s="1511">
        <f>ROUND(SUMPRODUCT(PRODUCT(1+O24:O$40)),4)</f>
        <v>1.3052999999999999</v>
      </c>
      <c r="Z24" s="1511">
        <f t="shared" si="9"/>
        <v>1.3052999999999999</v>
      </c>
      <c r="AA24" s="1511">
        <f>ROUND(SUMPRODUCT(PRODUCT(1+P24:P$40)),4)</f>
        <v>1.5306999999999999</v>
      </c>
      <c r="AB24" s="1511">
        <f>ROUND(SUMPRODUCT(PRODUCT(1+Q24:Q$40)),4)</f>
        <v>1.2863</v>
      </c>
      <c r="AC24" s="1511"/>
      <c r="AD24" s="1553">
        <f>ROUND(AVERAGE(I24:I$41)/100,4)</f>
        <v>2.35E-2</v>
      </c>
      <c r="AE24" s="1553">
        <f>ROUND(AVERAGE(J24:J$41)/100,4)</f>
        <v>1.6199999999999999E-2</v>
      </c>
      <c r="AF24" s="1553">
        <f t="shared" si="10"/>
        <v>1.6199999999999999E-2</v>
      </c>
      <c r="AG24" s="1553">
        <f>ROUND(AVERAGE(K24:K$41)/100,4)</f>
        <v>2.5899999999999999E-2</v>
      </c>
      <c r="AH24" s="1553">
        <f>ROUND(AVERAGE(L24:L$41)/100,4)</f>
        <v>1.49E-2</v>
      </c>
    </row>
    <row r="25" spans="1:34" s="1507" customFormat="1" ht="15" customHeight="1">
      <c r="A25" s="1525" t="s">
        <v>1930</v>
      </c>
      <c r="B25" s="1526">
        <f t="shared" si="11"/>
        <v>446.46300000000002</v>
      </c>
      <c r="C25" s="1526">
        <f t="shared" si="12"/>
        <v>333.27839999999998</v>
      </c>
      <c r="D25" s="1526">
        <f t="shared" ref="D25:D30" si="13">C25</f>
        <v>333.27839999999998</v>
      </c>
      <c r="E25" s="1526">
        <f t="shared" si="3"/>
        <v>637.28279999999995</v>
      </c>
      <c r="F25" s="1526">
        <f t="shared" si="4"/>
        <v>288.68830000000003</v>
      </c>
      <c r="G25" s="3936"/>
      <c r="H25" s="1527">
        <v>1</v>
      </c>
      <c r="I25" s="1527">
        <v>1.7</v>
      </c>
      <c r="J25" s="1527">
        <v>1.92</v>
      </c>
      <c r="K25" s="1527">
        <v>1.64</v>
      </c>
      <c r="L25" s="1554">
        <v>2.0099999999999998</v>
      </c>
      <c r="M25" s="1511"/>
      <c r="N25" s="1552">
        <f t="shared" ref="N25:N30" si="14">I25/100</f>
        <v>1.7000000000000001E-2</v>
      </c>
      <c r="O25" s="1553">
        <f t="shared" ref="O25:Q29" si="15">J25/100</f>
        <v>1.9199999999999998E-2</v>
      </c>
      <c r="P25" s="1553">
        <f t="shared" si="15"/>
        <v>1.6400000000000001E-2</v>
      </c>
      <c r="Q25" s="1553">
        <f t="shared" si="15"/>
        <v>2.01E-2</v>
      </c>
      <c r="R25" s="1572"/>
      <c r="S25" s="1560">
        <f>B25/B26-1</f>
        <v>1.6999999999999901E-2</v>
      </c>
      <c r="T25" s="1561">
        <f>C25/C26-1</f>
        <v>1.9200000000000099E-2</v>
      </c>
      <c r="U25" s="1561">
        <f>E25/E26-1</f>
        <v>1.6400000000000001E-2</v>
      </c>
      <c r="V25" s="1561">
        <f>F25/F26-1</f>
        <v>2.01E-2</v>
      </c>
      <c r="W25" s="1511"/>
      <c r="X25" s="1511">
        <f>ROUND(SUMPRODUCT(PRODUCT(1+N25:N$40)),4)</f>
        <v>1.4517</v>
      </c>
      <c r="Y25" s="1511">
        <f>ROUND(SUMPRODUCT(PRODUCT(1+O25:O$40)),4)</f>
        <v>1.2928999999999999</v>
      </c>
      <c r="Z25" s="1511">
        <f t="shared" si="9"/>
        <v>1.2928999999999999</v>
      </c>
      <c r="AA25" s="1511">
        <f>ROUND(SUMPRODUCT(PRODUCT(1+P25:P$40)),4)</f>
        <v>1.5068999999999999</v>
      </c>
      <c r="AB25" s="1511">
        <f>ROUND(SUMPRODUCT(PRODUCT(1+Q25:Q$40)),4)</f>
        <v>1.2557</v>
      </c>
      <c r="AC25" s="1511"/>
      <c r="AD25" s="1553">
        <f>ROUND(AVERAGE(I25:I$41)/100,4)</f>
        <v>2.4E-2</v>
      </c>
      <c r="AE25" s="1553">
        <f>ROUND(AVERAGE(J25:J$41)/100,4)</f>
        <v>1.66E-2</v>
      </c>
      <c r="AF25" s="1553">
        <f t="shared" si="10"/>
        <v>1.66E-2</v>
      </c>
      <c r="AG25" s="1553">
        <f>ROUND(AVERAGE(K25:K$41)/100,4)</f>
        <v>2.6499999999999999E-2</v>
      </c>
      <c r="AH25" s="1553">
        <f>ROUND(AVERAGE(L25:L$41)/100,4)</f>
        <v>1.43E-2</v>
      </c>
    </row>
    <row r="26" spans="1:34">
      <c r="A26" s="1525" t="s">
        <v>1931</v>
      </c>
      <c r="B26" s="1532">
        <v>439</v>
      </c>
      <c r="C26" s="1532">
        <v>327</v>
      </c>
      <c r="D26" s="1532">
        <f t="shared" si="13"/>
        <v>327</v>
      </c>
      <c r="E26" s="1532">
        <v>627</v>
      </c>
      <c r="F26" s="1533">
        <v>283</v>
      </c>
      <c r="G26" s="3937">
        <v>2017</v>
      </c>
      <c r="H26" s="1528">
        <v>4</v>
      </c>
      <c r="I26" s="1528">
        <v>1.71</v>
      </c>
      <c r="J26" s="1528">
        <v>1.78</v>
      </c>
      <c r="K26" s="1528">
        <v>1.71</v>
      </c>
      <c r="L26" s="1555">
        <v>1.43</v>
      </c>
      <c r="N26" s="1557">
        <f t="shared" si="14"/>
        <v>1.7100000000000001E-2</v>
      </c>
      <c r="O26" s="1558">
        <f t="shared" si="15"/>
        <v>1.78E-2</v>
      </c>
      <c r="P26" s="1558">
        <f t="shared" si="15"/>
        <v>1.7100000000000001E-2</v>
      </c>
      <c r="Q26" s="1558">
        <f t="shared" si="15"/>
        <v>1.43E-2</v>
      </c>
      <c r="R26" s="1572"/>
      <c r="S26" s="1573"/>
      <c r="T26" s="1574"/>
      <c r="U26" s="1574"/>
      <c r="V26" s="1574"/>
      <c r="X26" s="1511">
        <f>ROUND(SUMPRODUCT(PRODUCT(1+N26:N$40)),4)</f>
        <v>1.4274</v>
      </c>
      <c r="Y26" s="1511">
        <f>ROUND(SUMPRODUCT(PRODUCT(1+O26:O$40)),4)</f>
        <v>1.2685</v>
      </c>
      <c r="Z26" s="1511">
        <f t="shared" si="9"/>
        <v>1.2685</v>
      </c>
      <c r="AA26" s="1511">
        <f>ROUND(SUMPRODUCT(PRODUCT(1+P26:P$40)),4)</f>
        <v>1.4825999999999999</v>
      </c>
      <c r="AB26" s="1511">
        <f>ROUND(SUMPRODUCT(PRODUCT(1+Q26:Q$40)),4)</f>
        <v>1.2309000000000001</v>
      </c>
      <c r="AD26" s="1553">
        <f>ROUND(AVERAGE(I26:I$41)/100,4)</f>
        <v>2.4500000000000001E-2</v>
      </c>
      <c r="AE26" s="1553">
        <f>ROUND(AVERAGE(J26:J$41)/100,4)</f>
        <v>1.6500000000000001E-2</v>
      </c>
      <c r="AF26" s="1553">
        <f t="shared" si="10"/>
        <v>1.6500000000000001E-2</v>
      </c>
      <c r="AG26" s="1553">
        <f>ROUND(AVERAGE(K26:K$41)/100,4)</f>
        <v>2.7099999999999999E-2</v>
      </c>
      <c r="AH26" s="1553">
        <f>ROUND(AVERAGE(L26:L$41)/100,4)</f>
        <v>1.3899999999999999E-2</v>
      </c>
    </row>
    <row r="27" spans="1:34" s="1507" customFormat="1" ht="14.45" customHeight="1">
      <c r="A27" s="1525" t="s">
        <v>1932</v>
      </c>
      <c r="B27" s="1526">
        <f t="shared" ref="B27:C29" si="16">B28*(1+N27)</f>
        <v>431.80730811680002</v>
      </c>
      <c r="C27" s="1526">
        <f t="shared" si="16"/>
        <v>320.57880516479997</v>
      </c>
      <c r="D27" s="1526">
        <f t="shared" si="13"/>
        <v>320.57880516479997</v>
      </c>
      <c r="E27" s="1526">
        <f t="shared" ref="E27:F29" si="17">E28*(1+P27)</f>
        <v>615.96110553196797</v>
      </c>
      <c r="F27" s="1526">
        <f t="shared" si="17"/>
        <v>279.46777300108801</v>
      </c>
      <c r="G27" s="3935"/>
      <c r="H27" s="1527">
        <v>3</v>
      </c>
      <c r="I27" s="1527">
        <v>2.98</v>
      </c>
      <c r="J27" s="1527">
        <v>2.11</v>
      </c>
      <c r="K27" s="1527">
        <v>3.24</v>
      </c>
      <c r="L27" s="1554">
        <v>1.72</v>
      </c>
      <c r="M27" s="1511"/>
      <c r="N27" s="1552">
        <f t="shared" si="14"/>
        <v>2.98E-2</v>
      </c>
      <c r="O27" s="1559">
        <f t="shared" si="15"/>
        <v>2.1100000000000001E-2</v>
      </c>
      <c r="P27" s="1559">
        <f t="shared" si="15"/>
        <v>3.2399999999999998E-2</v>
      </c>
      <c r="Q27" s="1559">
        <f t="shared" si="15"/>
        <v>1.72E-2</v>
      </c>
      <c r="R27" s="1572"/>
      <c r="S27" s="1552"/>
      <c r="T27" s="1553"/>
      <c r="U27" s="1553"/>
      <c r="V27" s="1553"/>
      <c r="W27" s="1511"/>
      <c r="X27" s="1511">
        <f>ROUND(SUMPRODUCT(PRODUCT(1+N27:N$40)),4)</f>
        <v>1.4034</v>
      </c>
      <c r="Y27" s="1511">
        <f>ROUND(SUMPRODUCT(PRODUCT(1+O27:O$40)),4)</f>
        <v>1.2463</v>
      </c>
      <c r="Z27" s="1511">
        <f t="shared" si="9"/>
        <v>1.2463</v>
      </c>
      <c r="AA27" s="1511">
        <f>ROUND(SUMPRODUCT(PRODUCT(1+P27:P$40)),4)</f>
        <v>1.4577</v>
      </c>
      <c r="AB27" s="1511">
        <f>ROUND(SUMPRODUCT(PRODUCT(1+Q27:Q$40)),4)</f>
        <v>1.2136</v>
      </c>
      <c r="AC27" s="1511"/>
      <c r="AD27" s="1553">
        <f>ROUND(AVERAGE(I27:I$41)/100,4)</f>
        <v>2.4899999999999999E-2</v>
      </c>
      <c r="AE27" s="1553">
        <f>ROUND(AVERAGE(J27:J$41)/100,4)</f>
        <v>1.6400000000000001E-2</v>
      </c>
      <c r="AF27" s="1553">
        <f t="shared" si="10"/>
        <v>1.6400000000000001E-2</v>
      </c>
      <c r="AG27" s="1553">
        <f>ROUND(AVERAGE(K27:K$41)/100,4)</f>
        <v>2.7799999999999998E-2</v>
      </c>
      <c r="AH27" s="1553">
        <f>ROUND(AVERAGE(L27:L$41)/100,4)</f>
        <v>1.3899999999999999E-2</v>
      </c>
    </row>
    <row r="28" spans="1:34" s="1503" customFormat="1" ht="14.45" customHeight="1">
      <c r="A28" s="1525" t="s">
        <v>1933</v>
      </c>
      <c r="B28" s="1526">
        <f t="shared" si="16"/>
        <v>419.31181600000002</v>
      </c>
      <c r="C28" s="1526">
        <f t="shared" si="16"/>
        <v>313.95436799999999</v>
      </c>
      <c r="D28" s="1526">
        <f t="shared" si="13"/>
        <v>313.95436799999999</v>
      </c>
      <c r="E28" s="1526">
        <f t="shared" si="17"/>
        <v>596.63028431999999</v>
      </c>
      <c r="F28" s="1526">
        <f t="shared" si="17"/>
        <v>274.74220703999998</v>
      </c>
      <c r="G28" s="3935"/>
      <c r="H28" s="1531">
        <v>2</v>
      </c>
      <c r="I28" s="1531">
        <v>3.4</v>
      </c>
      <c r="J28" s="1531">
        <v>2</v>
      </c>
      <c r="K28" s="1531">
        <v>3.82</v>
      </c>
      <c r="L28" s="1556">
        <v>1.68</v>
      </c>
      <c r="N28" s="1552">
        <f t="shared" si="14"/>
        <v>3.4000000000000002E-2</v>
      </c>
      <c r="O28" s="1559">
        <f t="shared" si="15"/>
        <v>0.02</v>
      </c>
      <c r="P28" s="1559">
        <f t="shared" si="15"/>
        <v>3.8199999999999998E-2</v>
      </c>
      <c r="Q28" s="1559">
        <f t="shared" si="15"/>
        <v>1.6799999999999999E-2</v>
      </c>
      <c r="S28" s="1552"/>
      <c r="T28" s="1553"/>
      <c r="U28" s="1553"/>
      <c r="V28" s="1553"/>
      <c r="X28" s="1511">
        <f>ROUND(SUMPRODUCT(PRODUCT(1+N28:N$40)),4)</f>
        <v>1.3628</v>
      </c>
      <c r="Y28" s="1511">
        <f>ROUND(SUMPRODUCT(PRODUCT(1+O28:O$40)),4)</f>
        <v>1.2205999999999999</v>
      </c>
      <c r="Z28" s="1511">
        <f t="shared" si="9"/>
        <v>1.2205999999999999</v>
      </c>
      <c r="AA28" s="1511">
        <f>ROUND(SUMPRODUCT(PRODUCT(1+P28:P$40)),4)</f>
        <v>1.4118999999999999</v>
      </c>
      <c r="AB28" s="1511">
        <f>ROUND(SUMPRODUCT(PRODUCT(1+Q28:Q$40)),4)</f>
        <v>1.1930000000000001</v>
      </c>
      <c r="AD28" s="1553">
        <f>ROUND(AVERAGE(I28:I$41)/100,4)</f>
        <v>2.46E-2</v>
      </c>
      <c r="AE28" s="1553">
        <f>ROUND(AVERAGE(J28:J$41)/100,4)</f>
        <v>1.6E-2</v>
      </c>
      <c r="AF28" s="1553">
        <f t="shared" si="10"/>
        <v>1.6E-2</v>
      </c>
      <c r="AG28" s="1553">
        <f>ROUND(AVERAGE(K28:K$41)/100,4)</f>
        <v>2.75E-2</v>
      </c>
      <c r="AH28" s="1553">
        <f>ROUND(AVERAGE(L28:L$41)/100,4)</f>
        <v>1.37E-2</v>
      </c>
    </row>
    <row r="29" spans="1:34" s="1507" customFormat="1" ht="15" customHeight="1">
      <c r="A29" s="1525" t="s">
        <v>1934</v>
      </c>
      <c r="B29" s="1526">
        <f t="shared" si="16"/>
        <v>405.524</v>
      </c>
      <c r="C29" s="1526">
        <f t="shared" si="16"/>
        <v>307.79840000000002</v>
      </c>
      <c r="D29" s="1526">
        <f t="shared" si="13"/>
        <v>307.79840000000002</v>
      </c>
      <c r="E29" s="1526">
        <f t="shared" si="17"/>
        <v>574.67759999999998</v>
      </c>
      <c r="F29" s="1526">
        <f t="shared" si="17"/>
        <v>270.20280000000002</v>
      </c>
      <c r="G29" s="3936"/>
      <c r="H29" s="1527">
        <v>1</v>
      </c>
      <c r="I29" s="1527">
        <v>3.45</v>
      </c>
      <c r="J29" s="1527">
        <v>1.92</v>
      </c>
      <c r="K29" s="1527">
        <v>3.92</v>
      </c>
      <c r="L29" s="1554">
        <v>1.58</v>
      </c>
      <c r="M29" s="1511"/>
      <c r="N29" s="1560">
        <f t="shared" si="14"/>
        <v>3.4500000000000003E-2</v>
      </c>
      <c r="O29" s="1561">
        <f t="shared" si="15"/>
        <v>1.9199999999999998E-2</v>
      </c>
      <c r="P29" s="1561">
        <f t="shared" si="15"/>
        <v>3.9199999999999999E-2</v>
      </c>
      <c r="Q29" s="1561">
        <f t="shared" si="15"/>
        <v>1.5800000000000002E-2</v>
      </c>
      <c r="R29" s="1572"/>
      <c r="S29" s="1560">
        <f>B29/B30-1</f>
        <v>3.4500000000000003E-2</v>
      </c>
      <c r="T29" s="1561">
        <f>C29/C30-1</f>
        <v>1.9200000000000099E-2</v>
      </c>
      <c r="U29" s="1561">
        <f>E29/E30-1</f>
        <v>3.9199999999999902E-2</v>
      </c>
      <c r="V29" s="1561">
        <f>F29/F30-1</f>
        <v>1.5800000000000002E-2</v>
      </c>
      <c r="W29" s="1511"/>
      <c r="X29" s="1511">
        <f>ROUND(SUMPRODUCT(PRODUCT(1+N29:N$40)),4)</f>
        <v>1.3180000000000001</v>
      </c>
      <c r="Y29" s="1511">
        <f>ROUND(SUMPRODUCT(PRODUCT(1+O29:O$40)),4)</f>
        <v>1.1966000000000001</v>
      </c>
      <c r="Z29" s="1511">
        <f t="shared" si="9"/>
        <v>1.1966000000000001</v>
      </c>
      <c r="AA29" s="1511">
        <f>ROUND(SUMPRODUCT(PRODUCT(1+P29:P$40)),4)</f>
        <v>1.36</v>
      </c>
      <c r="AB29" s="1511">
        <f>ROUND(SUMPRODUCT(PRODUCT(1+Q29:Q$40)),4)</f>
        <v>1.1733</v>
      </c>
      <c r="AC29" s="1511"/>
      <c r="AD29" s="1553">
        <f>ROUND(AVERAGE(I29:I$41)/100,4)</f>
        <v>2.3900000000000001E-2</v>
      </c>
      <c r="AE29" s="1553">
        <f>ROUND(AVERAGE(J29:J$41)/100,4)</f>
        <v>1.5699999999999999E-2</v>
      </c>
      <c r="AF29" s="1553">
        <f t="shared" si="10"/>
        <v>1.5699999999999999E-2</v>
      </c>
      <c r="AG29" s="1553">
        <f>ROUND(AVERAGE(K29:K$41)/100,4)</f>
        <v>2.6599999999999999E-2</v>
      </c>
      <c r="AH29" s="1553">
        <f>ROUND(AVERAGE(L29:L$41)/100,4)</f>
        <v>1.34E-2</v>
      </c>
    </row>
    <row r="30" spans="1:34">
      <c r="A30" s="1525" t="s">
        <v>1935</v>
      </c>
      <c r="B30" s="1534">
        <v>392</v>
      </c>
      <c r="C30" s="1534">
        <v>302</v>
      </c>
      <c r="D30" s="1534">
        <f t="shared" si="13"/>
        <v>302</v>
      </c>
      <c r="E30" s="1534">
        <v>553</v>
      </c>
      <c r="F30" s="1535">
        <v>266</v>
      </c>
      <c r="G30" s="3937">
        <v>2016</v>
      </c>
      <c r="H30" s="1528">
        <v>4</v>
      </c>
      <c r="I30" s="1528">
        <v>4.5599999999999996</v>
      </c>
      <c r="J30" s="1528">
        <v>2.15</v>
      </c>
      <c r="K30" s="1528">
        <v>5.32</v>
      </c>
      <c r="L30" s="1555">
        <v>1.57</v>
      </c>
      <c r="N30" s="1552">
        <f t="shared" si="14"/>
        <v>4.5600000000000002E-2</v>
      </c>
      <c r="O30" s="1553">
        <f t="shared" ref="O30:Q45" si="18">J30/100</f>
        <v>2.1499999999999998E-2</v>
      </c>
      <c r="P30" s="1553">
        <f t="shared" si="18"/>
        <v>5.3199999999999997E-2</v>
      </c>
      <c r="Q30" s="1553">
        <f t="shared" si="18"/>
        <v>1.5699999999999999E-2</v>
      </c>
      <c r="R30" s="1572"/>
      <c r="S30" s="1573"/>
      <c r="T30" s="1574"/>
      <c r="U30" s="1574"/>
      <c r="V30" s="1574"/>
      <c r="X30" s="1511">
        <f>ROUND(SUMPRODUCT(PRODUCT(1+N30:N$40)),4)</f>
        <v>1.274</v>
      </c>
      <c r="Y30" s="1511">
        <f>ROUND(SUMPRODUCT(PRODUCT(1+O30:O$40)),4)</f>
        <v>1.1740999999999999</v>
      </c>
      <c r="Z30" s="1511">
        <f t="shared" si="9"/>
        <v>1.1740999999999999</v>
      </c>
      <c r="AA30" s="1511">
        <f>ROUND(SUMPRODUCT(PRODUCT(1+P30:P$40)),4)</f>
        <v>1.3087</v>
      </c>
      <c r="AB30" s="1511">
        <f>ROUND(SUMPRODUCT(PRODUCT(1+Q30:Q$40)),4)</f>
        <v>1.1551</v>
      </c>
      <c r="AD30" s="1553">
        <f>ROUND(AVERAGE(I30:I$41)/100,4)</f>
        <v>2.3E-2</v>
      </c>
      <c r="AE30" s="1553">
        <f>ROUND(AVERAGE(J30:J$41)/100,4)</f>
        <v>1.55E-2</v>
      </c>
      <c r="AF30" s="1553">
        <f t="shared" si="10"/>
        <v>1.55E-2</v>
      </c>
      <c r="AG30" s="1553">
        <f>ROUND(AVERAGE(K30:K$41)/100,4)</f>
        <v>2.5600000000000001E-2</v>
      </c>
      <c r="AH30" s="1553">
        <f>ROUND(AVERAGE(L30:L$41)/100,4)</f>
        <v>1.32E-2</v>
      </c>
    </row>
    <row r="31" spans="1:34">
      <c r="A31" s="1525" t="s">
        <v>1936</v>
      </c>
      <c r="B31" s="1526">
        <f t="shared" ref="B31:C33" si="19">B30/(1+N30)</f>
        <v>374.90436113236399</v>
      </c>
      <c r="C31" s="1526">
        <f t="shared" si="19"/>
        <v>295.64366128242801</v>
      </c>
      <c r="D31" s="1526">
        <f t="shared" ref="D31:D90" si="20">C31</f>
        <v>295.64366128242801</v>
      </c>
      <c r="E31" s="1526">
        <f t="shared" ref="E31:F33" si="21">E30/(1+P30)</f>
        <v>525.06646410938095</v>
      </c>
      <c r="F31" s="1526">
        <f t="shared" si="21"/>
        <v>261.88835286009601</v>
      </c>
      <c r="G31" s="3935"/>
      <c r="H31" s="1527">
        <v>3</v>
      </c>
      <c r="I31" s="1527">
        <v>4.12</v>
      </c>
      <c r="J31" s="1527">
        <v>2</v>
      </c>
      <c r="K31" s="1527">
        <v>4.79</v>
      </c>
      <c r="L31" s="1554">
        <v>1.97</v>
      </c>
      <c r="N31" s="1552">
        <f t="shared" ref="N31:Q65" si="22">I31/100</f>
        <v>4.1200000000000001E-2</v>
      </c>
      <c r="O31" s="1553">
        <f t="shared" si="18"/>
        <v>0.02</v>
      </c>
      <c r="P31" s="1553">
        <f t="shared" si="18"/>
        <v>4.7899999999999998E-2</v>
      </c>
      <c r="Q31" s="1553">
        <f t="shared" si="18"/>
        <v>1.9699999999999999E-2</v>
      </c>
      <c r="R31" s="1572"/>
      <c r="S31" s="1552"/>
      <c r="T31" s="1553"/>
      <c r="U31" s="1553"/>
      <c r="V31" s="1553"/>
      <c r="X31" s="1511">
        <f>ROUND(SUMPRODUCT(PRODUCT(1+N31:N$40)),4)</f>
        <v>1.2184999999999999</v>
      </c>
      <c r="Y31" s="1511">
        <f>ROUND(SUMPRODUCT(PRODUCT(1+O31:O$40)),4)</f>
        <v>1.1494</v>
      </c>
      <c r="Z31" s="1511">
        <f t="shared" si="9"/>
        <v>1.1494</v>
      </c>
      <c r="AA31" s="1511">
        <f>ROUND(SUMPRODUCT(PRODUCT(1+P31:P$40)),4)</f>
        <v>1.2425999999999999</v>
      </c>
      <c r="AB31" s="1511">
        <f>ROUND(SUMPRODUCT(PRODUCT(1+Q31:Q$40)),4)</f>
        <v>1.1372</v>
      </c>
      <c r="AD31" s="1553">
        <f>ROUND(AVERAGE(I31:I$41)/100,4)</f>
        <v>2.0899999999999998E-2</v>
      </c>
      <c r="AE31" s="1553">
        <f>ROUND(AVERAGE(J31:J$41)/100,4)</f>
        <v>1.49E-2</v>
      </c>
      <c r="AF31" s="1553">
        <f t="shared" si="10"/>
        <v>1.49E-2</v>
      </c>
      <c r="AG31" s="1553">
        <f>ROUND(AVERAGE(K31:K$41)/100,4)</f>
        <v>2.3099999999999999E-2</v>
      </c>
      <c r="AH31" s="1553">
        <f>ROUND(AVERAGE(L31:L$41)/100,4)</f>
        <v>1.2999999999999999E-2</v>
      </c>
    </row>
    <row r="32" spans="1:34">
      <c r="A32" s="1525" t="s">
        <v>1937</v>
      </c>
      <c r="B32" s="1526">
        <f t="shared" si="19"/>
        <v>360.06949782209398</v>
      </c>
      <c r="C32" s="1526">
        <f t="shared" si="19"/>
        <v>289.84672674747799</v>
      </c>
      <c r="D32" s="1526">
        <f t="shared" si="20"/>
        <v>289.84672674747799</v>
      </c>
      <c r="E32" s="1526">
        <f t="shared" si="21"/>
        <v>501.06543001181501</v>
      </c>
      <c r="F32" s="1526">
        <f t="shared" si="21"/>
        <v>256.82882500745001</v>
      </c>
      <c r="G32" s="3935"/>
      <c r="H32" s="1531">
        <v>2</v>
      </c>
      <c r="I32" s="1531">
        <v>3.85</v>
      </c>
      <c r="J32" s="1531">
        <v>1.95</v>
      </c>
      <c r="K32" s="1531">
        <v>4.4800000000000004</v>
      </c>
      <c r="L32" s="1556">
        <v>1.41</v>
      </c>
      <c r="N32" s="1552">
        <f t="shared" si="22"/>
        <v>3.85E-2</v>
      </c>
      <c r="O32" s="1553">
        <f t="shared" si="18"/>
        <v>1.95E-2</v>
      </c>
      <c r="P32" s="1553">
        <f t="shared" si="18"/>
        <v>4.48E-2</v>
      </c>
      <c r="Q32" s="1553">
        <f t="shared" si="18"/>
        <v>1.41E-2</v>
      </c>
      <c r="R32" s="1572"/>
      <c r="S32" s="1552"/>
      <c r="T32" s="1553"/>
      <c r="U32" s="1553"/>
      <c r="V32" s="1553"/>
      <c r="X32" s="1511">
        <f>ROUND(SUMPRODUCT(PRODUCT(1+N32:N$40)),4)</f>
        <v>1.1702999999999999</v>
      </c>
      <c r="Y32" s="1511">
        <f>ROUND(SUMPRODUCT(PRODUCT(1+O32:O$40)),4)</f>
        <v>1.1269</v>
      </c>
      <c r="Z32" s="1511">
        <f t="shared" si="9"/>
        <v>1.1269</v>
      </c>
      <c r="AA32" s="1511">
        <f>ROUND(SUMPRODUCT(PRODUCT(1+P32:P$40)),4)</f>
        <v>1.1858</v>
      </c>
      <c r="AB32" s="1511">
        <f>ROUND(SUMPRODUCT(PRODUCT(1+Q32:Q$40)),4)</f>
        <v>1.1152</v>
      </c>
      <c r="AD32" s="1553">
        <f>ROUND(AVERAGE(I32:I$41)/100,4)</f>
        <v>1.89E-2</v>
      </c>
      <c r="AE32" s="1553">
        <f>ROUND(AVERAGE(J32:J$41)/100,4)</f>
        <v>1.44E-2</v>
      </c>
      <c r="AF32" s="1553">
        <f t="shared" si="10"/>
        <v>1.44E-2</v>
      </c>
      <c r="AG32" s="1553">
        <f>ROUND(AVERAGE(K32:K$41)/100,4)</f>
        <v>2.06E-2</v>
      </c>
      <c r="AH32" s="1553">
        <f>ROUND(AVERAGE(L32:L$41)/100,4)</f>
        <v>1.23E-2</v>
      </c>
    </row>
    <row r="33" spans="1:34">
      <c r="A33" s="1525" t="s">
        <v>1938</v>
      </c>
      <c r="B33" s="1526">
        <f t="shared" si="19"/>
        <v>346.720748986128</v>
      </c>
      <c r="C33" s="1526">
        <f t="shared" si="19"/>
        <v>284.30282172386302</v>
      </c>
      <c r="D33" s="1526">
        <f t="shared" si="20"/>
        <v>284.30282172386302</v>
      </c>
      <c r="E33" s="1526">
        <f t="shared" si="21"/>
        <v>479.58023546306902</v>
      </c>
      <c r="F33" s="1526">
        <f t="shared" si="21"/>
        <v>253.25788877571199</v>
      </c>
      <c r="G33" s="3938"/>
      <c r="H33" s="1527">
        <v>1</v>
      </c>
      <c r="I33" s="1527">
        <v>4.09</v>
      </c>
      <c r="J33" s="1527">
        <v>2.93</v>
      </c>
      <c r="K33" s="1527">
        <v>4.54</v>
      </c>
      <c r="L33" s="1554">
        <v>1.48</v>
      </c>
      <c r="N33" s="1552">
        <f t="shared" si="22"/>
        <v>4.0899999999999999E-2</v>
      </c>
      <c r="O33" s="1553">
        <f t="shared" si="18"/>
        <v>2.93E-2</v>
      </c>
      <c r="P33" s="1553">
        <f t="shared" si="18"/>
        <v>4.5400000000000003E-2</v>
      </c>
      <c r="Q33" s="1553">
        <f t="shared" si="18"/>
        <v>1.4800000000000001E-2</v>
      </c>
      <c r="R33" s="1572"/>
      <c r="S33" s="1560">
        <f>B33/B34-1</f>
        <v>4.1203450408792801E-2</v>
      </c>
      <c r="T33" s="1561">
        <f>C33/C34-1</f>
        <v>2.6363977342465102E-2</v>
      </c>
      <c r="U33" s="1561">
        <f>E33/E34-1</f>
        <v>4.4837114298626399E-2</v>
      </c>
      <c r="V33" s="1561">
        <f>F33/F34-1</f>
        <v>1.7099954922538602E-2</v>
      </c>
      <c r="X33" s="1511">
        <f>ROUND(SUMPRODUCT(PRODUCT(1+N33:N$40)),4)</f>
        <v>1.1269</v>
      </c>
      <c r="Y33" s="1511">
        <f>ROUND(SUMPRODUCT(PRODUCT(1+O33:O$40)),4)</f>
        <v>1.1052999999999999</v>
      </c>
      <c r="Z33" s="1511">
        <f t="shared" si="9"/>
        <v>1.1052999999999999</v>
      </c>
      <c r="AA33" s="1511">
        <f>ROUND(SUMPRODUCT(PRODUCT(1+P33:P$40)),4)</f>
        <v>1.1349</v>
      </c>
      <c r="AB33" s="1511">
        <f>ROUND(SUMPRODUCT(PRODUCT(1+Q33:Q$40)),4)</f>
        <v>1.0996999999999999</v>
      </c>
      <c r="AD33" s="1553">
        <f>ROUND(AVERAGE(I33:I$41)/100,4)</f>
        <v>1.67E-2</v>
      </c>
      <c r="AE33" s="1553">
        <f>ROUND(AVERAGE(J33:J$41)/100,4)</f>
        <v>1.38E-2</v>
      </c>
      <c r="AF33" s="1553">
        <f t="shared" si="10"/>
        <v>1.38E-2</v>
      </c>
      <c r="AG33" s="1553">
        <f>ROUND(AVERAGE(K33:K$41)/100,4)</f>
        <v>1.7899999999999999E-2</v>
      </c>
      <c r="AH33" s="1553">
        <f>ROUND(AVERAGE(L33:L$41)/100,4)</f>
        <v>1.21E-2</v>
      </c>
    </row>
    <row r="34" spans="1:34">
      <c r="A34" s="1525" t="s">
        <v>1939</v>
      </c>
      <c r="B34" s="1534">
        <v>333</v>
      </c>
      <c r="C34" s="1534">
        <v>277</v>
      </c>
      <c r="D34" s="1534">
        <f t="shared" si="20"/>
        <v>277</v>
      </c>
      <c r="E34" s="1534">
        <v>459</v>
      </c>
      <c r="F34" s="1535">
        <v>249</v>
      </c>
      <c r="G34" s="3939">
        <v>2015</v>
      </c>
      <c r="H34" s="1536">
        <v>4</v>
      </c>
      <c r="I34" s="1536">
        <v>1.63</v>
      </c>
      <c r="J34" s="1536">
        <v>1.1100000000000001</v>
      </c>
      <c r="K34" s="1536">
        <v>1.77</v>
      </c>
      <c r="L34" s="1562">
        <v>1.89</v>
      </c>
      <c r="N34" s="1557">
        <f t="shared" si="22"/>
        <v>1.6299999999999999E-2</v>
      </c>
      <c r="O34" s="1558">
        <f t="shared" si="18"/>
        <v>1.11E-2</v>
      </c>
      <c r="P34" s="1558">
        <f t="shared" si="18"/>
        <v>1.77E-2</v>
      </c>
      <c r="Q34" s="1558">
        <f t="shared" si="18"/>
        <v>1.89E-2</v>
      </c>
      <c r="R34" s="1572"/>
      <c r="X34" s="1511">
        <f>ROUND(SUMPRODUCT(PRODUCT(1+N34:N$40)),4)</f>
        <v>1.0826</v>
      </c>
      <c r="Y34" s="1511">
        <f>ROUND(SUMPRODUCT(PRODUCT(1+O34:O$40)),4)</f>
        <v>1.0738000000000001</v>
      </c>
      <c r="Z34" s="1511">
        <f t="shared" si="9"/>
        <v>1.0738000000000001</v>
      </c>
      <c r="AA34" s="1511">
        <f>ROUND(SUMPRODUCT(PRODUCT(1+P34:P$40)),4)</f>
        <v>1.0855999999999999</v>
      </c>
      <c r="AB34" s="1511">
        <f>ROUND(SUMPRODUCT(PRODUCT(1+Q34:Q$40)),4)</f>
        <v>1.0837000000000001</v>
      </c>
      <c r="AD34" s="1553">
        <f>ROUND(AVERAGE(I34:I$41)/100,4)</f>
        <v>1.37E-2</v>
      </c>
      <c r="AE34" s="1553">
        <f>ROUND(AVERAGE(J34:J$41)/100,4)</f>
        <v>1.1900000000000001E-2</v>
      </c>
      <c r="AF34" s="1553">
        <f t="shared" si="10"/>
        <v>1.1900000000000001E-2</v>
      </c>
      <c r="AG34" s="1553">
        <f>ROUND(AVERAGE(K34:K$41)/100,4)</f>
        <v>1.4500000000000001E-2</v>
      </c>
      <c r="AH34" s="1553">
        <f>ROUND(AVERAGE(L34:L$41)/100,4)</f>
        <v>1.18E-2</v>
      </c>
    </row>
    <row r="35" spans="1:34">
      <c r="A35" s="1525" t="s">
        <v>1940</v>
      </c>
      <c r="B35" s="1526">
        <f t="shared" ref="B35:C37" si="23">B34/(1+N34)</f>
        <v>327.65915576109398</v>
      </c>
      <c r="C35" s="1526">
        <f t="shared" si="23"/>
        <v>273.959054495104</v>
      </c>
      <c r="D35" s="1526">
        <f t="shared" si="20"/>
        <v>273.959054495104</v>
      </c>
      <c r="E35" s="1526">
        <f t="shared" ref="E35:F37" si="24">E34/(1+P34)</f>
        <v>451.01699911565299</v>
      </c>
      <c r="F35" s="1526">
        <f t="shared" si="24"/>
        <v>244.381195406811</v>
      </c>
      <c r="G35" s="3935"/>
      <c r="H35" s="1537">
        <v>3</v>
      </c>
      <c r="I35" s="1537">
        <v>1.65</v>
      </c>
      <c r="J35" s="1537">
        <v>0.92</v>
      </c>
      <c r="K35" s="1537">
        <v>1.88</v>
      </c>
      <c r="L35" s="1563">
        <v>1.26</v>
      </c>
      <c r="N35" s="1552">
        <f t="shared" si="22"/>
        <v>1.6500000000000001E-2</v>
      </c>
      <c r="O35" s="1559">
        <f t="shared" si="18"/>
        <v>9.1999999999999998E-3</v>
      </c>
      <c r="P35" s="1559">
        <f t="shared" si="18"/>
        <v>1.8800000000000001E-2</v>
      </c>
      <c r="Q35" s="1559">
        <f t="shared" si="18"/>
        <v>1.26E-2</v>
      </c>
      <c r="R35" s="1572"/>
      <c r="S35" s="1552"/>
      <c r="T35" s="1553"/>
      <c r="U35" s="1553"/>
      <c r="V35" s="1553"/>
      <c r="X35" s="1511">
        <f>ROUND(SUMPRODUCT(PRODUCT(1+N35:N$40)),4)</f>
        <v>1.0651999999999999</v>
      </c>
      <c r="Y35" s="1511">
        <f>ROUND(SUMPRODUCT(PRODUCT(1+O35:O$40)),4)</f>
        <v>1.0621</v>
      </c>
      <c r="Z35" s="1511">
        <f t="shared" si="9"/>
        <v>1.0621</v>
      </c>
      <c r="AA35" s="1511">
        <f>ROUND(SUMPRODUCT(PRODUCT(1+P35:P$40)),4)</f>
        <v>1.0668</v>
      </c>
      <c r="AB35" s="1511">
        <f>ROUND(SUMPRODUCT(PRODUCT(1+Q35:Q$40)),4)</f>
        <v>1.0636000000000001</v>
      </c>
      <c r="AD35" s="1553">
        <f>ROUND(AVERAGE(I35:I$41)/100,4)</f>
        <v>1.3299999999999999E-2</v>
      </c>
      <c r="AE35" s="1553">
        <f>ROUND(AVERAGE(J35:J$41)/100,4)</f>
        <v>1.2E-2</v>
      </c>
      <c r="AF35" s="1553">
        <f t="shared" si="10"/>
        <v>1.2E-2</v>
      </c>
      <c r="AG35" s="1553">
        <f>ROUND(AVERAGE(K35:K$41)/100,4)</f>
        <v>1.4E-2</v>
      </c>
      <c r="AH35" s="1553">
        <f>ROUND(AVERAGE(L35:L$41)/100,4)</f>
        <v>1.0800000000000001E-2</v>
      </c>
    </row>
    <row r="36" spans="1:34">
      <c r="A36" s="1525" t="s">
        <v>1941</v>
      </c>
      <c r="B36" s="1526">
        <f t="shared" si="23"/>
        <v>322.34053690220799</v>
      </c>
      <c r="C36" s="1526">
        <f t="shared" si="23"/>
        <v>271.461607704225</v>
      </c>
      <c r="D36" s="1526">
        <f t="shared" si="20"/>
        <v>271.461607704225</v>
      </c>
      <c r="E36" s="1526">
        <f t="shared" si="24"/>
        <v>442.69434542172502</v>
      </c>
      <c r="F36" s="1526">
        <f t="shared" si="24"/>
        <v>241.34030753190899</v>
      </c>
      <c r="G36" s="3935"/>
      <c r="H36" s="1531">
        <v>2</v>
      </c>
      <c r="I36" s="1531">
        <v>0.77</v>
      </c>
      <c r="J36" s="1531">
        <v>0.69</v>
      </c>
      <c r="K36" s="1531">
        <v>0.8</v>
      </c>
      <c r="L36" s="1556">
        <v>0.88</v>
      </c>
      <c r="N36" s="1552">
        <f t="shared" si="22"/>
        <v>7.7000000000000002E-3</v>
      </c>
      <c r="O36" s="1559">
        <f t="shared" si="18"/>
        <v>6.8999999999999999E-3</v>
      </c>
      <c r="P36" s="1559">
        <f t="shared" si="18"/>
        <v>8.0000000000000002E-3</v>
      </c>
      <c r="Q36" s="1559">
        <f t="shared" si="18"/>
        <v>8.8000000000000005E-3</v>
      </c>
      <c r="R36" s="1572"/>
      <c r="S36" s="1552"/>
      <c r="T36" s="1553"/>
      <c r="U36" s="1553"/>
      <c r="V36" s="1553"/>
      <c r="X36" s="1511">
        <f>ROUND(SUMPRODUCT(PRODUCT(1+N36:N$40)),4)</f>
        <v>1.048</v>
      </c>
      <c r="Y36" s="1511">
        <f>ROUND(SUMPRODUCT(PRODUCT(1+O36:O$40)),4)</f>
        <v>1.0524</v>
      </c>
      <c r="Z36" s="1511">
        <f t="shared" si="9"/>
        <v>1.0524</v>
      </c>
      <c r="AA36" s="1511">
        <f>ROUND(SUMPRODUCT(PRODUCT(1+P36:P$40)),4)</f>
        <v>1.0470999999999999</v>
      </c>
      <c r="AB36" s="1511">
        <f>ROUND(SUMPRODUCT(PRODUCT(1+Q36:Q$40)),4)</f>
        <v>1.0504</v>
      </c>
      <c r="AD36" s="1553">
        <f>ROUND(AVERAGE(I36:I$41)/100,4)</f>
        <v>1.2800000000000001E-2</v>
      </c>
      <c r="AE36" s="1553">
        <f>ROUND(AVERAGE(J36:J$41)/100,4)</f>
        <v>1.2500000000000001E-2</v>
      </c>
      <c r="AF36" s="1553">
        <f t="shared" si="10"/>
        <v>1.2500000000000001E-2</v>
      </c>
      <c r="AG36" s="1553">
        <f>ROUND(AVERAGE(K36:K$41)/100,4)</f>
        <v>1.32E-2</v>
      </c>
      <c r="AH36" s="1553">
        <f>ROUND(AVERAGE(L36:L$41)/100,4)</f>
        <v>1.0500000000000001E-2</v>
      </c>
    </row>
    <row r="37" spans="1:34">
      <c r="A37" s="1525" t="s">
        <v>1942</v>
      </c>
      <c r="B37" s="1526">
        <f t="shared" si="23"/>
        <v>319.87748030386803</v>
      </c>
      <c r="C37" s="1526">
        <f t="shared" si="23"/>
        <v>269.60135833173598</v>
      </c>
      <c r="D37" s="1526">
        <f t="shared" si="20"/>
        <v>269.60135833173598</v>
      </c>
      <c r="E37" s="1526">
        <f t="shared" si="24"/>
        <v>439.18089823583801</v>
      </c>
      <c r="F37" s="1526">
        <f t="shared" si="24"/>
        <v>239.23503918706299</v>
      </c>
      <c r="G37" s="3938"/>
      <c r="H37" s="1527">
        <v>1</v>
      </c>
      <c r="I37" s="1527">
        <v>0.51</v>
      </c>
      <c r="J37" s="1527">
        <v>0.54</v>
      </c>
      <c r="K37" s="1527">
        <v>0.48</v>
      </c>
      <c r="L37" s="1554">
        <v>0.93</v>
      </c>
      <c r="N37" s="1560">
        <f t="shared" si="22"/>
        <v>5.1000000000000004E-3</v>
      </c>
      <c r="O37" s="1561">
        <f t="shared" si="18"/>
        <v>5.4000000000000003E-3</v>
      </c>
      <c r="P37" s="1561">
        <f t="shared" si="18"/>
        <v>4.7999999999999996E-3</v>
      </c>
      <c r="Q37" s="1561">
        <f t="shared" si="18"/>
        <v>9.2999999999999992E-3</v>
      </c>
      <c r="R37" s="1572"/>
      <c r="S37" s="1560">
        <f>B37/B38-1</f>
        <v>5.9040261127922796E-3</v>
      </c>
      <c r="T37" s="1561">
        <f>C37/C38-1</f>
        <v>5.9752176557332799E-3</v>
      </c>
      <c r="U37" s="1561">
        <f>E37/E38-1</f>
        <v>4.9906138119859599E-3</v>
      </c>
      <c r="V37" s="1561">
        <f>F37/F38-1</f>
        <v>9.4305450930933805E-3</v>
      </c>
      <c r="X37" s="1511">
        <f>ROUND(SUMPRODUCT(PRODUCT(1+N37:N$40)),4)</f>
        <v>1.0399</v>
      </c>
      <c r="Y37" s="1511">
        <f>ROUND(SUMPRODUCT(PRODUCT(1+O37:O$40)),4)</f>
        <v>1.0451999999999999</v>
      </c>
      <c r="Z37" s="1511">
        <f t="shared" si="9"/>
        <v>1.0451999999999999</v>
      </c>
      <c r="AA37" s="1511">
        <f>ROUND(SUMPRODUCT(PRODUCT(1+P37:P$40)),4)</f>
        <v>1.0387999999999999</v>
      </c>
      <c r="AB37" s="1511">
        <f>ROUND(SUMPRODUCT(PRODUCT(1+Q37:Q$40)),4)</f>
        <v>1.0411999999999999</v>
      </c>
      <c r="AD37" s="1553">
        <f>ROUND(AVERAGE(I37:I$41)/100,4)</f>
        <v>1.38E-2</v>
      </c>
      <c r="AE37" s="1553">
        <f>ROUND(AVERAGE(J37:J$41)/100,4)</f>
        <v>1.3599999999999999E-2</v>
      </c>
      <c r="AF37" s="1553">
        <f t="shared" si="10"/>
        <v>1.3599999999999999E-2</v>
      </c>
      <c r="AG37" s="1553">
        <f>ROUND(AVERAGE(K37:K$41)/100,4)</f>
        <v>1.4200000000000001E-2</v>
      </c>
      <c r="AH37" s="1553">
        <f>ROUND(AVERAGE(L37:L$41)/100,4)</f>
        <v>1.0800000000000001E-2</v>
      </c>
    </row>
    <row r="38" spans="1:34">
      <c r="A38" s="1525" t="s">
        <v>1943</v>
      </c>
      <c r="B38" s="1538">
        <v>318</v>
      </c>
      <c r="C38" s="1538">
        <v>268</v>
      </c>
      <c r="D38" s="1538">
        <f t="shared" si="20"/>
        <v>268</v>
      </c>
      <c r="E38" s="1538">
        <v>437</v>
      </c>
      <c r="F38" s="1539">
        <v>237</v>
      </c>
      <c r="G38" s="3939">
        <v>2014</v>
      </c>
      <c r="H38" s="1536">
        <v>4</v>
      </c>
      <c r="I38" s="1536">
        <v>0.21</v>
      </c>
      <c r="J38" s="1536">
        <v>0.41</v>
      </c>
      <c r="K38" s="1536">
        <v>0.12</v>
      </c>
      <c r="L38" s="1562">
        <v>0.89</v>
      </c>
      <c r="N38" s="1552">
        <f t="shared" si="22"/>
        <v>2.0999999999999999E-3</v>
      </c>
      <c r="O38" s="1553">
        <f t="shared" si="18"/>
        <v>4.1000000000000003E-3</v>
      </c>
      <c r="P38" s="1553">
        <f t="shared" si="18"/>
        <v>1.1999999999999999E-3</v>
      </c>
      <c r="Q38" s="1553">
        <f t="shared" si="18"/>
        <v>8.8999999999999999E-3</v>
      </c>
      <c r="R38" s="1572"/>
      <c r="S38" s="1573"/>
      <c r="T38" s="1574"/>
      <c r="U38" s="1574"/>
      <c r="V38" s="1574"/>
      <c r="X38" s="1511">
        <f>ROUND(SUMPRODUCT(PRODUCT(1+N38:N$40)),4)</f>
        <v>1.0347</v>
      </c>
      <c r="Y38" s="1511">
        <f>ROUND(SUMPRODUCT(PRODUCT(1+O38:O$40)),4)</f>
        <v>1.0395000000000001</v>
      </c>
      <c r="Z38" s="1511">
        <f t="shared" si="9"/>
        <v>1.0395000000000001</v>
      </c>
      <c r="AA38" s="1511">
        <f>ROUND(SUMPRODUCT(PRODUCT(1+P38:P$40)),4)</f>
        <v>1.0338000000000001</v>
      </c>
      <c r="AB38" s="1511">
        <f>ROUND(SUMPRODUCT(PRODUCT(1+Q38:Q$40)),4)</f>
        <v>1.0316000000000001</v>
      </c>
      <c r="AD38" s="1553">
        <f>ROUND(AVERAGE(I38:I$41)/100,4)</f>
        <v>1.6E-2</v>
      </c>
      <c r="AE38" s="1553">
        <f>ROUND(AVERAGE(J38:J$41)/100,4)</f>
        <v>1.5599999999999999E-2</v>
      </c>
      <c r="AF38" s="1553">
        <f t="shared" si="10"/>
        <v>1.5599999999999999E-2</v>
      </c>
      <c r="AG38" s="1553">
        <f>ROUND(AVERAGE(K38:K$41)/100,4)</f>
        <v>1.66E-2</v>
      </c>
      <c r="AH38" s="1553">
        <f>ROUND(AVERAGE(L38:L$41)/100,4)</f>
        <v>1.12E-2</v>
      </c>
    </row>
    <row r="39" spans="1:34">
      <c r="A39" s="1525" t="s">
        <v>1944</v>
      </c>
      <c r="B39" s="1526">
        <f t="shared" ref="B39:C41" si="25">B38/(1+N38)</f>
        <v>317.33359944117399</v>
      </c>
      <c r="C39" s="1526">
        <f t="shared" si="25"/>
        <v>266.90568668459298</v>
      </c>
      <c r="D39" s="1526">
        <f t="shared" si="20"/>
        <v>266.90568668459298</v>
      </c>
      <c r="E39" s="1526">
        <f t="shared" ref="E39:F41" si="26">E38/(1+P38)</f>
        <v>436.47622852576899</v>
      </c>
      <c r="F39" s="1526">
        <f t="shared" si="26"/>
        <v>234.909307166221</v>
      </c>
      <c r="G39" s="3935"/>
      <c r="H39" s="1540">
        <v>3</v>
      </c>
      <c r="I39" s="1540">
        <v>0.83</v>
      </c>
      <c r="J39" s="1540">
        <v>1.47</v>
      </c>
      <c r="K39" s="1540">
        <v>0.65</v>
      </c>
      <c r="L39" s="1564">
        <v>0.72</v>
      </c>
      <c r="N39" s="1552">
        <f t="shared" si="22"/>
        <v>8.3000000000000001E-3</v>
      </c>
      <c r="O39" s="1553">
        <f t="shared" si="18"/>
        <v>1.47E-2</v>
      </c>
      <c r="P39" s="1553">
        <f t="shared" si="18"/>
        <v>6.4999999999999997E-3</v>
      </c>
      <c r="Q39" s="1553">
        <f t="shared" si="18"/>
        <v>7.1999999999999998E-3</v>
      </c>
      <c r="R39" s="1572"/>
      <c r="S39" s="1552"/>
      <c r="T39" s="1553"/>
      <c r="U39" s="1553"/>
      <c r="V39" s="1553"/>
      <c r="X39" s="1511">
        <f>ROUND(SUMPRODUCT(PRODUCT(1+N39:N$40)),4)</f>
        <v>1.0325</v>
      </c>
      <c r="Y39" s="1511">
        <f>ROUND(SUMPRODUCT(PRODUCT(1+O39:O$40)),4)</f>
        <v>1.0353000000000001</v>
      </c>
      <c r="Z39" s="1511">
        <f t="shared" si="9"/>
        <v>1.0353000000000001</v>
      </c>
      <c r="AA39" s="1511">
        <f>ROUND(SUMPRODUCT(PRODUCT(1+P39:P$40)),4)</f>
        <v>1.0326</v>
      </c>
      <c r="AB39" s="1511">
        <f>ROUND(SUMPRODUCT(PRODUCT(1+Q39:Q$40)),4)</f>
        <v>1.0225</v>
      </c>
      <c r="AD39" s="1553">
        <f>ROUND(AVERAGE(I39:I$41)/100,4)</f>
        <v>2.07E-2</v>
      </c>
      <c r="AE39" s="1553">
        <f>ROUND(AVERAGE(J39:J$41)/100,4)</f>
        <v>1.95E-2</v>
      </c>
      <c r="AF39" s="1553">
        <f t="shared" si="10"/>
        <v>1.95E-2</v>
      </c>
      <c r="AG39" s="1553">
        <f>ROUND(AVERAGE(K39:K$41)/100,4)</f>
        <v>2.1700000000000001E-2</v>
      </c>
      <c r="AH39" s="1553">
        <f>ROUND(AVERAGE(L39:L$41)/100,4)</f>
        <v>1.2E-2</v>
      </c>
    </row>
    <row r="40" spans="1:34">
      <c r="A40" s="1525" t="s">
        <v>1945</v>
      </c>
      <c r="B40" s="1526">
        <f t="shared" si="25"/>
        <v>314.721411723865</v>
      </c>
      <c r="C40" s="1526">
        <f t="shared" si="25"/>
        <v>263.03901319069001</v>
      </c>
      <c r="D40" s="1526">
        <f t="shared" si="20"/>
        <v>263.03901319069001</v>
      </c>
      <c r="E40" s="1526">
        <f t="shared" si="26"/>
        <v>433.65745506782798</v>
      </c>
      <c r="F40" s="1526">
        <f t="shared" si="26"/>
        <v>233.23005080045701</v>
      </c>
      <c r="G40" s="3935"/>
      <c r="H40" s="1536">
        <v>2</v>
      </c>
      <c r="I40" s="1536">
        <v>2.4</v>
      </c>
      <c r="J40" s="1536">
        <v>2.0299999999999998</v>
      </c>
      <c r="K40" s="1536">
        <v>2.59</v>
      </c>
      <c r="L40" s="1562">
        <v>1.52</v>
      </c>
      <c r="N40" s="1552">
        <f t="shared" si="22"/>
        <v>2.4E-2</v>
      </c>
      <c r="O40" s="1553">
        <f t="shared" si="18"/>
        <v>2.0299999999999999E-2</v>
      </c>
      <c r="P40" s="1553">
        <f t="shared" si="18"/>
        <v>2.5899999999999999E-2</v>
      </c>
      <c r="Q40" s="1553">
        <f t="shared" si="18"/>
        <v>1.52E-2</v>
      </c>
      <c r="R40" s="1572"/>
      <c r="S40" s="1552"/>
      <c r="T40" s="1553"/>
      <c r="U40" s="1553"/>
      <c r="V40" s="1553"/>
      <c r="X40" s="1511">
        <f>1+N40</f>
        <v>1.024</v>
      </c>
      <c r="Y40" s="1511">
        <f>1+O40</f>
        <v>1.0203</v>
      </c>
      <c r="Z40" s="1511">
        <f t="shared" si="9"/>
        <v>1.0203</v>
      </c>
      <c r="AA40" s="1511">
        <f>1+P40</f>
        <v>1.0259</v>
      </c>
      <c r="AB40" s="1511">
        <f>1+Q40</f>
        <v>1.0152000000000001</v>
      </c>
      <c r="AD40" s="1553">
        <f>ROUND(AVERAGE(I40:I$41)/100,4)</f>
        <v>2.69E-2</v>
      </c>
      <c r="AE40" s="1553">
        <f>ROUND(AVERAGE(J40:J$41)/100,4)</f>
        <v>2.1899999999999999E-2</v>
      </c>
      <c r="AF40" s="1553">
        <f t="shared" si="10"/>
        <v>2.1899999999999999E-2</v>
      </c>
      <c r="AG40" s="1553">
        <f>ROUND(AVERAGE(K40:K$41)/100,4)</f>
        <v>2.9399999999999999E-2</v>
      </c>
      <c r="AH40" s="1553">
        <f>ROUND(AVERAGE(L40:L$41)/100,4)</f>
        <v>1.44E-2</v>
      </c>
    </row>
    <row r="41" spans="1:34" s="1508" customFormat="1">
      <c r="A41" s="1541" t="s">
        <v>1946</v>
      </c>
      <c r="B41" s="1542">
        <f t="shared" si="25"/>
        <v>307.34512863658699</v>
      </c>
      <c r="C41" s="1542">
        <f t="shared" si="25"/>
        <v>257.80556031626998</v>
      </c>
      <c r="D41" s="1542">
        <f t="shared" si="20"/>
        <v>257.80556031626998</v>
      </c>
      <c r="E41" s="1542">
        <f t="shared" si="26"/>
        <v>422.70928459677202</v>
      </c>
      <c r="F41" s="1542">
        <f t="shared" si="26"/>
        <v>229.738032703366</v>
      </c>
      <c r="G41" s="3938"/>
      <c r="H41" s="1543">
        <v>1</v>
      </c>
      <c r="I41" s="1543">
        <v>2.97</v>
      </c>
      <c r="J41" s="1543">
        <v>2.34</v>
      </c>
      <c r="K41" s="1543">
        <v>3.28</v>
      </c>
      <c r="L41" s="1565">
        <v>1.36</v>
      </c>
      <c r="N41" s="1566">
        <f t="shared" si="22"/>
        <v>2.9700000000000001E-2</v>
      </c>
      <c r="O41" s="1567">
        <f t="shared" si="18"/>
        <v>2.3400000000000001E-2</v>
      </c>
      <c r="P41" s="1567">
        <f t="shared" si="18"/>
        <v>3.2800000000000003E-2</v>
      </c>
      <c r="Q41" s="1567">
        <f t="shared" si="18"/>
        <v>1.3599999999999999E-2</v>
      </c>
      <c r="R41" s="1575"/>
      <c r="S41" s="1576">
        <f>B41/B42-1</f>
        <v>2.7910129219355501E-2</v>
      </c>
      <c r="T41" s="1577">
        <f>C41/C42-1</f>
        <v>2.3037937762975198E-2</v>
      </c>
      <c r="U41" s="1577">
        <f>E41/E42-1</f>
        <v>3.3519033243940802E-2</v>
      </c>
      <c r="V41" s="1577">
        <f>F41/F42-1</f>
        <v>1.20618180765029E-2</v>
      </c>
      <c r="W41" s="1578" t="s">
        <v>1947</v>
      </c>
      <c r="X41" s="1579">
        <v>1</v>
      </c>
      <c r="Y41" s="1579">
        <v>1</v>
      </c>
      <c r="Z41" s="1579">
        <v>1</v>
      </c>
      <c r="AA41" s="1579">
        <v>1</v>
      </c>
      <c r="AB41" s="1579">
        <v>1</v>
      </c>
      <c r="AD41" s="1567">
        <f>I41/100</f>
        <v>2.9700000000000001E-2</v>
      </c>
      <c r="AE41" s="1567">
        <f>J41/100</f>
        <v>2.3400000000000001E-2</v>
      </c>
      <c r="AF41" s="1567">
        <f t="shared" si="10"/>
        <v>2.3400000000000001E-2</v>
      </c>
      <c r="AG41" s="1567">
        <f>K41/100</f>
        <v>3.2800000000000003E-2</v>
      </c>
      <c r="AH41" s="1567">
        <f>L41/100</f>
        <v>1.3599999999999999E-2</v>
      </c>
    </row>
    <row r="42" spans="1:34">
      <c r="A42" s="1525" t="s">
        <v>1948</v>
      </c>
      <c r="B42" s="1534">
        <v>299</v>
      </c>
      <c r="C42" s="1534">
        <v>252</v>
      </c>
      <c r="D42" s="1534">
        <f t="shared" si="20"/>
        <v>252</v>
      </c>
      <c r="E42" s="1534">
        <v>409</v>
      </c>
      <c r="F42" s="1535">
        <v>227</v>
      </c>
      <c r="G42" s="3940">
        <v>2013</v>
      </c>
      <c r="H42" s="1544">
        <v>4</v>
      </c>
      <c r="I42" s="1544">
        <v>1.83</v>
      </c>
      <c r="J42" s="1544">
        <v>1.68</v>
      </c>
      <c r="K42" s="1544">
        <v>1.97</v>
      </c>
      <c r="L42" s="1568">
        <v>0.87</v>
      </c>
      <c r="N42" s="1557">
        <f t="shared" si="22"/>
        <v>1.83E-2</v>
      </c>
      <c r="O42" s="1558">
        <f t="shared" si="18"/>
        <v>1.6799999999999999E-2</v>
      </c>
      <c r="P42" s="1558">
        <f t="shared" si="18"/>
        <v>1.9699999999999999E-2</v>
      </c>
      <c r="Q42" s="1558">
        <f t="shared" si="18"/>
        <v>8.6999999999999994E-3</v>
      </c>
      <c r="R42" s="1572"/>
      <c r="S42" s="1573"/>
      <c r="T42" s="1574"/>
      <c r="U42" s="1574"/>
      <c r="V42" s="1574"/>
      <c r="X42" s="1574"/>
      <c r="Y42" s="1574"/>
      <c r="Z42" s="1574"/>
    </row>
    <row r="43" spans="1:34">
      <c r="A43" s="1525" t="s">
        <v>1949</v>
      </c>
      <c r="B43" s="1526">
        <f t="shared" ref="B43:C45" si="27">B42/(1+N42)</f>
        <v>293.62663262299901</v>
      </c>
      <c r="C43" s="1526">
        <f t="shared" si="27"/>
        <v>247.836349331235</v>
      </c>
      <c r="D43" s="1526">
        <f t="shared" si="20"/>
        <v>247.836349331235</v>
      </c>
      <c r="E43" s="1526">
        <f t="shared" ref="E43:F45" si="28">E42/(1+P42)</f>
        <v>401.09836226341099</v>
      </c>
      <c r="F43" s="1526">
        <f t="shared" si="28"/>
        <v>225.04213343908</v>
      </c>
      <c r="G43" s="3941"/>
      <c r="H43" s="1537">
        <v>3</v>
      </c>
      <c r="I43" s="1537">
        <v>1.86</v>
      </c>
      <c r="J43" s="1537">
        <v>1.72</v>
      </c>
      <c r="K43" s="1537">
        <v>1.98</v>
      </c>
      <c r="L43" s="1563">
        <v>0.88</v>
      </c>
      <c r="N43" s="1552">
        <f t="shared" si="22"/>
        <v>1.8599999999999998E-2</v>
      </c>
      <c r="O43" s="1559">
        <f t="shared" si="18"/>
        <v>1.72E-2</v>
      </c>
      <c r="P43" s="1559">
        <f t="shared" si="18"/>
        <v>1.9800000000000002E-2</v>
      </c>
      <c r="Q43" s="1559">
        <f t="shared" si="18"/>
        <v>8.8000000000000005E-3</v>
      </c>
      <c r="R43" s="1572"/>
      <c r="S43" s="1552"/>
      <c r="T43" s="1553"/>
      <c r="U43" s="1553"/>
      <c r="V43" s="1553"/>
    </row>
    <row r="44" spans="1:34">
      <c r="A44" s="1525" t="s">
        <v>1950</v>
      </c>
      <c r="B44" s="1526">
        <f t="shared" si="27"/>
        <v>288.264905382878</v>
      </c>
      <c r="C44" s="1526">
        <f t="shared" si="27"/>
        <v>243.64564425013299</v>
      </c>
      <c r="D44" s="1526">
        <f t="shared" si="20"/>
        <v>243.64564425013299</v>
      </c>
      <c r="E44" s="1526">
        <f t="shared" si="28"/>
        <v>393.31080825986498</v>
      </c>
      <c r="F44" s="1526">
        <f t="shared" si="28"/>
        <v>223.079037905512</v>
      </c>
      <c r="G44" s="3941"/>
      <c r="H44" s="1531">
        <v>2</v>
      </c>
      <c r="I44" s="1531">
        <v>2.04</v>
      </c>
      <c r="J44" s="1531">
        <v>2.33</v>
      </c>
      <c r="K44" s="1531">
        <v>2.0699999999999998</v>
      </c>
      <c r="L44" s="1556">
        <v>0.69</v>
      </c>
      <c r="N44" s="1552">
        <f t="shared" si="22"/>
        <v>2.0400000000000001E-2</v>
      </c>
      <c r="O44" s="1559">
        <f t="shared" si="18"/>
        <v>2.3300000000000001E-2</v>
      </c>
      <c r="P44" s="1559">
        <f t="shared" si="18"/>
        <v>2.07E-2</v>
      </c>
      <c r="Q44" s="1559">
        <f t="shared" si="18"/>
        <v>6.8999999999999999E-3</v>
      </c>
      <c r="R44" s="1572"/>
      <c r="S44" s="1552"/>
      <c r="T44" s="1553"/>
      <c r="U44" s="1553"/>
      <c r="V44" s="1553"/>
      <c r="X44" s="1580"/>
      <c r="Y44" s="1583"/>
    </row>
    <row r="45" spans="1:34">
      <c r="A45" s="1525" t="s">
        <v>1951</v>
      </c>
      <c r="B45" s="1526">
        <f t="shared" si="27"/>
        <v>282.50186729015797</v>
      </c>
      <c r="C45" s="1526">
        <f t="shared" si="27"/>
        <v>238.097961741555</v>
      </c>
      <c r="D45" s="1526">
        <f t="shared" si="20"/>
        <v>238.097961741555</v>
      </c>
      <c r="E45" s="1526">
        <f t="shared" si="28"/>
        <v>385.33438646014099</v>
      </c>
      <c r="F45" s="1526">
        <f t="shared" si="28"/>
        <v>221.550340555677</v>
      </c>
      <c r="G45" s="3942"/>
      <c r="H45" s="1527">
        <v>1</v>
      </c>
      <c r="I45" s="1527">
        <v>1.67</v>
      </c>
      <c r="J45" s="1527">
        <v>1.31</v>
      </c>
      <c r="K45" s="1527">
        <v>1.85</v>
      </c>
      <c r="L45" s="1554">
        <v>0.96</v>
      </c>
      <c r="N45" s="1560">
        <f t="shared" si="22"/>
        <v>1.67E-2</v>
      </c>
      <c r="O45" s="1561">
        <f t="shared" si="18"/>
        <v>1.3100000000000001E-2</v>
      </c>
      <c r="P45" s="1561">
        <f t="shared" si="18"/>
        <v>1.8499999999999999E-2</v>
      </c>
      <c r="Q45" s="1561">
        <f t="shared" si="18"/>
        <v>9.5999999999999992E-3</v>
      </c>
      <c r="R45" s="1572"/>
      <c r="S45" s="1560">
        <f>B45/B46-1</f>
        <v>1.61937672307855E-2</v>
      </c>
      <c r="T45" s="1561">
        <f>C45/C46-1</f>
        <v>1.7512657015190902E-2</v>
      </c>
      <c r="U45" s="1561">
        <f>E45/E46-1</f>
        <v>1.6713420739156999E-2</v>
      </c>
      <c r="V45" s="1561">
        <f>F45/F46-1</f>
        <v>7.0470025258062598E-3</v>
      </c>
      <c r="X45" s="1581"/>
      <c r="Y45" s="1553"/>
      <c r="Z45" s="1553"/>
    </row>
    <row r="46" spans="1:34">
      <c r="A46" s="1525" t="s">
        <v>1952</v>
      </c>
      <c r="B46" s="1545">
        <v>278</v>
      </c>
      <c r="C46" s="1545">
        <v>234</v>
      </c>
      <c r="D46" s="1545">
        <f t="shared" si="20"/>
        <v>234</v>
      </c>
      <c r="E46" s="1545">
        <v>379</v>
      </c>
      <c r="F46" s="1546">
        <v>220</v>
      </c>
      <c r="G46" s="3939">
        <v>2012</v>
      </c>
      <c r="H46" s="1536">
        <v>4</v>
      </c>
      <c r="I46" s="1536">
        <v>0.91</v>
      </c>
      <c r="J46" s="1536">
        <v>0.68</v>
      </c>
      <c r="K46" s="1536">
        <v>0.98</v>
      </c>
      <c r="L46" s="1562">
        <v>0.9</v>
      </c>
      <c r="N46" s="1552">
        <f t="shared" si="22"/>
        <v>9.1000000000000004E-3</v>
      </c>
      <c r="O46" s="1553">
        <f t="shared" si="22"/>
        <v>6.7999999999999996E-3</v>
      </c>
      <c r="P46" s="1553">
        <f t="shared" si="22"/>
        <v>9.7999999999999997E-3</v>
      </c>
      <c r="Q46" s="1553">
        <f t="shared" si="22"/>
        <v>8.9999999999999993E-3</v>
      </c>
      <c r="R46" s="1572"/>
      <c r="S46" s="1573"/>
      <c r="T46" s="1574"/>
      <c r="U46" s="1574"/>
      <c r="V46" s="1574"/>
      <c r="X46" s="1574"/>
      <c r="Y46" s="1574"/>
      <c r="Z46" s="1574"/>
    </row>
    <row r="47" spans="1:34">
      <c r="A47" s="1525" t="s">
        <v>1953</v>
      </c>
      <c r="B47" s="1526">
        <f>B46/(1+N46)</f>
        <v>275.49301357645402</v>
      </c>
      <c r="C47" s="1526">
        <f>C46/(1+O46)</f>
        <v>232.41954707985701</v>
      </c>
      <c r="D47" s="1526">
        <f t="shared" si="20"/>
        <v>232.41954707985701</v>
      </c>
      <c r="E47" s="1526">
        <f t="shared" ref="E47:F49" si="29">E46/(1+P46)</f>
        <v>375.32184591008098</v>
      </c>
      <c r="F47" s="1526">
        <f t="shared" si="29"/>
        <v>218.03766105054501</v>
      </c>
      <c r="G47" s="3935"/>
      <c r="H47" s="1537">
        <v>3</v>
      </c>
      <c r="I47" s="1537">
        <v>0.09</v>
      </c>
      <c r="J47" s="1537">
        <v>0.28999999999999998</v>
      </c>
      <c r="K47" s="1537">
        <v>-0.01</v>
      </c>
      <c r="L47" s="1563">
        <v>0.57999999999999996</v>
      </c>
      <c r="N47" s="1552">
        <f t="shared" si="22"/>
        <v>8.9999999999999998E-4</v>
      </c>
      <c r="O47" s="1553">
        <f t="shared" si="22"/>
        <v>2.8999999999999998E-3</v>
      </c>
      <c r="P47" s="1553">
        <f t="shared" si="22"/>
        <v>-1E-4</v>
      </c>
      <c r="Q47" s="1553">
        <f t="shared" si="22"/>
        <v>5.7999999999999996E-3</v>
      </c>
      <c r="R47" s="1572"/>
      <c r="S47" s="1552"/>
      <c r="T47" s="1553"/>
      <c r="U47" s="1553"/>
      <c r="V47" s="1553"/>
    </row>
    <row r="48" spans="1:34">
      <c r="A48" s="1525" t="s">
        <v>1954</v>
      </c>
      <c r="B48" s="1526">
        <f>B47/(1+N47)</f>
        <v>275.24529281292303</v>
      </c>
      <c r="C48" s="1526">
        <f>C47/(1+O47)</f>
        <v>231.74747938962699</v>
      </c>
      <c r="D48" s="1526">
        <f t="shared" si="20"/>
        <v>231.74747938962699</v>
      </c>
      <c r="E48" s="1526">
        <f t="shared" si="29"/>
        <v>375.35938184826603</v>
      </c>
      <c r="F48" s="1526">
        <f t="shared" si="29"/>
        <v>216.78033510692501</v>
      </c>
      <c r="G48" s="3935"/>
      <c r="H48" s="1531">
        <v>2</v>
      </c>
      <c r="I48" s="1531">
        <v>0.02</v>
      </c>
      <c r="J48" s="1531">
        <v>0.12</v>
      </c>
      <c r="K48" s="1531">
        <v>-0.08</v>
      </c>
      <c r="L48" s="1556">
        <v>1.24</v>
      </c>
      <c r="N48" s="1552">
        <f t="shared" si="22"/>
        <v>2.0000000000000001E-4</v>
      </c>
      <c r="O48" s="1553">
        <f t="shared" si="22"/>
        <v>1.1999999999999999E-3</v>
      </c>
      <c r="P48" s="1553">
        <f t="shared" si="22"/>
        <v>-8.0000000000000004E-4</v>
      </c>
      <c r="Q48" s="1553">
        <f t="shared" si="22"/>
        <v>1.24E-2</v>
      </c>
      <c r="R48" s="1572"/>
      <c r="S48" s="1552"/>
      <c r="T48" s="1553"/>
      <c r="U48" s="1553"/>
      <c r="V48" s="1553"/>
    </row>
    <row r="49" spans="1:26">
      <c r="A49" s="1525" t="s">
        <v>1955</v>
      </c>
      <c r="B49" s="1526">
        <f>B48/(1+N48)</f>
        <v>275.19025476196998</v>
      </c>
      <c r="C49" s="1547">
        <v>232</v>
      </c>
      <c r="D49" s="1547">
        <f t="shared" si="20"/>
        <v>232</v>
      </c>
      <c r="E49" s="1526">
        <f t="shared" si="29"/>
        <v>375.65990977608698</v>
      </c>
      <c r="F49" s="1526">
        <f t="shared" si="29"/>
        <v>214.12518283971301</v>
      </c>
      <c r="G49" s="3938"/>
      <c r="H49" s="1527">
        <v>1</v>
      </c>
      <c r="I49" s="1527">
        <v>0.02</v>
      </c>
      <c r="J49" s="1527">
        <v>0.13</v>
      </c>
      <c r="K49" s="1527">
        <v>-0.04</v>
      </c>
      <c r="L49" s="1554">
        <v>0.46</v>
      </c>
      <c r="N49" s="1552">
        <f t="shared" si="22"/>
        <v>2.0000000000000001E-4</v>
      </c>
      <c r="O49" s="1553">
        <f t="shared" si="22"/>
        <v>1.2999999999999999E-3</v>
      </c>
      <c r="P49" s="1553">
        <f t="shared" si="22"/>
        <v>-4.0000000000000002E-4</v>
      </c>
      <c r="Q49" s="1553">
        <f t="shared" si="22"/>
        <v>4.5999999999999999E-3</v>
      </c>
      <c r="R49" s="1572"/>
      <c r="S49" s="1560">
        <f>B49/B50-1</f>
        <v>6.91835498073612E-4</v>
      </c>
      <c r="T49" s="1561">
        <f>C49/C50-1</f>
        <v>0</v>
      </c>
      <c r="U49" s="1561">
        <f>E49/E50-1</f>
        <v>-9.0449527636460303E-4</v>
      </c>
      <c r="V49" s="1561">
        <f>F49/F50-1</f>
        <v>5.2825485432512797E-3</v>
      </c>
      <c r="X49" s="1553"/>
      <c r="Y49" s="1553"/>
      <c r="Z49" s="1553"/>
    </row>
    <row r="50" spans="1:26">
      <c r="A50" s="1525" t="s">
        <v>1956</v>
      </c>
      <c r="B50" s="1534">
        <v>275</v>
      </c>
      <c r="C50" s="1534">
        <v>232</v>
      </c>
      <c r="D50" s="1534">
        <f t="shared" si="20"/>
        <v>232</v>
      </c>
      <c r="E50" s="1534">
        <v>376</v>
      </c>
      <c r="F50" s="1535">
        <v>213</v>
      </c>
      <c r="G50" s="3939">
        <v>2011</v>
      </c>
      <c r="H50" s="1536">
        <v>4</v>
      </c>
      <c r="I50" s="1536">
        <v>-0.2</v>
      </c>
      <c r="J50" s="1536">
        <v>0.04</v>
      </c>
      <c r="K50" s="1536">
        <v>-0.34</v>
      </c>
      <c r="L50" s="1562">
        <v>0.46</v>
      </c>
      <c r="N50" s="1557">
        <f t="shared" si="22"/>
        <v>-2E-3</v>
      </c>
      <c r="O50" s="1558">
        <f t="shared" si="22"/>
        <v>4.0000000000000002E-4</v>
      </c>
      <c r="P50" s="1558">
        <f t="shared" si="22"/>
        <v>-3.3999999999999998E-3</v>
      </c>
      <c r="Q50" s="1558">
        <f t="shared" si="22"/>
        <v>4.5999999999999999E-3</v>
      </c>
      <c r="R50" s="1572"/>
      <c r="S50" s="1573"/>
      <c r="T50" s="1574"/>
      <c r="U50" s="1574"/>
      <c r="V50" s="1574"/>
      <c r="X50" s="1574"/>
      <c r="Y50" s="1574"/>
      <c r="Z50" s="1574"/>
    </row>
    <row r="51" spans="1:26">
      <c r="A51" s="1525" t="s">
        <v>1957</v>
      </c>
      <c r="B51" s="1526">
        <f t="shared" ref="B51:C53" si="30">B50/(1+N50)</f>
        <v>275.55110220440901</v>
      </c>
      <c r="C51" s="1526">
        <f t="shared" si="30"/>
        <v>231.907237105158</v>
      </c>
      <c r="D51" s="1526">
        <f t="shared" si="20"/>
        <v>231.907237105158</v>
      </c>
      <c r="E51" s="1526">
        <f t="shared" ref="E51:F53" si="31">E50/(1+P50)</f>
        <v>377.28276138872201</v>
      </c>
      <c r="F51" s="1526">
        <f t="shared" si="31"/>
        <v>212.02468644236501</v>
      </c>
      <c r="G51" s="3935">
        <v>2011</v>
      </c>
      <c r="H51" s="1537">
        <v>3</v>
      </c>
      <c r="I51" s="1537">
        <v>0.13</v>
      </c>
      <c r="J51" s="1537">
        <v>0.75</v>
      </c>
      <c r="K51" s="1537">
        <v>-0.08</v>
      </c>
      <c r="L51" s="1563">
        <v>0.53</v>
      </c>
      <c r="N51" s="1552">
        <f t="shared" si="22"/>
        <v>1.2999999999999999E-3</v>
      </c>
      <c r="O51" s="1559">
        <f t="shared" si="22"/>
        <v>7.4999999999999997E-3</v>
      </c>
      <c r="P51" s="1559">
        <f t="shared" si="22"/>
        <v>-8.0000000000000004E-4</v>
      </c>
      <c r="Q51" s="1559">
        <f t="shared" si="22"/>
        <v>5.3E-3</v>
      </c>
      <c r="R51" s="1572"/>
      <c r="S51" s="1552"/>
      <c r="T51" s="1553"/>
      <c r="U51" s="1553"/>
      <c r="V51" s="1553"/>
    </row>
    <row r="52" spans="1:26">
      <c r="A52" s="1525" t="s">
        <v>1958</v>
      </c>
      <c r="B52" s="1526">
        <f t="shared" si="30"/>
        <v>275.19335084830601</v>
      </c>
      <c r="C52" s="1526">
        <f t="shared" si="30"/>
        <v>230.18088050139701</v>
      </c>
      <c r="D52" s="1526">
        <f t="shared" si="20"/>
        <v>230.18088050139701</v>
      </c>
      <c r="E52" s="1526">
        <f t="shared" si="31"/>
        <v>377.58482925212297</v>
      </c>
      <c r="F52" s="1526">
        <f t="shared" si="31"/>
        <v>210.906879978479</v>
      </c>
      <c r="G52" s="3935">
        <v>2011</v>
      </c>
      <c r="H52" s="1531">
        <v>2</v>
      </c>
      <c r="I52" s="1531">
        <v>-0.4</v>
      </c>
      <c r="J52" s="1531">
        <v>0.17</v>
      </c>
      <c r="K52" s="1531">
        <v>-0.57999999999999996</v>
      </c>
      <c r="L52" s="1556">
        <v>-0.2</v>
      </c>
      <c r="N52" s="1552">
        <f t="shared" si="22"/>
        <v>-4.0000000000000001E-3</v>
      </c>
      <c r="O52" s="1559">
        <f t="shared" si="22"/>
        <v>1.6999999999999999E-3</v>
      </c>
      <c r="P52" s="1559">
        <f t="shared" si="22"/>
        <v>-5.7999999999999996E-3</v>
      </c>
      <c r="Q52" s="1559">
        <f t="shared" si="22"/>
        <v>-2E-3</v>
      </c>
      <c r="R52" s="1572"/>
      <c r="S52" s="1552"/>
      <c r="T52" s="1553"/>
      <c r="U52" s="1553"/>
      <c r="V52" s="1553"/>
    </row>
    <row r="53" spans="1:26">
      <c r="A53" s="1525" t="s">
        <v>1959</v>
      </c>
      <c r="B53" s="1526">
        <f t="shared" si="30"/>
        <v>276.29854502841999</v>
      </c>
      <c r="C53" s="1526">
        <f t="shared" si="30"/>
        <v>229.79023709833001</v>
      </c>
      <c r="D53" s="1526">
        <f t="shared" si="20"/>
        <v>229.79023709833001</v>
      </c>
      <c r="E53" s="1526">
        <f t="shared" si="31"/>
        <v>379.78759731655902</v>
      </c>
      <c r="F53" s="1526">
        <f t="shared" si="31"/>
        <v>211.32953905659201</v>
      </c>
      <c r="G53" s="3938">
        <v>2011</v>
      </c>
      <c r="H53" s="1527">
        <v>1</v>
      </c>
      <c r="I53" s="1527">
        <v>2.65</v>
      </c>
      <c r="J53" s="1527">
        <v>3.76</v>
      </c>
      <c r="K53" s="1527">
        <v>1.89</v>
      </c>
      <c r="L53" s="1554">
        <v>7.95</v>
      </c>
      <c r="N53" s="1560">
        <f t="shared" si="22"/>
        <v>2.6499999999999999E-2</v>
      </c>
      <c r="O53" s="1561">
        <f t="shared" si="22"/>
        <v>3.7600000000000001E-2</v>
      </c>
      <c r="P53" s="1561">
        <f t="shared" si="22"/>
        <v>1.89E-2</v>
      </c>
      <c r="Q53" s="1561">
        <f t="shared" si="22"/>
        <v>7.9500000000000001E-2</v>
      </c>
      <c r="R53" s="1572"/>
      <c r="S53" s="1560">
        <f>B53/B54-1</f>
        <v>2.7132137652117898E-2</v>
      </c>
      <c r="T53" s="1561">
        <f>C53/C54-1</f>
        <v>3.9774828499231897E-2</v>
      </c>
      <c r="U53" s="1561">
        <f>E53/E54-1</f>
        <v>1.81973118406418E-2</v>
      </c>
      <c r="V53" s="1561">
        <f>F53/F54-1</f>
        <v>7.8211933962205799E-2</v>
      </c>
      <c r="X53" s="1553"/>
      <c r="Y53" s="1553"/>
      <c r="Z53" s="1553"/>
    </row>
    <row r="54" spans="1:26">
      <c r="A54" s="1525" t="s">
        <v>1960</v>
      </c>
      <c r="B54" s="1534">
        <v>269</v>
      </c>
      <c r="C54" s="1534">
        <v>221</v>
      </c>
      <c r="D54" s="1534">
        <f t="shared" si="20"/>
        <v>221</v>
      </c>
      <c r="E54" s="1534">
        <v>373</v>
      </c>
      <c r="F54" s="1535">
        <v>196</v>
      </c>
      <c r="G54" s="3939">
        <v>2010</v>
      </c>
      <c r="H54" s="1536">
        <v>4</v>
      </c>
      <c r="I54" s="1536">
        <v>5.72</v>
      </c>
      <c r="J54" s="1536">
        <v>6.57</v>
      </c>
      <c r="K54" s="1536">
        <v>5.72</v>
      </c>
      <c r="L54" s="1562">
        <v>2.72</v>
      </c>
      <c r="N54" s="1552">
        <f t="shared" si="22"/>
        <v>5.7200000000000001E-2</v>
      </c>
      <c r="O54" s="1553">
        <f t="shared" si="22"/>
        <v>6.5699999999999995E-2</v>
      </c>
      <c r="P54" s="1553">
        <f t="shared" si="22"/>
        <v>5.7200000000000001E-2</v>
      </c>
      <c r="Q54" s="1553">
        <f t="shared" si="22"/>
        <v>2.7199999999999998E-2</v>
      </c>
      <c r="R54" s="1572"/>
      <c r="S54" s="1573"/>
      <c r="T54" s="1574"/>
      <c r="U54" s="1574"/>
      <c r="V54" s="1574"/>
      <c r="X54" s="1574"/>
      <c r="Y54" s="1574"/>
      <c r="Z54" s="1574"/>
    </row>
    <row r="55" spans="1:26">
      <c r="A55" s="1525" t="s">
        <v>1961</v>
      </c>
      <c r="B55" s="1526">
        <f t="shared" ref="B55:C57" si="32">B54/(1+N54)</f>
        <v>254.445705637533</v>
      </c>
      <c r="C55" s="1526">
        <f t="shared" si="32"/>
        <v>207.375433987051</v>
      </c>
      <c r="D55" s="1526">
        <f t="shared" si="20"/>
        <v>207.375433987051</v>
      </c>
      <c r="E55" s="1526">
        <f t="shared" ref="E55:F57" si="33">E54/(1+P54)</f>
        <v>352.81876655315898</v>
      </c>
      <c r="F55" s="1526">
        <f t="shared" si="33"/>
        <v>190.809968847352</v>
      </c>
      <c r="G55" s="3935">
        <v>2010</v>
      </c>
      <c r="H55" s="1537">
        <v>3</v>
      </c>
      <c r="I55" s="1537">
        <v>4.7300000000000004</v>
      </c>
      <c r="J55" s="1537">
        <v>3.9</v>
      </c>
      <c r="K55" s="1537">
        <v>5.03</v>
      </c>
      <c r="L55" s="1563">
        <v>4.21</v>
      </c>
      <c r="N55" s="1552">
        <f t="shared" si="22"/>
        <v>4.7300000000000002E-2</v>
      </c>
      <c r="O55" s="1553">
        <f t="shared" si="22"/>
        <v>3.9E-2</v>
      </c>
      <c r="P55" s="1553">
        <f t="shared" si="22"/>
        <v>5.0299999999999997E-2</v>
      </c>
      <c r="Q55" s="1553">
        <f t="shared" si="22"/>
        <v>4.2099999999999999E-2</v>
      </c>
      <c r="R55" s="1572"/>
      <c r="S55" s="1552"/>
      <c r="T55" s="1553"/>
      <c r="U55" s="1553"/>
      <c r="V55" s="1553"/>
    </row>
    <row r="56" spans="1:26">
      <c r="A56" s="1525" t="s">
        <v>1962</v>
      </c>
      <c r="B56" s="1526">
        <f t="shared" si="32"/>
        <v>242.95398227588399</v>
      </c>
      <c r="C56" s="1526">
        <f t="shared" si="32"/>
        <v>199.591370536141</v>
      </c>
      <c r="D56" s="1526">
        <f t="shared" si="20"/>
        <v>199.591370536141</v>
      </c>
      <c r="E56" s="1526">
        <f t="shared" si="33"/>
        <v>335.92189522342102</v>
      </c>
      <c r="F56" s="1526">
        <f t="shared" si="33"/>
        <v>183.101399911095</v>
      </c>
      <c r="G56" s="3935">
        <v>2010</v>
      </c>
      <c r="H56" s="1531">
        <v>2</v>
      </c>
      <c r="I56" s="1531">
        <v>4.6900000000000004</v>
      </c>
      <c r="J56" s="1531">
        <v>3.55</v>
      </c>
      <c r="K56" s="1531">
        <v>5.07</v>
      </c>
      <c r="L56" s="1556">
        <v>4.2300000000000004</v>
      </c>
      <c r="N56" s="1552">
        <f t="shared" si="22"/>
        <v>4.6899999999999997E-2</v>
      </c>
      <c r="O56" s="1553">
        <f t="shared" si="22"/>
        <v>3.5499999999999997E-2</v>
      </c>
      <c r="P56" s="1553">
        <f t="shared" si="22"/>
        <v>5.0700000000000002E-2</v>
      </c>
      <c r="Q56" s="1553">
        <f t="shared" si="22"/>
        <v>4.2299999999999997E-2</v>
      </c>
      <c r="R56" s="1572"/>
      <c r="S56" s="1552"/>
      <c r="T56" s="1553"/>
      <c r="U56" s="1553"/>
      <c r="V56" s="1553"/>
    </row>
    <row r="57" spans="1:26">
      <c r="A57" s="1525" t="s">
        <v>1963</v>
      </c>
      <c r="B57" s="1526">
        <f t="shared" si="32"/>
        <v>232.06990378821601</v>
      </c>
      <c r="C57" s="1526">
        <f t="shared" si="32"/>
        <v>192.74878854286899</v>
      </c>
      <c r="D57" s="1526">
        <f t="shared" si="20"/>
        <v>192.74878854286899</v>
      </c>
      <c r="E57" s="1526">
        <f t="shared" si="33"/>
        <v>319.71247284993001</v>
      </c>
      <c r="F57" s="1526">
        <f t="shared" si="33"/>
        <v>175.670536228624</v>
      </c>
      <c r="G57" s="3938">
        <v>2010</v>
      </c>
      <c r="H57" s="1527">
        <v>1</v>
      </c>
      <c r="I57" s="1527">
        <v>5.4</v>
      </c>
      <c r="J57" s="1527">
        <v>3.2</v>
      </c>
      <c r="K57" s="1527">
        <v>6.16</v>
      </c>
      <c r="L57" s="1554">
        <v>4.51</v>
      </c>
      <c r="N57" s="1552">
        <f t="shared" si="22"/>
        <v>5.3999999999999999E-2</v>
      </c>
      <c r="O57" s="1553">
        <f t="shared" si="22"/>
        <v>3.2000000000000001E-2</v>
      </c>
      <c r="P57" s="1553">
        <f t="shared" si="22"/>
        <v>6.1600000000000002E-2</v>
      </c>
      <c r="Q57" s="1553">
        <f t="shared" si="22"/>
        <v>4.5100000000000001E-2</v>
      </c>
      <c r="R57" s="1572"/>
      <c r="S57" s="1560">
        <f>B57/B58-1</f>
        <v>5.4863199037347599E-2</v>
      </c>
      <c r="T57" s="1561">
        <f>C57/C58-1</f>
        <v>3.0742184721226602E-2</v>
      </c>
      <c r="U57" s="1561">
        <f>E57/E58-1</f>
        <v>6.2167683886810203E-2</v>
      </c>
      <c r="V57" s="1561">
        <f>F57/F58-1</f>
        <v>4.5657953741810003E-2</v>
      </c>
      <c r="X57" s="1553"/>
      <c r="Y57" s="1553"/>
      <c r="Z57" s="1553"/>
    </row>
    <row r="58" spans="1:26">
      <c r="A58" s="1525" t="s">
        <v>1964</v>
      </c>
      <c r="B58" s="1534">
        <v>220</v>
      </c>
      <c r="C58" s="1534">
        <v>187</v>
      </c>
      <c r="D58" s="1534">
        <f t="shared" si="20"/>
        <v>187</v>
      </c>
      <c r="E58" s="1534">
        <v>301</v>
      </c>
      <c r="F58" s="1535">
        <v>168</v>
      </c>
      <c r="G58" s="3939">
        <v>2009</v>
      </c>
      <c r="H58" s="1536">
        <v>4</v>
      </c>
      <c r="I58" s="1536">
        <v>2.2999999999999998</v>
      </c>
      <c r="J58" s="1536">
        <v>1.04</v>
      </c>
      <c r="K58" s="1536">
        <v>2.84</v>
      </c>
      <c r="L58" s="1562">
        <v>0.67</v>
      </c>
      <c r="N58" s="1557">
        <f t="shared" si="22"/>
        <v>2.3E-2</v>
      </c>
      <c r="O58" s="1558">
        <f t="shared" si="22"/>
        <v>1.04E-2</v>
      </c>
      <c r="P58" s="1558">
        <f t="shared" si="22"/>
        <v>2.8400000000000002E-2</v>
      </c>
      <c r="Q58" s="1558">
        <f t="shared" si="22"/>
        <v>6.7000000000000002E-3</v>
      </c>
      <c r="R58" s="1572"/>
      <c r="S58" s="1573"/>
      <c r="T58" s="1574"/>
      <c r="U58" s="1574"/>
      <c r="V58" s="1574"/>
      <c r="X58" s="1574"/>
      <c r="Y58" s="1574"/>
      <c r="Z58" s="1574"/>
    </row>
    <row r="59" spans="1:26">
      <c r="A59" s="1525" t="s">
        <v>1965</v>
      </c>
      <c r="B59" s="1526">
        <f t="shared" ref="B59:C61" si="34">B58/(1+N58)</f>
        <v>215.05376344086</v>
      </c>
      <c r="C59" s="1526">
        <f t="shared" si="34"/>
        <v>185.07521773555001</v>
      </c>
      <c r="D59" s="1526">
        <f t="shared" si="20"/>
        <v>185.07521773555001</v>
      </c>
      <c r="E59" s="1526">
        <f t="shared" ref="E59:F61" si="35">E58/(1+P58)</f>
        <v>292.68767016725002</v>
      </c>
      <c r="F59" s="1526">
        <f t="shared" si="35"/>
        <v>166.881891328102</v>
      </c>
      <c r="G59" s="3935">
        <v>2009</v>
      </c>
      <c r="H59" s="1537">
        <v>3</v>
      </c>
      <c r="I59" s="1537">
        <v>2.1</v>
      </c>
      <c r="J59" s="1537">
        <v>1.86</v>
      </c>
      <c r="K59" s="1537">
        <v>2.29</v>
      </c>
      <c r="L59" s="1563">
        <v>0.85</v>
      </c>
      <c r="N59" s="1552">
        <f t="shared" si="22"/>
        <v>2.1000000000000001E-2</v>
      </c>
      <c r="O59" s="1559">
        <f t="shared" si="22"/>
        <v>1.8599999999999998E-2</v>
      </c>
      <c r="P59" s="1559">
        <f t="shared" si="22"/>
        <v>2.29E-2</v>
      </c>
      <c r="Q59" s="1559">
        <f t="shared" si="22"/>
        <v>8.5000000000000006E-3</v>
      </c>
      <c r="R59" s="1572"/>
      <c r="S59" s="1552"/>
      <c r="T59" s="1553"/>
      <c r="U59" s="1553"/>
      <c r="V59" s="1553"/>
    </row>
    <row r="60" spans="1:26">
      <c r="A60" s="1525" t="s">
        <v>1966</v>
      </c>
      <c r="B60" s="1526">
        <f t="shared" si="34"/>
        <v>210.630522469011</v>
      </c>
      <c r="C60" s="1526">
        <f t="shared" si="34"/>
        <v>181.695678122472</v>
      </c>
      <c r="D60" s="1526">
        <f t="shared" si="20"/>
        <v>181.695678122472</v>
      </c>
      <c r="E60" s="1526">
        <f t="shared" si="35"/>
        <v>286.13517466736698</v>
      </c>
      <c r="F60" s="1526">
        <f t="shared" si="35"/>
        <v>165.47535084591101</v>
      </c>
      <c r="G60" s="3935">
        <v>2009</v>
      </c>
      <c r="H60" s="1531">
        <v>2</v>
      </c>
      <c r="I60" s="1531">
        <v>0.86</v>
      </c>
      <c r="J60" s="1531">
        <v>-1.1299999999999999</v>
      </c>
      <c r="K60" s="1531">
        <v>1.79</v>
      </c>
      <c r="L60" s="1556">
        <v>-2.0699999999999998</v>
      </c>
      <c r="N60" s="1552">
        <f t="shared" si="22"/>
        <v>8.6E-3</v>
      </c>
      <c r="O60" s="1559">
        <f t="shared" si="22"/>
        <v>-1.1299999999999999E-2</v>
      </c>
      <c r="P60" s="1559">
        <f t="shared" si="22"/>
        <v>1.7899999999999999E-2</v>
      </c>
      <c r="Q60" s="1559">
        <f t="shared" si="22"/>
        <v>-2.07E-2</v>
      </c>
      <c r="R60" s="1572"/>
      <c r="S60" s="1552"/>
      <c r="T60" s="1553"/>
      <c r="U60" s="1553"/>
      <c r="V60" s="1553"/>
    </row>
    <row r="61" spans="1:26">
      <c r="A61" s="1525" t="s">
        <v>1967</v>
      </c>
      <c r="B61" s="1526">
        <f t="shared" si="34"/>
        <v>208.834545378754</v>
      </c>
      <c r="C61" s="1526">
        <f t="shared" si="34"/>
        <v>183.77230517090399</v>
      </c>
      <c r="D61" s="1526">
        <f t="shared" si="20"/>
        <v>183.77230517090399</v>
      </c>
      <c r="E61" s="1526">
        <f t="shared" si="35"/>
        <v>281.10342338870902</v>
      </c>
      <c r="F61" s="1526">
        <f t="shared" si="35"/>
        <v>168.97309388942301</v>
      </c>
      <c r="G61" s="3938">
        <v>2009</v>
      </c>
      <c r="H61" s="1527">
        <v>1</v>
      </c>
      <c r="I61" s="1527">
        <v>-2.64</v>
      </c>
      <c r="J61" s="1527">
        <v>-2.5299999999999998</v>
      </c>
      <c r="K61" s="1527">
        <v>-3.02</v>
      </c>
      <c r="L61" s="1554">
        <v>1.52</v>
      </c>
      <c r="N61" s="1560">
        <f t="shared" si="22"/>
        <v>-2.64E-2</v>
      </c>
      <c r="O61" s="1561">
        <f t="shared" si="22"/>
        <v>-2.53E-2</v>
      </c>
      <c r="P61" s="1561">
        <f t="shared" si="22"/>
        <v>-3.0200000000000001E-2</v>
      </c>
      <c r="Q61" s="1561">
        <f t="shared" si="22"/>
        <v>1.52E-2</v>
      </c>
      <c r="R61" s="1572"/>
      <c r="S61" s="1560">
        <f>B61/B62-1</f>
        <v>-2.4137638417038799E-2</v>
      </c>
      <c r="T61" s="1561">
        <f>C61/C62-1</f>
        <v>-2.2487738452641001E-2</v>
      </c>
      <c r="U61" s="1561">
        <f>E61/E62-1</f>
        <v>-2.73237945027354E-2</v>
      </c>
      <c r="V61" s="1561">
        <f>F61/F62-1</f>
        <v>1.7910204153148E-2</v>
      </c>
      <c r="X61" s="1553"/>
      <c r="Y61" s="1553"/>
      <c r="Z61" s="1553"/>
    </row>
    <row r="62" spans="1:26">
      <c r="A62" s="1525" t="s">
        <v>1968</v>
      </c>
      <c r="B62" s="1545">
        <v>214</v>
      </c>
      <c r="C62" s="1545">
        <v>188</v>
      </c>
      <c r="D62" s="1545">
        <f t="shared" si="20"/>
        <v>188</v>
      </c>
      <c r="E62" s="1545">
        <v>289</v>
      </c>
      <c r="F62" s="1546">
        <v>166</v>
      </c>
      <c r="G62" s="3939">
        <v>2008</v>
      </c>
      <c r="H62" s="1536">
        <v>4</v>
      </c>
      <c r="I62" s="1536">
        <v>1.73</v>
      </c>
      <c r="J62" s="1536">
        <v>0.03</v>
      </c>
      <c r="K62" s="1536">
        <v>2.59</v>
      </c>
      <c r="L62" s="1562">
        <v>-1.66</v>
      </c>
      <c r="N62" s="1552">
        <f t="shared" si="22"/>
        <v>1.7299999999999999E-2</v>
      </c>
      <c r="O62" s="1553">
        <f t="shared" si="22"/>
        <v>2.9999999999999997E-4</v>
      </c>
      <c r="P62" s="1553">
        <f t="shared" si="22"/>
        <v>2.5899999999999999E-2</v>
      </c>
      <c r="Q62" s="1553">
        <f t="shared" si="22"/>
        <v>-1.66E-2</v>
      </c>
      <c r="R62" s="1572"/>
      <c r="S62" s="1573"/>
      <c r="T62" s="1574"/>
      <c r="U62" s="1574"/>
      <c r="V62" s="1574"/>
      <c r="X62" s="1574"/>
      <c r="Y62" s="1574"/>
      <c r="Z62" s="1574"/>
    </row>
    <row r="63" spans="1:26">
      <c r="A63" s="1525" t="s">
        <v>1969</v>
      </c>
      <c r="B63" s="1526">
        <f t="shared" ref="B63:C65" si="36">B62/(1+N62)</f>
        <v>210.36075887152299</v>
      </c>
      <c r="C63" s="1526">
        <f t="shared" si="36"/>
        <v>187.943616914926</v>
      </c>
      <c r="D63" s="1526">
        <f t="shared" si="20"/>
        <v>187.943616914926</v>
      </c>
      <c r="E63" s="1526">
        <f t="shared" ref="E63:F65" si="37">E62/(1+P62)</f>
        <v>281.703869772882</v>
      </c>
      <c r="F63" s="1526">
        <f t="shared" si="37"/>
        <v>168.80211511083999</v>
      </c>
      <c r="G63" s="3935">
        <v>2008</v>
      </c>
      <c r="H63" s="1537">
        <v>3</v>
      </c>
      <c r="I63" s="1537">
        <v>1.96</v>
      </c>
      <c r="J63" s="1537">
        <v>2.36</v>
      </c>
      <c r="K63" s="1537">
        <v>1.82</v>
      </c>
      <c r="L63" s="1563">
        <v>2.2200000000000002</v>
      </c>
      <c r="N63" s="1552">
        <f t="shared" si="22"/>
        <v>1.9599999999999999E-2</v>
      </c>
      <c r="O63" s="1553">
        <f t="shared" si="22"/>
        <v>2.3599999999999999E-2</v>
      </c>
      <c r="P63" s="1553">
        <f t="shared" si="22"/>
        <v>1.8200000000000001E-2</v>
      </c>
      <c r="Q63" s="1553">
        <f t="shared" si="22"/>
        <v>2.2200000000000001E-2</v>
      </c>
      <c r="R63" s="1572"/>
      <c r="S63" s="1552"/>
      <c r="T63" s="1553"/>
      <c r="U63" s="1553"/>
      <c r="V63" s="1553"/>
    </row>
    <row r="64" spans="1:26">
      <c r="A64" s="1525" t="s">
        <v>1970</v>
      </c>
      <c r="B64" s="1526">
        <f t="shared" si="36"/>
        <v>206.31694671589099</v>
      </c>
      <c r="C64" s="1526">
        <f t="shared" si="36"/>
        <v>183.61041121036101</v>
      </c>
      <c r="D64" s="1526">
        <f t="shared" si="20"/>
        <v>183.61041121036101</v>
      </c>
      <c r="E64" s="1526">
        <f t="shared" si="37"/>
        <v>276.66850301795603</v>
      </c>
      <c r="F64" s="1526">
        <f t="shared" si="37"/>
        <v>165.136093827861</v>
      </c>
      <c r="G64" s="3935">
        <v>2008</v>
      </c>
      <c r="H64" s="1531">
        <v>2</v>
      </c>
      <c r="I64" s="1531">
        <v>4.93</v>
      </c>
      <c r="J64" s="1531">
        <v>7.38</v>
      </c>
      <c r="K64" s="1531">
        <v>3.98</v>
      </c>
      <c r="L64" s="1556">
        <v>6.86</v>
      </c>
      <c r="N64" s="1552">
        <f t="shared" si="22"/>
        <v>4.9299999999999997E-2</v>
      </c>
      <c r="O64" s="1553">
        <f t="shared" si="22"/>
        <v>7.3800000000000004E-2</v>
      </c>
      <c r="P64" s="1553">
        <f t="shared" si="22"/>
        <v>3.9800000000000002E-2</v>
      </c>
      <c r="Q64" s="1553">
        <f t="shared" si="22"/>
        <v>6.8599999999999994E-2</v>
      </c>
      <c r="R64" s="1572"/>
      <c r="S64" s="1552"/>
      <c r="T64" s="1553"/>
      <c r="U64" s="1553"/>
      <c r="V64" s="1553"/>
    </row>
    <row r="65" spans="1:26" s="1509" customFormat="1">
      <c r="A65" s="1525" t="s">
        <v>1971</v>
      </c>
      <c r="B65" s="1584">
        <f t="shared" si="36"/>
        <v>196.62341248059801</v>
      </c>
      <c r="C65" s="1584">
        <f t="shared" si="36"/>
        <v>170.99125648199001</v>
      </c>
      <c r="D65" s="1584">
        <f t="shared" si="20"/>
        <v>170.99125648199001</v>
      </c>
      <c r="E65" s="1584">
        <f t="shared" si="37"/>
        <v>266.07857570490103</v>
      </c>
      <c r="F65" s="1584">
        <f t="shared" si="37"/>
        <v>154.53499328828499</v>
      </c>
      <c r="G65" s="3938">
        <v>2008</v>
      </c>
      <c r="H65" s="1585">
        <v>1</v>
      </c>
      <c r="I65" s="1585">
        <v>4.1399999999999997</v>
      </c>
      <c r="J65" s="1585">
        <v>3.45</v>
      </c>
      <c r="K65" s="1585">
        <v>4.95</v>
      </c>
      <c r="L65" s="1599">
        <v>4.82</v>
      </c>
      <c r="N65" s="1600">
        <f t="shared" si="22"/>
        <v>4.1399999999999999E-2</v>
      </c>
      <c r="O65" s="1601">
        <f t="shared" si="22"/>
        <v>3.4500000000000003E-2</v>
      </c>
      <c r="P65" s="1601">
        <f t="shared" si="22"/>
        <v>4.9500000000000002E-2</v>
      </c>
      <c r="Q65" s="1601">
        <f t="shared" si="22"/>
        <v>4.82E-2</v>
      </c>
      <c r="R65" s="1615"/>
      <c r="S65" s="1600">
        <f>B65/B66-1</f>
        <v>4.5869215322328301E-2</v>
      </c>
      <c r="T65" s="1601">
        <f>C65/C66-1</f>
        <v>3.6310645345394701E-2</v>
      </c>
      <c r="U65" s="1601">
        <f>E65/E66-1</f>
        <v>4.7553447657088702E-2</v>
      </c>
      <c r="V65" s="1601">
        <f>F65/F66-1</f>
        <v>4.41553600559801E-2</v>
      </c>
      <c r="X65" s="1601"/>
      <c r="Y65" s="1601"/>
      <c r="Z65" s="1601"/>
    </row>
    <row r="66" spans="1:26">
      <c r="A66" s="1525" t="s">
        <v>1972</v>
      </c>
      <c r="B66" s="1534">
        <v>188</v>
      </c>
      <c r="C66" s="1534">
        <v>165</v>
      </c>
      <c r="D66" s="1534">
        <f t="shared" si="20"/>
        <v>165</v>
      </c>
      <c r="E66" s="1534">
        <v>254</v>
      </c>
      <c r="F66" s="1535">
        <v>148</v>
      </c>
      <c r="G66" s="3939">
        <v>2007</v>
      </c>
      <c r="H66" s="1586">
        <v>4</v>
      </c>
      <c r="I66" s="1586">
        <v>5.51</v>
      </c>
      <c r="J66" s="1586">
        <v>4.8899999999999997</v>
      </c>
      <c r="K66" s="1586">
        <v>6.43</v>
      </c>
      <c r="L66" s="1602">
        <v>5.36</v>
      </c>
      <c r="N66" s="1603">
        <f t="shared" ref="N66:O69" si="38">B66/B67-1</f>
        <v>4.1339718365245498E-2</v>
      </c>
      <c r="O66" s="1604">
        <f t="shared" si="38"/>
        <v>4.0324492593775997E-2</v>
      </c>
      <c r="P66" s="1604">
        <f t="shared" ref="P66:Q69" si="39">E66/E67-1</f>
        <v>6.1625555347991003E-2</v>
      </c>
      <c r="Q66" s="1604">
        <f t="shared" si="39"/>
        <v>4.6757569250590603E-2</v>
      </c>
      <c r="R66" s="1572"/>
      <c r="S66" s="1573"/>
      <c r="T66" s="1574"/>
      <c r="U66" s="1574"/>
      <c r="V66" s="1574"/>
      <c r="X66" s="1574"/>
      <c r="Y66" s="1574"/>
      <c r="Z66" s="1574"/>
    </row>
    <row r="67" spans="1:26">
      <c r="A67" s="1525" t="s">
        <v>1973</v>
      </c>
      <c r="B67" s="1526">
        <f t="shared" ref="B67:C69" si="40">B68+(B$66-B$70)*I67/SUM(I$66:I$69)</f>
        <v>180.536665109762</v>
      </c>
      <c r="C67" s="1526">
        <f t="shared" si="40"/>
        <v>158.60435967302499</v>
      </c>
      <c r="D67" s="1526">
        <f t="shared" si="20"/>
        <v>158.60435967302499</v>
      </c>
      <c r="E67" s="1526">
        <f t="shared" ref="E67:F69" si="41">E68+(E$66-E$70)*K67/SUM(K$66:K$69)</f>
        <v>239.255732607851</v>
      </c>
      <c r="F67" s="1526">
        <f t="shared" si="41"/>
        <v>141.3889943074</v>
      </c>
      <c r="G67" s="3935">
        <v>2007</v>
      </c>
      <c r="H67" s="1537">
        <v>3</v>
      </c>
      <c r="I67" s="1537">
        <v>8.65</v>
      </c>
      <c r="J67" s="1537">
        <v>8.06</v>
      </c>
      <c r="K67" s="1537">
        <v>9.94</v>
      </c>
      <c r="L67" s="1563">
        <v>5.8</v>
      </c>
      <c r="N67" s="1603">
        <f t="shared" si="38"/>
        <v>6.9402175717400094E-2</v>
      </c>
      <c r="O67" s="1604">
        <f t="shared" si="38"/>
        <v>7.11974824711534E-2</v>
      </c>
      <c r="P67" s="1604">
        <f t="shared" si="39"/>
        <v>0.105296799225796</v>
      </c>
      <c r="Q67" s="1604">
        <f t="shared" si="39"/>
        <v>5.3292245059512099E-2</v>
      </c>
      <c r="R67" s="1572"/>
      <c r="S67" s="1552"/>
      <c r="T67" s="1553"/>
      <c r="U67" s="1553"/>
      <c r="V67" s="1553"/>
      <c r="X67" s="1616"/>
      <c r="Y67" s="1616"/>
      <c r="Z67" s="1616"/>
    </row>
    <row r="68" spans="1:26">
      <c r="A68" s="1525" t="s">
        <v>1974</v>
      </c>
      <c r="B68" s="1526">
        <f t="shared" si="40"/>
        <v>168.820177487156</v>
      </c>
      <c r="C68" s="1526">
        <f t="shared" si="40"/>
        <v>148.06267029972801</v>
      </c>
      <c r="D68" s="1526">
        <f t="shared" si="20"/>
        <v>148.06267029972801</v>
      </c>
      <c r="E68" s="1526">
        <f t="shared" si="41"/>
        <v>216.46288379323701</v>
      </c>
      <c r="F68" s="1526">
        <f t="shared" si="41"/>
        <v>134.23529411764699</v>
      </c>
      <c r="G68" s="3935">
        <v>2007</v>
      </c>
      <c r="H68" s="1531">
        <v>2</v>
      </c>
      <c r="I68" s="1531">
        <v>3.67</v>
      </c>
      <c r="J68" s="1531">
        <v>2.3199999999999998</v>
      </c>
      <c r="K68" s="1531">
        <v>5.0199999999999996</v>
      </c>
      <c r="L68" s="1556">
        <v>6.71</v>
      </c>
      <c r="N68" s="1603">
        <f t="shared" si="38"/>
        <v>3.0339138143848001E-2</v>
      </c>
      <c r="O68" s="1604">
        <f t="shared" si="38"/>
        <v>2.09223415887905E-2</v>
      </c>
      <c r="P68" s="1604">
        <f t="shared" si="39"/>
        <v>5.6164796592717003E-2</v>
      </c>
      <c r="Q68" s="1604">
        <f t="shared" si="39"/>
        <v>6.5704536723887305E-2</v>
      </c>
      <c r="R68" s="1572"/>
      <c r="S68" s="1552"/>
      <c r="T68" s="1553"/>
      <c r="U68" s="1553"/>
      <c r="V68" s="1553"/>
      <c r="X68" s="1616"/>
      <c r="Y68" s="1616"/>
      <c r="Z68" s="1616"/>
    </row>
    <row r="69" spans="1:26">
      <c r="A69" s="1525" t="s">
        <v>1975</v>
      </c>
      <c r="B69" s="1526">
        <f t="shared" si="40"/>
        <v>163.849135917795</v>
      </c>
      <c r="C69" s="1526">
        <f t="shared" si="40"/>
        <v>145.028337874659</v>
      </c>
      <c r="D69" s="1526">
        <f t="shared" si="20"/>
        <v>145.028337874659</v>
      </c>
      <c r="E69" s="1526">
        <f t="shared" si="41"/>
        <v>204.95180722891601</v>
      </c>
      <c r="F69" s="1526">
        <f t="shared" si="41"/>
        <v>125.959203036053</v>
      </c>
      <c r="G69" s="3938">
        <v>2007</v>
      </c>
      <c r="H69" s="1527">
        <v>1</v>
      </c>
      <c r="I69" s="1527">
        <v>3.58</v>
      </c>
      <c r="J69" s="1527">
        <v>3.08</v>
      </c>
      <c r="K69" s="1527">
        <v>4.34</v>
      </c>
      <c r="L69" s="1554">
        <v>3.21</v>
      </c>
      <c r="N69" s="1605">
        <f t="shared" si="38"/>
        <v>3.0497710174814101E-2</v>
      </c>
      <c r="O69" s="1606">
        <f t="shared" si="38"/>
        <v>2.8569772160705002E-2</v>
      </c>
      <c r="P69" s="1606">
        <f t="shared" si="39"/>
        <v>5.1034908866234303E-2</v>
      </c>
      <c r="Q69" s="1606">
        <f t="shared" si="39"/>
        <v>3.2452483902074801E-2</v>
      </c>
      <c r="R69" s="1572"/>
      <c r="S69" s="1560">
        <f>B69/B70-1</f>
        <v>3.0497710174814101E-2</v>
      </c>
      <c r="T69" s="1561">
        <f>C69/C70-1</f>
        <v>2.8569772160705002E-2</v>
      </c>
      <c r="U69" s="1561">
        <f>E69/E70-1</f>
        <v>5.1034908866234303E-2</v>
      </c>
      <c r="V69" s="1561">
        <f>F69/F70-1</f>
        <v>3.2452483902074801E-2</v>
      </c>
      <c r="X69" s="1616"/>
      <c r="Y69" s="1616"/>
      <c r="Z69" s="1616"/>
    </row>
    <row r="70" spans="1:26">
      <c r="A70" s="1525" t="s">
        <v>1976</v>
      </c>
      <c r="B70" s="1538">
        <v>159</v>
      </c>
      <c r="C70" s="1538">
        <v>141</v>
      </c>
      <c r="D70" s="1538">
        <f t="shared" si="20"/>
        <v>141</v>
      </c>
      <c r="E70" s="1538">
        <v>195</v>
      </c>
      <c r="F70" s="1539">
        <v>122</v>
      </c>
      <c r="G70" s="3939">
        <v>2006</v>
      </c>
      <c r="H70" s="1536">
        <v>4</v>
      </c>
      <c r="I70" s="1536">
        <v>3.79</v>
      </c>
      <c r="J70" s="1536">
        <v>2.21</v>
      </c>
      <c r="K70" s="1536">
        <v>5.65</v>
      </c>
      <c r="L70" s="1562">
        <v>5.41</v>
      </c>
      <c r="N70" s="1603">
        <f t="shared" ref="N70:O73" si="42">I70/SUM(I$70:I$73)*(B$70/B$74-1)</f>
        <v>7.2454664627485302E-2</v>
      </c>
      <c r="O70" s="1604">
        <f t="shared" si="42"/>
        <v>2.3237230038062801E-2</v>
      </c>
      <c r="P70" s="1604">
        <f t="shared" ref="P70:Q73" si="43">K70/SUM(K$70:K$73)*(E$70/E$74-1)</f>
        <v>0.161468938663237</v>
      </c>
      <c r="Q70" s="1604">
        <f t="shared" si="43"/>
        <v>5.0755230321793798E-2</v>
      </c>
      <c r="R70" s="1572"/>
      <c r="S70" s="1573"/>
      <c r="T70" s="1574"/>
      <c r="U70" s="1574"/>
      <c r="V70" s="1574"/>
      <c r="X70" s="1616"/>
      <c r="Y70" s="1616"/>
      <c r="Z70" s="1616"/>
    </row>
    <row r="71" spans="1:26">
      <c r="A71" s="1525" t="s">
        <v>1977</v>
      </c>
      <c r="B71" s="1526">
        <f t="shared" ref="B71:C73" si="44">B72+(B$70-B$74)*I71/SUM(I$70:I$73)</f>
        <v>149.001256281407</v>
      </c>
      <c r="C71" s="1526">
        <f t="shared" si="44"/>
        <v>137.955922865014</v>
      </c>
      <c r="D71" s="1526">
        <f t="shared" si="20"/>
        <v>137.955922865014</v>
      </c>
      <c r="E71" s="1526">
        <f t="shared" ref="E71:F73" si="45">E72+(E$70-E$74)*K71/SUM(K$70:K$73)</f>
        <v>169.97231450719801</v>
      </c>
      <c r="F71" s="1526">
        <f t="shared" si="45"/>
        <v>116.213903743316</v>
      </c>
      <c r="G71" s="3935">
        <v>2006</v>
      </c>
      <c r="H71" s="1537">
        <v>3</v>
      </c>
      <c r="I71" s="1537">
        <v>0.92</v>
      </c>
      <c r="J71" s="1537">
        <v>1.08</v>
      </c>
      <c r="K71" s="1537">
        <v>0.73</v>
      </c>
      <c r="L71" s="1563">
        <v>1.08</v>
      </c>
      <c r="N71" s="1603">
        <f t="shared" si="42"/>
        <v>1.75879396984925E-2</v>
      </c>
      <c r="O71" s="1604">
        <f t="shared" si="42"/>
        <v>1.13557504258406E-2</v>
      </c>
      <c r="P71" s="1604">
        <f t="shared" si="43"/>
        <v>2.0862358446754499E-2</v>
      </c>
      <c r="Q71" s="1604">
        <f t="shared" si="43"/>
        <v>1.0132282578103001E-2</v>
      </c>
      <c r="R71" s="1572"/>
      <c r="S71" s="1552"/>
      <c r="T71" s="1553"/>
      <c r="U71" s="1553"/>
      <c r="V71" s="1553"/>
      <c r="X71" s="1616"/>
      <c r="Y71" s="1616"/>
      <c r="Z71" s="1616"/>
    </row>
    <row r="72" spans="1:26">
      <c r="A72" s="1525" t="s">
        <v>1978</v>
      </c>
      <c r="B72" s="1526">
        <f t="shared" si="44"/>
        <v>146.57412060301499</v>
      </c>
      <c r="C72" s="1526">
        <f t="shared" si="44"/>
        <v>136.468319559229</v>
      </c>
      <c r="D72" s="1526">
        <f t="shared" si="20"/>
        <v>136.468319559229</v>
      </c>
      <c r="E72" s="1526">
        <f t="shared" si="45"/>
        <v>166.73864894795099</v>
      </c>
      <c r="F72" s="1526">
        <f t="shared" si="45"/>
        <v>115.058823529412</v>
      </c>
      <c r="G72" s="3935">
        <v>2006</v>
      </c>
      <c r="H72" s="1531">
        <v>2</v>
      </c>
      <c r="I72" s="1531">
        <v>0.96</v>
      </c>
      <c r="J72" s="1531">
        <v>0.25</v>
      </c>
      <c r="K72" s="1531">
        <v>1.9</v>
      </c>
      <c r="L72" s="1556">
        <v>0.95</v>
      </c>
      <c r="N72" s="1603">
        <f t="shared" si="42"/>
        <v>1.8352632728861701E-2</v>
      </c>
      <c r="O72" s="1604">
        <f t="shared" si="42"/>
        <v>2.62864593190755E-3</v>
      </c>
      <c r="P72" s="1604">
        <f t="shared" si="43"/>
        <v>5.4299289107991297E-2</v>
      </c>
      <c r="Q72" s="1604">
        <f t="shared" si="43"/>
        <v>8.9126559714794995E-3</v>
      </c>
      <c r="R72" s="1572"/>
      <c r="S72" s="1552"/>
      <c r="T72" s="1553"/>
      <c r="U72" s="1553"/>
      <c r="V72" s="1553"/>
      <c r="X72" s="1616"/>
      <c r="Y72" s="1616"/>
      <c r="Z72" s="1616"/>
    </row>
    <row r="73" spans="1:26">
      <c r="A73" s="1525" t="s">
        <v>1979</v>
      </c>
      <c r="B73" s="1526">
        <f t="shared" si="44"/>
        <v>144.04145728643201</v>
      </c>
      <c r="C73" s="1526">
        <f t="shared" si="44"/>
        <v>136.123966942149</v>
      </c>
      <c r="D73" s="1526">
        <f t="shared" si="20"/>
        <v>136.123966942149</v>
      </c>
      <c r="E73" s="1526">
        <f t="shared" si="45"/>
        <v>158.32225913621301</v>
      </c>
      <c r="F73" s="1526">
        <f t="shared" si="45"/>
        <v>114.04278074866301</v>
      </c>
      <c r="G73" s="3938">
        <v>2006</v>
      </c>
      <c r="H73" s="1527">
        <v>1</v>
      </c>
      <c r="I73" s="1527">
        <v>2.29</v>
      </c>
      <c r="J73" s="1527">
        <v>3.72</v>
      </c>
      <c r="K73" s="1527">
        <v>0.75</v>
      </c>
      <c r="L73" s="1554">
        <v>0.04</v>
      </c>
      <c r="N73" s="1605">
        <f t="shared" si="42"/>
        <v>4.3778675988638799E-2</v>
      </c>
      <c r="O73" s="1606">
        <f t="shared" si="42"/>
        <v>3.9114251466784399E-2</v>
      </c>
      <c r="P73" s="1606">
        <f t="shared" si="43"/>
        <v>2.1433929911049199E-2</v>
      </c>
      <c r="Q73" s="1606">
        <f t="shared" si="43"/>
        <v>3.7526972511492602E-4</v>
      </c>
      <c r="R73" s="1572"/>
      <c r="S73" s="1560">
        <f>B73/B74-1</f>
        <v>4.3778675988638702E-2</v>
      </c>
      <c r="T73" s="1561">
        <f>C73/C74-1</f>
        <v>3.91142514667846E-2</v>
      </c>
      <c r="U73" s="1561">
        <f>E73/E74-1</f>
        <v>2.1433929911049299E-2</v>
      </c>
      <c r="V73" s="1561">
        <f>F73/F74-1</f>
        <v>3.7526972511492401E-4</v>
      </c>
      <c r="X73" s="1616"/>
      <c r="Y73" s="1616"/>
      <c r="Z73" s="1616"/>
    </row>
    <row r="74" spans="1:26">
      <c r="A74" s="1525" t="s">
        <v>1980</v>
      </c>
      <c r="B74" s="1538">
        <v>138</v>
      </c>
      <c r="C74" s="1538">
        <v>131</v>
      </c>
      <c r="D74" s="1538">
        <f t="shared" si="20"/>
        <v>131</v>
      </c>
      <c r="E74" s="1538">
        <v>155</v>
      </c>
      <c r="F74" s="1539">
        <v>114</v>
      </c>
      <c r="G74" s="3939">
        <v>2005</v>
      </c>
      <c r="H74" s="1536">
        <v>4</v>
      </c>
      <c r="I74" s="1536">
        <v>3.29</v>
      </c>
      <c r="J74" s="1536">
        <v>1.44</v>
      </c>
      <c r="K74" s="1536">
        <v>0.66</v>
      </c>
      <c r="L74" s="1562">
        <v>7.78</v>
      </c>
      <c r="N74" s="1603">
        <f t="shared" ref="N74:O77" si="46">I74/SUM(I$74:I$77)*(B$74/B$78-1)</f>
        <v>9.9404603216919907E-2</v>
      </c>
      <c r="O74" s="1604">
        <f t="shared" si="46"/>
        <v>4.7636550760861603E-2</v>
      </c>
      <c r="P74" s="1604">
        <f t="shared" ref="P74:Q77" si="47">K74/SUM(K$74:K$77)*(E$74/E$78-1)</f>
        <v>8.3756345177665004E-2</v>
      </c>
      <c r="Q74" s="1604">
        <f t="shared" si="47"/>
        <v>5.2148766661559598E-2</v>
      </c>
      <c r="R74" s="1572"/>
      <c r="S74" s="1573"/>
      <c r="T74" s="1574"/>
      <c r="U74" s="1574"/>
      <c r="V74" s="1574"/>
      <c r="X74" s="1616"/>
      <c r="Y74" s="1616"/>
      <c r="Z74" s="1616"/>
    </row>
    <row r="75" spans="1:26">
      <c r="A75" s="1525" t="s">
        <v>1981</v>
      </c>
      <c r="B75" s="1526">
        <f t="shared" ref="B75:C77" si="48">B76+(B$74-B$78)*I75/SUM(I$74:I$77)</f>
        <v>125.972043010753</v>
      </c>
      <c r="C75" s="1526">
        <f t="shared" si="48"/>
        <v>125.188340807175</v>
      </c>
      <c r="D75" s="1526">
        <f t="shared" si="20"/>
        <v>125.188340807175</v>
      </c>
      <c r="E75" s="1526">
        <f t="shared" ref="E75:F77" si="49">E76+(E$74-E$78)*K75/SUM(K$74:K$77)</f>
        <v>144.61421319797</v>
      </c>
      <c r="F75" s="1526">
        <f t="shared" si="49"/>
        <v>108.42008196721299</v>
      </c>
      <c r="G75" s="3935">
        <v>2005</v>
      </c>
      <c r="H75" s="1537">
        <v>3</v>
      </c>
      <c r="I75" s="1537">
        <v>0.46</v>
      </c>
      <c r="J75" s="1537">
        <v>0.32</v>
      </c>
      <c r="K75" s="1537">
        <v>0.42</v>
      </c>
      <c r="L75" s="1563">
        <v>0.64</v>
      </c>
      <c r="N75" s="1603">
        <f t="shared" si="46"/>
        <v>1.38985159513019E-2</v>
      </c>
      <c r="O75" s="1604">
        <f t="shared" si="46"/>
        <v>1.0585900169080301E-2</v>
      </c>
      <c r="P75" s="1604">
        <f t="shared" si="47"/>
        <v>5.3299492385786802E-2</v>
      </c>
      <c r="Q75" s="1604">
        <f t="shared" si="47"/>
        <v>4.2898728359123603E-3</v>
      </c>
      <c r="R75" s="1572"/>
      <c r="S75" s="1552"/>
      <c r="T75" s="1553"/>
      <c r="U75" s="1553"/>
      <c r="V75" s="1553"/>
      <c r="X75" s="1616"/>
      <c r="Y75" s="1616"/>
      <c r="Z75" s="1616"/>
    </row>
    <row r="76" spans="1:26">
      <c r="A76" s="1525" t="s">
        <v>1982</v>
      </c>
      <c r="B76" s="1526">
        <f t="shared" si="48"/>
        <v>124.290322580645</v>
      </c>
      <c r="C76" s="1526">
        <f t="shared" si="48"/>
        <v>123.896860986547</v>
      </c>
      <c r="D76" s="1526">
        <f t="shared" si="20"/>
        <v>123.896860986547</v>
      </c>
      <c r="E76" s="1526">
        <f t="shared" si="49"/>
        <v>138.005076142132</v>
      </c>
      <c r="F76" s="1526">
        <f t="shared" si="49"/>
        <v>107.96106557377</v>
      </c>
      <c r="G76" s="3935">
        <v>2005</v>
      </c>
      <c r="H76" s="1531">
        <v>2</v>
      </c>
      <c r="I76" s="1531">
        <v>0.47</v>
      </c>
      <c r="J76" s="1531">
        <v>0.1</v>
      </c>
      <c r="K76" s="1531">
        <v>0.52</v>
      </c>
      <c r="L76" s="1556">
        <v>0.79</v>
      </c>
      <c r="N76" s="1603">
        <f t="shared" si="46"/>
        <v>1.4200657602417101E-2</v>
      </c>
      <c r="O76" s="1604">
        <f t="shared" si="46"/>
        <v>3.30809380283761E-3</v>
      </c>
      <c r="P76" s="1604">
        <f t="shared" si="47"/>
        <v>6.5989847715736002E-2</v>
      </c>
      <c r="Q76" s="1604">
        <f t="shared" si="47"/>
        <v>5.2953117818293196E-3</v>
      </c>
      <c r="R76" s="1572"/>
      <c r="S76" s="1552"/>
      <c r="T76" s="1553"/>
      <c r="U76" s="1553"/>
      <c r="V76" s="1553"/>
      <c r="X76" s="1616"/>
      <c r="Y76" s="1616"/>
      <c r="Z76" s="1616"/>
    </row>
    <row r="77" spans="1:26">
      <c r="A77" s="1525" t="s">
        <v>1983</v>
      </c>
      <c r="B77" s="1526">
        <f t="shared" si="48"/>
        <v>122.57204301075301</v>
      </c>
      <c r="C77" s="1526">
        <f t="shared" si="48"/>
        <v>123.493273542601</v>
      </c>
      <c r="D77" s="1526">
        <f t="shared" si="20"/>
        <v>123.493273542601</v>
      </c>
      <c r="E77" s="1526">
        <f t="shared" si="49"/>
        <v>129.82233502538099</v>
      </c>
      <c r="F77" s="1526">
        <f t="shared" si="49"/>
        <v>107.39446721311501</v>
      </c>
      <c r="G77" s="3938">
        <v>2005</v>
      </c>
      <c r="H77" s="1527">
        <v>1</v>
      </c>
      <c r="I77" s="1527">
        <v>0.43</v>
      </c>
      <c r="J77" s="1527">
        <v>0.37</v>
      </c>
      <c r="K77" s="1527">
        <v>0.37</v>
      </c>
      <c r="L77" s="1554">
        <v>0.55000000000000004</v>
      </c>
      <c r="N77" s="1605">
        <f t="shared" si="46"/>
        <v>1.2992090997956099E-2</v>
      </c>
      <c r="O77" s="1606">
        <f t="shared" si="46"/>
        <v>1.22399470704992E-2</v>
      </c>
      <c r="P77" s="1606">
        <f t="shared" si="47"/>
        <v>4.6954314720812199E-2</v>
      </c>
      <c r="Q77" s="1606">
        <f t="shared" si="47"/>
        <v>3.6866094683621802E-3</v>
      </c>
      <c r="R77" s="1572"/>
      <c r="S77" s="1560">
        <f>B77/B78-1</f>
        <v>1.29920909979562E-2</v>
      </c>
      <c r="T77" s="1561">
        <f>C77/C78-1</f>
        <v>1.22399470704992E-2</v>
      </c>
      <c r="U77" s="1561">
        <f>E77/E78-1</f>
        <v>4.6954314720812199E-2</v>
      </c>
      <c r="V77" s="1561">
        <f>F77/F78-1</f>
        <v>3.68660946836208E-3</v>
      </c>
      <c r="X77" s="1616"/>
      <c r="Y77" s="1616"/>
      <c r="Z77" s="1616"/>
    </row>
    <row r="78" spans="1:26">
      <c r="A78" s="1525" t="s">
        <v>1984</v>
      </c>
      <c r="B78" s="1545">
        <v>121</v>
      </c>
      <c r="C78" s="1545">
        <v>122</v>
      </c>
      <c r="D78" s="1545">
        <f t="shared" si="20"/>
        <v>122</v>
      </c>
      <c r="E78" s="1545">
        <v>124</v>
      </c>
      <c r="F78" s="1546">
        <v>107</v>
      </c>
      <c r="G78" s="3939">
        <v>2004</v>
      </c>
      <c r="H78" s="1536">
        <v>4</v>
      </c>
      <c r="I78" s="1536">
        <v>0.33</v>
      </c>
      <c r="J78" s="1536">
        <v>0.5</v>
      </c>
      <c r="K78" s="1536">
        <v>0.5</v>
      </c>
      <c r="L78" s="1562">
        <v>0</v>
      </c>
      <c r="N78" s="1603">
        <f t="shared" ref="N78:O81" si="50">I78/SUM(I$78:I$81)*(B$78/B$82-1)</f>
        <v>1.33917701485269E-2</v>
      </c>
      <c r="O78" s="1604">
        <f t="shared" si="50"/>
        <v>1.0632642211589599E-2</v>
      </c>
      <c r="P78" s="1604">
        <f t="shared" ref="P78:Q81" si="51">K78/SUM(K$78:K$81)*(E$78/E$82-1)</f>
        <v>2.2244466688911099E-2</v>
      </c>
      <c r="Q78" s="1604">
        <f t="shared" si="51"/>
        <v>0</v>
      </c>
      <c r="R78" s="1572"/>
      <c r="S78" s="1573"/>
      <c r="T78" s="1574"/>
      <c r="U78" s="1574"/>
      <c r="V78" s="1574"/>
      <c r="X78" s="1616"/>
      <c r="Y78" s="1616"/>
      <c r="Z78" s="1616"/>
    </row>
    <row r="79" spans="1:26">
      <c r="A79" s="1525" t="s">
        <v>1985</v>
      </c>
      <c r="B79" s="1526">
        <f t="shared" ref="B79:C81" si="52">B80+(B$78-B$82)*I79/SUM(I$78:I$81)</f>
        <v>119.513513513514</v>
      </c>
      <c r="C79" s="1526">
        <f t="shared" si="52"/>
        <v>120.787878787879</v>
      </c>
      <c r="D79" s="1526">
        <f t="shared" si="20"/>
        <v>120.787878787879</v>
      </c>
      <c r="E79" s="1526">
        <f t="shared" ref="E79:F81" si="53">E80+(E$78-E$82)*K79/SUM(K$78:K$81)</f>
        <v>121.597597597598</v>
      </c>
      <c r="F79" s="1526">
        <f t="shared" si="53"/>
        <v>107</v>
      </c>
      <c r="G79" s="3935">
        <v>2004</v>
      </c>
      <c r="H79" s="1537">
        <v>3</v>
      </c>
      <c r="I79" s="1537">
        <v>0.56000000000000005</v>
      </c>
      <c r="J79" s="1537">
        <v>0.8</v>
      </c>
      <c r="K79" s="1537">
        <v>0.83</v>
      </c>
      <c r="L79" s="1563">
        <v>0.06</v>
      </c>
      <c r="N79" s="1603">
        <f t="shared" si="50"/>
        <v>2.2725428130833499E-2</v>
      </c>
      <c r="O79" s="1604">
        <f t="shared" si="50"/>
        <v>1.7012227538543302E-2</v>
      </c>
      <c r="P79" s="1604">
        <f t="shared" si="51"/>
        <v>3.6925814703592498E-2</v>
      </c>
      <c r="Q79" s="1604">
        <f t="shared" si="51"/>
        <v>2.8846153846153699E-2</v>
      </c>
      <c r="R79" s="1572"/>
      <c r="S79" s="1552"/>
      <c r="T79" s="1553"/>
      <c r="U79" s="1553"/>
      <c r="V79" s="1553"/>
      <c r="X79" s="1616"/>
      <c r="Y79" s="1616"/>
      <c r="Z79" s="1616"/>
    </row>
    <row r="80" spans="1:26">
      <c r="A80" s="1525" t="s">
        <v>1986</v>
      </c>
      <c r="B80" s="1526">
        <f t="shared" si="52"/>
        <v>116.99099099099099</v>
      </c>
      <c r="C80" s="1526">
        <f t="shared" si="52"/>
        <v>118.848484848485</v>
      </c>
      <c r="D80" s="1526">
        <f t="shared" si="20"/>
        <v>118.848484848485</v>
      </c>
      <c r="E80" s="1526">
        <f t="shared" si="53"/>
        <v>117.60960960961</v>
      </c>
      <c r="F80" s="1526">
        <f t="shared" si="53"/>
        <v>104</v>
      </c>
      <c r="G80" s="3935">
        <v>2004</v>
      </c>
      <c r="H80" s="1531">
        <v>2</v>
      </c>
      <c r="I80" s="1531">
        <v>1</v>
      </c>
      <c r="J80" s="1531">
        <v>1.5</v>
      </c>
      <c r="K80" s="1531">
        <v>1.5</v>
      </c>
      <c r="L80" s="1556">
        <v>0</v>
      </c>
      <c r="N80" s="1603">
        <f t="shared" si="50"/>
        <v>4.05811216622027E-2</v>
      </c>
      <c r="O80" s="1604">
        <f t="shared" si="50"/>
        <v>3.1897926634768703E-2</v>
      </c>
      <c r="P80" s="1604">
        <f t="shared" si="51"/>
        <v>6.6733400066733395E-2</v>
      </c>
      <c r="Q80" s="1604">
        <f t="shared" si="51"/>
        <v>0</v>
      </c>
      <c r="R80" s="1572"/>
      <c r="S80" s="1552"/>
      <c r="T80" s="1553"/>
      <c r="U80" s="1553"/>
      <c r="V80" s="1553"/>
      <c r="X80" s="1616"/>
      <c r="Y80" s="1616"/>
      <c r="Z80" s="1616"/>
    </row>
    <row r="81" spans="1:26" s="1509" customFormat="1">
      <c r="A81" s="1525" t="s">
        <v>1987</v>
      </c>
      <c r="B81" s="1584">
        <f t="shared" si="52"/>
        <v>112.486486486486</v>
      </c>
      <c r="C81" s="1584">
        <f t="shared" si="52"/>
        <v>115.212121212121</v>
      </c>
      <c r="D81" s="1584">
        <f t="shared" si="20"/>
        <v>115.212121212121</v>
      </c>
      <c r="E81" s="1584">
        <f t="shared" si="53"/>
        <v>110.402402402402</v>
      </c>
      <c r="F81" s="1584">
        <f t="shared" si="53"/>
        <v>104</v>
      </c>
      <c r="G81" s="3938">
        <v>2004</v>
      </c>
      <c r="H81" s="1585">
        <v>1</v>
      </c>
      <c r="I81" s="1585">
        <v>0.33</v>
      </c>
      <c r="J81" s="1585">
        <v>0.5</v>
      </c>
      <c r="K81" s="1585">
        <v>0.5</v>
      </c>
      <c r="L81" s="1599">
        <v>0</v>
      </c>
      <c r="N81" s="1607">
        <f t="shared" si="50"/>
        <v>1.33917701485269E-2</v>
      </c>
      <c r="O81" s="1608">
        <f t="shared" si="50"/>
        <v>1.0632642211589599E-2</v>
      </c>
      <c r="P81" s="1608">
        <f t="shared" si="51"/>
        <v>2.2244466688911099E-2</v>
      </c>
      <c r="Q81" s="1608">
        <f t="shared" si="51"/>
        <v>0</v>
      </c>
      <c r="R81" s="1615"/>
      <c r="S81" s="1600">
        <f>B81/B82-1</f>
        <v>1.33917701485269E-2</v>
      </c>
      <c r="T81" s="1601">
        <f>C81/C82-1</f>
        <v>1.06326422115897E-2</v>
      </c>
      <c r="U81" s="1601">
        <f>E81/E82-1</f>
        <v>2.22444666889112E-2</v>
      </c>
      <c r="V81" s="1601">
        <f>F81/F82-1</f>
        <v>0</v>
      </c>
      <c r="X81" s="1617"/>
      <c r="Y81" s="1617"/>
      <c r="Z81" s="1617"/>
    </row>
    <row r="82" spans="1:26">
      <c r="A82" s="1525" t="s">
        <v>1988</v>
      </c>
      <c r="B82" s="1587">
        <v>111</v>
      </c>
      <c r="C82" s="1587">
        <v>114</v>
      </c>
      <c r="D82" s="1587">
        <f t="shared" si="20"/>
        <v>114</v>
      </c>
      <c r="E82" s="1587">
        <v>108</v>
      </c>
      <c r="F82" s="1588">
        <v>104</v>
      </c>
      <c r="G82" s="3939">
        <v>2003</v>
      </c>
      <c r="H82" s="1586">
        <v>4</v>
      </c>
      <c r="I82" s="1609"/>
      <c r="J82" s="1609"/>
      <c r="K82" s="1609"/>
      <c r="L82" s="1609"/>
      <c r="N82" s="1610"/>
      <c r="O82" s="1609"/>
      <c r="P82" s="1609"/>
      <c r="Q82" s="1609"/>
      <c r="S82" s="1610"/>
      <c r="T82" s="1609"/>
      <c r="U82" s="1609"/>
      <c r="V82" s="1609"/>
      <c r="X82" s="1616"/>
      <c r="Y82" s="1616"/>
      <c r="Z82" s="1616"/>
    </row>
    <row r="83" spans="1:26">
      <c r="A83" s="1525" t="s">
        <v>1989</v>
      </c>
      <c r="B83" s="1589">
        <f t="shared" ref="B83:C85" si="54">B84+(B$82-B$86)/4</f>
        <v>109.75</v>
      </c>
      <c r="C83" s="1589">
        <f t="shared" si="54"/>
        <v>112.25</v>
      </c>
      <c r="D83" s="1589">
        <f t="shared" si="20"/>
        <v>112.25</v>
      </c>
      <c r="E83" s="1589">
        <f t="shared" ref="E83:F85" si="55">E84+(E$82-E$86)/4</f>
        <v>107.25</v>
      </c>
      <c r="F83" s="1589">
        <f t="shared" si="55"/>
        <v>103.5</v>
      </c>
      <c r="G83" s="3935">
        <v>2003</v>
      </c>
      <c r="H83" s="1537">
        <v>3</v>
      </c>
      <c r="I83" s="1609"/>
      <c r="J83" s="1609"/>
      <c r="K83" s="1609"/>
      <c r="L83" s="1609"/>
      <c r="X83" s="1616"/>
      <c r="Y83" s="1616"/>
      <c r="Z83" s="1616"/>
    </row>
    <row r="84" spans="1:26">
      <c r="A84" s="1525" t="s">
        <v>1990</v>
      </c>
      <c r="B84" s="1589">
        <f t="shared" si="54"/>
        <v>108.5</v>
      </c>
      <c r="C84" s="1589">
        <f t="shared" si="54"/>
        <v>110.5</v>
      </c>
      <c r="D84" s="1589">
        <f t="shared" si="20"/>
        <v>110.5</v>
      </c>
      <c r="E84" s="1589">
        <f t="shared" si="55"/>
        <v>106.5</v>
      </c>
      <c r="F84" s="1589">
        <f t="shared" si="55"/>
        <v>103</v>
      </c>
      <c r="G84" s="3935">
        <v>2003</v>
      </c>
      <c r="H84" s="1531">
        <v>2</v>
      </c>
      <c r="I84" s="1609"/>
      <c r="J84" s="1609"/>
      <c r="K84" s="1609"/>
      <c r="L84" s="1609"/>
      <c r="X84" s="1616"/>
      <c r="Y84" s="1616"/>
      <c r="Z84" s="1616"/>
    </row>
    <row r="85" spans="1:26">
      <c r="A85" s="1525" t="s">
        <v>1991</v>
      </c>
      <c r="B85" s="1589">
        <f t="shared" si="54"/>
        <v>107.25</v>
      </c>
      <c r="C85" s="1589">
        <f t="shared" si="54"/>
        <v>108.75</v>
      </c>
      <c r="D85" s="1589">
        <f t="shared" si="20"/>
        <v>108.75</v>
      </c>
      <c r="E85" s="1589">
        <f t="shared" si="55"/>
        <v>105.75</v>
      </c>
      <c r="F85" s="1589">
        <f t="shared" si="55"/>
        <v>102.5</v>
      </c>
      <c r="G85" s="3938">
        <v>2003</v>
      </c>
      <c r="H85" s="1590">
        <v>1</v>
      </c>
      <c r="I85" s="1609"/>
      <c r="J85" s="1609"/>
      <c r="K85" s="1609"/>
      <c r="L85" s="1609"/>
      <c r="S85" s="1552"/>
      <c r="T85" s="1553"/>
      <c r="U85" s="1553"/>
      <c r="X85" s="1616"/>
      <c r="Y85" s="1616"/>
      <c r="Z85" s="1616"/>
    </row>
    <row r="86" spans="1:26">
      <c r="A86" s="1525" t="s">
        <v>1992</v>
      </c>
      <c r="B86" s="1591">
        <v>106</v>
      </c>
      <c r="C86" s="1591">
        <v>107</v>
      </c>
      <c r="D86" s="1591">
        <f t="shared" si="20"/>
        <v>107</v>
      </c>
      <c r="E86" s="1591">
        <v>105</v>
      </c>
      <c r="F86" s="1592">
        <v>102</v>
      </c>
      <c r="G86" s="3939">
        <v>2002</v>
      </c>
      <c r="H86" s="1536">
        <v>4</v>
      </c>
      <c r="I86" s="1609"/>
      <c r="J86" s="1609"/>
      <c r="K86" s="1609"/>
      <c r="L86" s="1609"/>
      <c r="N86" s="1610"/>
      <c r="O86" s="1609"/>
      <c r="P86" s="1609"/>
      <c r="Q86" s="1609"/>
      <c r="S86" s="1610"/>
      <c r="T86" s="1609"/>
      <c r="U86" s="1609"/>
      <c r="V86" s="1609"/>
      <c r="X86" s="1616"/>
      <c r="Y86" s="1616"/>
      <c r="Z86" s="1616"/>
    </row>
    <row r="87" spans="1:26">
      <c r="A87" s="1525" t="s">
        <v>1993</v>
      </c>
      <c r="B87" s="1589">
        <f t="shared" ref="B87:C89" si="56">B88+(B$86-B$90)/4</f>
        <v>105</v>
      </c>
      <c r="C87" s="1589">
        <f t="shared" si="56"/>
        <v>106</v>
      </c>
      <c r="D87" s="1589">
        <f t="shared" si="20"/>
        <v>106</v>
      </c>
      <c r="E87" s="1589">
        <f t="shared" ref="E87:F89" si="57">E88+(E$86-E$90)/4</f>
        <v>104.5</v>
      </c>
      <c r="F87" s="1589">
        <f t="shared" si="57"/>
        <v>101.5</v>
      </c>
      <c r="G87" s="3935">
        <v>2002</v>
      </c>
      <c r="H87" s="1537">
        <v>3</v>
      </c>
      <c r="I87" s="1609"/>
      <c r="J87" s="1609"/>
      <c r="K87" s="1609"/>
      <c r="L87" s="1609"/>
      <c r="X87" s="1616"/>
      <c r="Y87" s="1616"/>
      <c r="Z87" s="1616"/>
    </row>
    <row r="88" spans="1:26">
      <c r="A88" s="1525" t="s">
        <v>1994</v>
      </c>
      <c r="B88" s="1589">
        <f t="shared" si="56"/>
        <v>104</v>
      </c>
      <c r="C88" s="1589">
        <f t="shared" si="56"/>
        <v>105</v>
      </c>
      <c r="D88" s="1589">
        <f t="shared" si="20"/>
        <v>105</v>
      </c>
      <c r="E88" s="1589">
        <f t="shared" si="57"/>
        <v>104</v>
      </c>
      <c r="F88" s="1589">
        <f t="shared" si="57"/>
        <v>101</v>
      </c>
      <c r="G88" s="3935">
        <v>2002</v>
      </c>
      <c r="H88" s="1531">
        <v>2</v>
      </c>
      <c r="I88" s="1609"/>
      <c r="J88" s="1609"/>
      <c r="K88" s="1609"/>
      <c r="L88" s="1609"/>
      <c r="X88" s="1616"/>
      <c r="Y88" s="1616"/>
      <c r="Z88" s="1616"/>
    </row>
    <row r="89" spans="1:26" s="1508" customFormat="1">
      <c r="A89" s="1541" t="s">
        <v>1995</v>
      </c>
      <c r="B89" s="1575">
        <f t="shared" si="56"/>
        <v>103</v>
      </c>
      <c r="C89" s="1575">
        <f t="shared" si="56"/>
        <v>104</v>
      </c>
      <c r="D89" s="1575">
        <f t="shared" si="20"/>
        <v>104</v>
      </c>
      <c r="E89" s="1575">
        <f t="shared" si="57"/>
        <v>103.5</v>
      </c>
      <c r="F89" s="1575">
        <f t="shared" si="57"/>
        <v>100.5</v>
      </c>
      <c r="G89" s="3938">
        <v>2002</v>
      </c>
      <c r="H89" s="1593">
        <v>1</v>
      </c>
      <c r="I89" s="1611"/>
      <c r="J89" s="1611"/>
      <c r="K89" s="1611"/>
      <c r="L89" s="1611"/>
      <c r="N89" s="1612"/>
      <c r="S89" s="1612"/>
      <c r="X89" s="1618"/>
      <c r="Y89" s="1618"/>
      <c r="Z89" s="1618"/>
    </row>
    <row r="90" spans="1:26">
      <c r="B90" s="1594">
        <v>102</v>
      </c>
      <c r="C90" s="1595">
        <v>103</v>
      </c>
      <c r="D90" s="1595">
        <f t="shared" si="20"/>
        <v>103</v>
      </c>
      <c r="E90" s="1595">
        <v>103</v>
      </c>
      <c r="F90" s="1596">
        <v>100</v>
      </c>
      <c r="I90" s="1609"/>
      <c r="J90" s="1609"/>
      <c r="K90" s="1609"/>
      <c r="L90" s="1609"/>
      <c r="N90" s="1610"/>
      <c r="O90" s="1609"/>
      <c r="P90" s="1609"/>
      <c r="Q90" s="1609"/>
      <c r="S90" s="1610"/>
      <c r="T90" s="1609"/>
      <c r="U90" s="1609"/>
      <c r="V90" s="1609"/>
      <c r="X90" s="1574"/>
      <c r="Y90" s="1574"/>
      <c r="Z90" s="1574"/>
    </row>
    <row r="92" spans="1:26" s="1510" customFormat="1">
      <c r="A92" s="1597" t="s">
        <v>1996</v>
      </c>
      <c r="G92" s="1598"/>
      <c r="N92" s="1598"/>
      <c r="S92" s="1598"/>
    </row>
    <row r="93" spans="1:26" s="1510" customFormat="1">
      <c r="A93" s="1510" t="s">
        <v>1997</v>
      </c>
      <c r="G93" s="1598"/>
      <c r="N93" s="1598"/>
      <c r="S93" s="1598"/>
    </row>
    <row r="94" spans="1:26" s="1510" customFormat="1">
      <c r="A94" s="1510" t="s">
        <v>1998</v>
      </c>
      <c r="G94" s="1598"/>
      <c r="I94" s="1613"/>
      <c r="J94" s="1613"/>
      <c r="K94" s="1613"/>
      <c r="L94" s="1613"/>
      <c r="N94" s="1614"/>
      <c r="O94" s="1613"/>
      <c r="P94" s="1613"/>
      <c r="Q94" s="1613"/>
      <c r="S94" s="1614"/>
      <c r="T94" s="1613"/>
      <c r="U94" s="1613"/>
      <c r="V94" s="1613"/>
    </row>
    <row r="95" spans="1:26" s="1510" customFormat="1">
      <c r="A95" s="1510" t="s">
        <v>1999</v>
      </c>
      <c r="G95" s="1598"/>
      <c r="N95" s="1598"/>
      <c r="S95" s="1598"/>
    </row>
    <row r="103" spans="7:22">
      <c r="G103" s="1511"/>
      <c r="S103" s="1619" t="s">
        <v>2000</v>
      </c>
      <c r="T103" s="1620" t="s">
        <v>2001</v>
      </c>
      <c r="U103" s="1620" t="s">
        <v>2002</v>
      </c>
      <c r="V103" s="1620" t="s">
        <v>2003</v>
      </c>
    </row>
    <row r="104" spans="7:22">
      <c r="G104" s="1511"/>
      <c r="N104" s="1573"/>
      <c r="O104" s="1574"/>
      <c r="P104" s="1574"/>
      <c r="Q104" s="1574"/>
      <c r="S104" s="1621">
        <v>2006</v>
      </c>
      <c r="T104" s="1622">
        <v>15.1</v>
      </c>
      <c r="U104" s="1622">
        <v>7.43</v>
      </c>
      <c r="V104" s="1622">
        <v>26.26</v>
      </c>
    </row>
    <row r="105" spans="7:22">
      <c r="G105" s="1511"/>
      <c r="N105" s="1573"/>
      <c r="O105" s="1574"/>
      <c r="P105" s="1574"/>
      <c r="Q105" s="1574"/>
      <c r="S105" s="1623">
        <v>2005</v>
      </c>
      <c r="T105" s="1624">
        <v>13.9</v>
      </c>
      <c r="U105" s="1624">
        <v>7.49</v>
      </c>
      <c r="V105" s="1624">
        <v>24.92</v>
      </c>
    </row>
    <row r="106" spans="7:22">
      <c r="G106" s="1511"/>
      <c r="N106" s="1573"/>
      <c r="O106" s="1574"/>
      <c r="P106" s="1574"/>
      <c r="Q106" s="1574"/>
      <c r="S106" s="1621">
        <v>2004</v>
      </c>
      <c r="T106" s="1622">
        <v>9.48</v>
      </c>
      <c r="U106" s="1622">
        <v>7.2</v>
      </c>
      <c r="V106" s="1622">
        <v>14.68</v>
      </c>
    </row>
    <row r="107" spans="7:22">
      <c r="G107" s="1511"/>
      <c r="N107" s="1573"/>
      <c r="O107" s="1574"/>
      <c r="P107" s="1574"/>
      <c r="Q107" s="1574"/>
      <c r="S107" s="1623">
        <v>2003</v>
      </c>
      <c r="T107" s="1624">
        <v>4.5</v>
      </c>
      <c r="U107" s="1624">
        <v>6.12</v>
      </c>
      <c r="V107" s="1624">
        <v>2.34</v>
      </c>
    </row>
    <row r="108" spans="7:22">
      <c r="G108" s="1511"/>
      <c r="N108" s="1573"/>
      <c r="O108" s="1574"/>
      <c r="P108" s="1574"/>
      <c r="Q108" s="1574"/>
      <c r="S108" s="1625">
        <v>2002</v>
      </c>
      <c r="T108" s="1626">
        <v>3.59</v>
      </c>
      <c r="U108" s="1626">
        <v>4.54</v>
      </c>
      <c r="V108" s="1626">
        <v>2.5499999999999998</v>
      </c>
    </row>
    <row r="109" spans="7:22">
      <c r="G109" s="1511"/>
      <c r="N109" s="1573"/>
      <c r="O109" s="1574"/>
      <c r="P109" s="1574"/>
      <c r="Q109" s="1574"/>
    </row>
    <row r="110" spans="7:22">
      <c r="G110" s="1511"/>
      <c r="N110" s="1573"/>
      <c r="O110" s="1574"/>
      <c r="P110" s="1574"/>
      <c r="Q110" s="1574"/>
    </row>
    <row r="111" spans="7:22">
      <c r="G111" s="1511"/>
      <c r="N111" s="1573"/>
      <c r="O111" s="1574"/>
      <c r="P111" s="1574"/>
      <c r="Q111" s="1574"/>
    </row>
    <row r="112" spans="7:22">
      <c r="G112" s="1511"/>
      <c r="N112" s="1573"/>
      <c r="O112" s="1574"/>
      <c r="P112" s="1574"/>
      <c r="Q112" s="1574"/>
    </row>
    <row r="113" spans="7:19">
      <c r="G113" s="1511"/>
      <c r="N113" s="1573"/>
      <c r="O113" s="1574"/>
      <c r="P113" s="1574"/>
      <c r="Q113" s="1574"/>
    </row>
    <row r="114" spans="7:19">
      <c r="G114" s="1511"/>
      <c r="N114" s="1573"/>
      <c r="O114" s="1574"/>
      <c r="P114" s="1574"/>
      <c r="Q114" s="1574"/>
    </row>
    <row r="115" spans="7:19">
      <c r="G115" s="1511"/>
      <c r="N115" s="1573"/>
      <c r="O115" s="1574"/>
      <c r="P115" s="1574"/>
      <c r="Q115" s="1574"/>
    </row>
    <row r="116" spans="7:19">
      <c r="G116" s="1511"/>
      <c r="N116" s="1573"/>
      <c r="O116" s="1574"/>
      <c r="P116" s="1574"/>
      <c r="Q116" s="1574"/>
    </row>
    <row r="117" spans="7:19">
      <c r="G117" s="1511"/>
      <c r="N117" s="1573"/>
      <c r="O117" s="1574"/>
      <c r="P117" s="1574"/>
      <c r="Q117" s="1574"/>
    </row>
    <row r="118" spans="7:19">
      <c r="G118" s="1511"/>
      <c r="N118" s="1573"/>
      <c r="O118" s="1574"/>
      <c r="P118" s="1574"/>
      <c r="Q118" s="1574"/>
    </row>
    <row r="119" spans="7:19">
      <c r="G119" s="1511"/>
      <c r="N119" s="1573"/>
      <c r="O119" s="1574"/>
      <c r="P119" s="1574"/>
      <c r="Q119" s="1574"/>
      <c r="S119" s="1511"/>
    </row>
    <row r="120" spans="7:19">
      <c r="G120" s="1511"/>
      <c r="N120" s="1573"/>
      <c r="O120" s="1574"/>
      <c r="P120" s="1574"/>
      <c r="Q120" s="1574"/>
      <c r="S120" s="1511"/>
    </row>
    <row r="121" spans="7:19">
      <c r="G121" s="1511"/>
      <c r="N121" s="1573"/>
      <c r="O121" s="1574"/>
      <c r="P121" s="1574"/>
      <c r="Q121" s="1574"/>
      <c r="S121" s="1511"/>
    </row>
    <row r="122" spans="7:19">
      <c r="G122" s="1511"/>
      <c r="N122" s="1573"/>
      <c r="O122" s="1574"/>
      <c r="P122" s="1574"/>
      <c r="Q122" s="1574"/>
      <c r="S122" s="1511"/>
    </row>
    <row r="123" spans="7:19">
      <c r="G123" s="1511"/>
      <c r="N123" s="1573"/>
      <c r="O123" s="1574"/>
      <c r="P123" s="1574"/>
      <c r="Q123" s="1574"/>
      <c r="S123" s="1511"/>
    </row>
    <row r="124" spans="7:19">
      <c r="G124" s="1511"/>
      <c r="N124" s="1573"/>
      <c r="O124" s="1574"/>
      <c r="P124" s="1574"/>
      <c r="Q124" s="1574"/>
      <c r="S124" s="151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26">
        <f>基准地价!G23</f>
        <v>45271</v>
      </c>
      <c r="B1" s="1427" t="s">
        <v>2004</v>
      </c>
      <c r="C1" s="1428"/>
      <c r="D1" s="1428"/>
      <c r="E1" s="1428"/>
      <c r="F1" s="1428"/>
      <c r="G1" s="1428"/>
      <c r="H1" s="1428"/>
      <c r="I1" s="1428"/>
      <c r="J1" s="1458"/>
      <c r="K1" s="1428" t="s">
        <v>1903</v>
      </c>
      <c r="L1" s="1428"/>
      <c r="M1" s="1428"/>
      <c r="N1" s="1428"/>
      <c r="O1" s="1428"/>
      <c r="P1" s="1428"/>
      <c r="Q1" s="1458"/>
      <c r="R1" s="3943" t="s">
        <v>1905</v>
      </c>
      <c r="S1" s="3944"/>
      <c r="T1" s="3944"/>
      <c r="U1" s="3944"/>
      <c r="V1" s="3944"/>
      <c r="W1" s="3944"/>
      <c r="X1" s="1458"/>
      <c r="Y1" s="3943" t="s">
        <v>1906</v>
      </c>
      <c r="Z1" s="3944"/>
      <c r="AA1" s="3944"/>
      <c r="AB1" s="3944"/>
      <c r="AC1" s="3944"/>
      <c r="AD1" s="3944"/>
    </row>
    <row r="2" spans="1:30">
      <c r="A2" s="1429"/>
      <c r="B2" s="1430"/>
      <c r="C2" s="1431"/>
      <c r="D2" s="1432" t="s">
        <v>2005</v>
      </c>
      <c r="E2" s="1433" t="s">
        <v>435</v>
      </c>
      <c r="F2" s="1433" t="s">
        <v>436</v>
      </c>
      <c r="G2" s="1433" t="s">
        <v>402</v>
      </c>
      <c r="H2" s="1433" t="s">
        <v>164</v>
      </c>
      <c r="I2" s="1433" t="s">
        <v>297</v>
      </c>
      <c r="J2" s="1459"/>
      <c r="K2" s="1432" t="s">
        <v>2005</v>
      </c>
      <c r="L2" s="1433" t="s">
        <v>435</v>
      </c>
      <c r="M2" s="1433" t="s">
        <v>436</v>
      </c>
      <c r="N2" s="1433" t="s">
        <v>402</v>
      </c>
      <c r="O2" s="1433" t="s">
        <v>164</v>
      </c>
      <c r="P2" s="1433" t="s">
        <v>297</v>
      </c>
      <c r="Q2" s="1459"/>
      <c r="R2" s="1432" t="s">
        <v>2005</v>
      </c>
      <c r="S2" s="1433" t="s">
        <v>435</v>
      </c>
      <c r="T2" s="1433" t="s">
        <v>436</v>
      </c>
      <c r="U2" s="1433" t="s">
        <v>402</v>
      </c>
      <c r="V2" s="1433" t="s">
        <v>164</v>
      </c>
      <c r="W2" s="1433" t="s">
        <v>297</v>
      </c>
      <c r="X2" s="1459"/>
      <c r="Y2" s="1432" t="s">
        <v>2005</v>
      </c>
      <c r="Z2" s="1433" t="s">
        <v>435</v>
      </c>
      <c r="AA2" s="1433" t="s">
        <v>436</v>
      </c>
      <c r="AB2" s="1433" t="s">
        <v>402</v>
      </c>
      <c r="AC2" s="1433" t="s">
        <v>164</v>
      </c>
      <c r="AD2" s="1433" t="s">
        <v>297</v>
      </c>
    </row>
    <row r="3" spans="1:30">
      <c r="A3" s="1434" t="s">
        <v>1909</v>
      </c>
      <c r="B3" s="1435"/>
      <c r="C3" s="1436"/>
      <c r="D3" s="1436">
        <f>ROUND(AVERAGEIF(D4:D18,"&lt;&gt;0"),2)</f>
        <v>0.7</v>
      </c>
      <c r="E3" s="1436">
        <f>ROUND(AVERAGEIF(E4:E18,"&lt;&gt;0"),2)</f>
        <v>0.41</v>
      </c>
      <c r="F3" s="1436">
        <f>ROUND(AVERAGEIF(F4:F18,"&lt;&gt;0"),2)</f>
        <v>0.23</v>
      </c>
      <c r="G3" s="1436">
        <f>ROUND(AVERAGEIF(G4:G18,"&lt;&gt;0"),2)</f>
        <v>0.84</v>
      </c>
      <c r="H3" s="1436">
        <f>ROUND(AVERAGEIF(H4:H18,"&lt;&gt;0"),2)</f>
        <v>0.63</v>
      </c>
      <c r="I3" s="1436">
        <f>F3</f>
        <v>0.23</v>
      </c>
      <c r="J3" s="1460"/>
      <c r="K3" s="1461">
        <f>ROUND(AVERAGEIF(K4:K18,"&lt;&gt;0"),4)</f>
        <v>7.0000000000000001E-3</v>
      </c>
      <c r="L3" s="1462">
        <f>ROUND(AVERAGEIF(L4:L18,"&lt;&gt;0"),4)</f>
        <v>4.1000000000000003E-3</v>
      </c>
      <c r="M3" s="1462">
        <f>ROUND(AVERAGEIF(M4:M18,"&lt;&gt;0"),4)</f>
        <v>2.3E-3</v>
      </c>
      <c r="N3" s="1462">
        <f>ROUND(AVERAGEIF(N4:N18,"&lt;&gt;0"),4)</f>
        <v>8.3999999999999995E-3</v>
      </c>
      <c r="O3" s="1462">
        <f>ROUND(AVERAGEIF(O4:O18,"&lt;&gt;0"),4)</f>
        <v>6.3E-3</v>
      </c>
      <c r="P3" s="1462">
        <f>M3</f>
        <v>2.3E-3</v>
      </c>
      <c r="Q3" s="1460"/>
      <c r="R3" s="1478">
        <f>ROUND(SUMPRODUCT(PRODUCT(1+K4:K18)),4)</f>
        <v>1.0942000000000001</v>
      </c>
      <c r="S3" s="1479">
        <f>ROUND(SUMPRODUCT(PRODUCT(1+L4:L18)),4)</f>
        <v>1.0463</v>
      </c>
      <c r="T3" s="1479">
        <f>ROUND(SUMPRODUCT(PRODUCT(1+M4:M18)),4)</f>
        <v>1.0257000000000001</v>
      </c>
      <c r="U3" s="1479">
        <f>ROUND(SUMPRODUCT(PRODUCT(1+N4:N18)),4)</f>
        <v>1.0961000000000001</v>
      </c>
      <c r="V3" s="1479">
        <f>ROUND(SUMPRODUCT(PRODUCT(1+O4:O18)),4)</f>
        <v>1.0713999999999999</v>
      </c>
      <c r="W3" s="1478">
        <f>T3</f>
        <v>1.0257000000000001</v>
      </c>
      <c r="X3" s="1460"/>
      <c r="Y3" s="1486">
        <f>ROUND(AVERAGEIF(Y5:Y18,"&lt;&gt;0"),4)</f>
        <v>8.3000000000000001E-3</v>
      </c>
      <c r="Z3" s="1487">
        <f>ROUND(AVERAGEIF(Z5:Z18,"&lt;&gt;0"),4)</f>
        <v>3.7000000000000002E-3</v>
      </c>
      <c r="AA3" s="1488">
        <f>ROUND(AVERAGEIF(AA5:AA18,"&lt;&gt;0"),4)</f>
        <v>1.1999999999999999E-3</v>
      </c>
      <c r="AB3" s="1486">
        <f>ROUND(AVERAGEIF(AB5:AB18,"&lt;&gt;0"),4)</f>
        <v>9.2999999999999992E-3</v>
      </c>
      <c r="AC3" s="1489">
        <f>ROUND(AVERAGEIF(AC5:AC18,"&lt;&gt;0"),4)</f>
        <v>6.1999999999999998E-3</v>
      </c>
      <c r="AD3" s="1486">
        <f>AA3</f>
        <v>1.1999999999999999E-3</v>
      </c>
    </row>
    <row r="4" spans="1:30">
      <c r="A4" s="1437"/>
      <c r="B4" s="1438"/>
      <c r="C4" s="1439"/>
      <c r="D4" s="1439"/>
      <c r="E4" s="1439"/>
      <c r="F4" s="1439"/>
      <c r="G4" s="1439"/>
      <c r="H4" s="1439"/>
      <c r="I4" s="1439"/>
      <c r="J4" s="1458"/>
      <c r="K4" s="1463"/>
      <c r="L4" s="1464"/>
      <c r="M4" s="1464"/>
      <c r="N4" s="1464"/>
      <c r="O4" s="1464"/>
      <c r="P4" s="1464"/>
      <c r="Q4" s="1458"/>
      <c r="R4" s="1480"/>
      <c r="S4" s="1481"/>
      <c r="T4" s="1482"/>
      <c r="U4" s="1480"/>
      <c r="V4" s="1483"/>
      <c r="W4" s="1480"/>
      <c r="X4" s="1458"/>
      <c r="Y4" s="1468"/>
      <c r="Z4" s="1490"/>
      <c r="AA4" s="1491"/>
      <c r="AB4" s="1468"/>
      <c r="AC4" s="1492"/>
      <c r="AD4" s="1468"/>
    </row>
    <row r="5" spans="1:30">
      <c r="A5" s="1440" t="s">
        <v>2006</v>
      </c>
      <c r="B5" s="1441">
        <v>2023</v>
      </c>
      <c r="C5" s="1442">
        <v>4</v>
      </c>
      <c r="D5" s="1442">
        <v>0</v>
      </c>
      <c r="E5" s="1442">
        <v>0</v>
      </c>
      <c r="F5" s="1442">
        <v>0</v>
      </c>
      <c r="G5" s="1442">
        <v>0</v>
      </c>
      <c r="H5" s="1442">
        <v>0</v>
      </c>
      <c r="I5" s="1465">
        <f t="shared" ref="I5:I18" si="0">F5</f>
        <v>0</v>
      </c>
      <c r="J5" s="1466"/>
      <c r="K5" s="1467">
        <f t="shared" ref="K5:O18" si="1">D5/100</f>
        <v>0</v>
      </c>
      <c r="L5" s="1468">
        <f t="shared" si="1"/>
        <v>0</v>
      </c>
      <c r="M5" s="1468">
        <f t="shared" si="1"/>
        <v>0</v>
      </c>
      <c r="N5" s="1468">
        <f t="shared" si="1"/>
        <v>0</v>
      </c>
      <c r="O5" s="1468">
        <f t="shared" si="1"/>
        <v>0</v>
      </c>
      <c r="P5" s="1468">
        <f>M5</f>
        <v>0</v>
      </c>
      <c r="Q5" s="1466"/>
      <c r="R5" s="1484">
        <f>ROUND(IF(项目基本情况!$B$8="出让",SUMPRODUCT(PRODUCT(1+K5:$K$18)),SUMPRODUCT(PRODUCT(1+K5:$K$17))),4)</f>
        <v>1.0837000000000001</v>
      </c>
      <c r="S5" s="1484">
        <f>ROUND(IF(项目基本情况!$B$8="出让",SUMPRODUCT(PRODUCT(1+L5:$L$18)),SUMPRODUCT(PRODUCT(1+L5:$L$17))),4)</f>
        <v>1.0447</v>
      </c>
      <c r="T5" s="1484">
        <f>ROUND(IF(项目基本情况!$B$8="出让",SUMPRODUCT(PRODUCT(1+M5:$M$18)),SUMPRODUCT(PRODUCT(1+M5:$M$17))),4)</f>
        <v>1.0282</v>
      </c>
      <c r="U5" s="1484">
        <f>ROUND(IF(项目基本情况!$B$8="出让",SUMPRODUCT(PRODUCT(1+N5:$N$18)),SUMPRODUCT(PRODUCT(1+N5:$N$17))),4)</f>
        <v>1.0841000000000001</v>
      </c>
      <c r="V5" s="1484">
        <f>ROUND(IF(项目基本情况!$B$8="出让",SUMPRODUCT(PRODUCT(1+O5:$O$18)),SUMPRODUCT(PRODUCT(1+O5:$O$17))),4)</f>
        <v>1.0674999999999999</v>
      </c>
      <c r="W5" s="1484">
        <f>T5</f>
        <v>1.0282</v>
      </c>
      <c r="X5" s="1466"/>
      <c r="Y5" s="1493">
        <f>IF(D5=0,0,ROUND(AVERAGE(D5:D18)/100,4))</f>
        <v>0</v>
      </c>
      <c r="Z5" s="1493">
        <f>IF(E5=0,0,ROUND(AVERAGE(E5:E18)/100,4))</f>
        <v>0</v>
      </c>
      <c r="AA5" s="1493">
        <f>IF(F5=0,0,ROUND(AVERAGE(F5:F18)/100,4))</f>
        <v>0</v>
      </c>
      <c r="AB5" s="1493">
        <f>IF(G5=0,0,ROUND(AVERAGE(G5:G18)/100,4))</f>
        <v>0</v>
      </c>
      <c r="AC5" s="1493">
        <f>IF(H5=0,0,ROUND(AVERAGE(H5:H18)/100,4))</f>
        <v>0</v>
      </c>
      <c r="AD5" s="1493">
        <f t="shared" ref="AD5:AD18" si="2">AA5</f>
        <v>0</v>
      </c>
    </row>
    <row r="6" spans="1:30">
      <c r="A6" s="1440" t="s">
        <v>2007</v>
      </c>
      <c r="B6" s="1441">
        <v>2023</v>
      </c>
      <c r="C6" s="1442">
        <v>3</v>
      </c>
      <c r="D6" s="1442">
        <v>0.25</v>
      </c>
      <c r="E6" s="1442">
        <v>0</v>
      </c>
      <c r="F6" s="1442">
        <v>0</v>
      </c>
      <c r="G6" s="1442">
        <v>0</v>
      </c>
      <c r="H6" s="1443">
        <v>0</v>
      </c>
      <c r="I6" s="1465">
        <f t="shared" si="0"/>
        <v>0</v>
      </c>
      <c r="J6" s="1466"/>
      <c r="K6" s="1467">
        <f t="shared" ref="K6" si="3">D6/100</f>
        <v>2.5000000000000001E-3</v>
      </c>
      <c r="L6" s="1468">
        <f t="shared" ref="L6" si="4">E6/100</f>
        <v>0</v>
      </c>
      <c r="M6" s="1468">
        <f t="shared" ref="M6" si="5">F6/100</f>
        <v>0</v>
      </c>
      <c r="N6" s="1468">
        <f t="shared" ref="N6" si="6">G6/100</f>
        <v>0</v>
      </c>
      <c r="O6" s="1468">
        <f t="shared" ref="O6" si="7">H6/100</f>
        <v>0</v>
      </c>
      <c r="P6" s="1468">
        <f t="shared" ref="P6" si="8">M6</f>
        <v>0</v>
      </c>
      <c r="Q6" s="1466"/>
      <c r="R6" s="1484">
        <f>ROUND(IF(项目基本情况!$B$8="出让",SUMPRODUCT(PRODUCT(1+K6:$K$18)),SUMPRODUCT(PRODUCT(1+K6:$K$17))),4)</f>
        <v>1.0837000000000001</v>
      </c>
      <c r="S6" s="1484">
        <f>ROUND(IF(项目基本情况!$B$8="出让",SUMPRODUCT(PRODUCT(1+L6:$L$18)),SUMPRODUCT(PRODUCT(1+L6:$L$17))),4)</f>
        <v>1.0447</v>
      </c>
      <c r="T6" s="1484">
        <f>ROUND(IF(项目基本情况!$B$8="出让",SUMPRODUCT(PRODUCT(1+M6:$M$18)),SUMPRODUCT(PRODUCT(1+M6:$M$17))),4)</f>
        <v>1.0282</v>
      </c>
      <c r="U6" s="1484">
        <f>ROUND(IF(项目基本情况!$B$8="出让",SUMPRODUCT(PRODUCT(1+N6:$N$18)),SUMPRODUCT(PRODUCT(1+N6:$N$17))),4)</f>
        <v>1.0841000000000001</v>
      </c>
      <c r="V6" s="1484">
        <f>ROUND(IF(项目基本情况!$B$8="出让",SUMPRODUCT(PRODUCT(1+O6:$O$18)),SUMPRODUCT(PRODUCT(1+O6:$O$17))),4)</f>
        <v>1.0674999999999999</v>
      </c>
      <c r="W6" s="1484">
        <f t="shared" ref="W6" si="9">T6</f>
        <v>1.0282</v>
      </c>
      <c r="X6" s="1466"/>
      <c r="Y6" s="1493">
        <f t="shared" ref="Y6" si="10">IF(D6=0,0,ROUND(AVERAGE(D6:D17)/100,4))</f>
        <v>6.7000000000000002E-3</v>
      </c>
      <c r="Z6" s="1493">
        <f t="shared" ref="Z6" si="11">IF(E6=0,0,ROUND(AVERAGE(E6:E17)/100,4))</f>
        <v>0</v>
      </c>
      <c r="AA6" s="1493">
        <f t="shared" ref="AA6" si="12">IF(F6=0,0,ROUND(AVERAGE(F6:F17)/100,4))</f>
        <v>0</v>
      </c>
      <c r="AB6" s="1493">
        <f t="shared" ref="AB6" si="13">IF(G6=0,0,ROUND(AVERAGE(G6:G17)/100,4))</f>
        <v>0</v>
      </c>
      <c r="AC6" s="1493">
        <f t="shared" ref="AC6" si="14">IF(H6=0,0,ROUND(AVERAGE(H6:H17)/100,4))</f>
        <v>0</v>
      </c>
      <c r="AD6" s="1493">
        <f t="shared" ref="AD6" si="15">AA6</f>
        <v>0</v>
      </c>
    </row>
    <row r="7" spans="1:30">
      <c r="A7" s="1440" t="s">
        <v>2008</v>
      </c>
      <c r="B7" s="1441">
        <v>2023</v>
      </c>
      <c r="C7" s="1442">
        <v>3</v>
      </c>
      <c r="D7" s="1442">
        <v>0.25</v>
      </c>
      <c r="E7" s="1442">
        <v>0</v>
      </c>
      <c r="F7" s="1442">
        <v>0</v>
      </c>
      <c r="G7" s="1442">
        <v>0</v>
      </c>
      <c r="H7" s="1443">
        <v>0</v>
      </c>
      <c r="I7" s="1465">
        <f t="shared" ref="I7" si="16">F7</f>
        <v>0</v>
      </c>
      <c r="J7" s="1466"/>
      <c r="K7" s="1467">
        <f t="shared" si="1"/>
        <v>2.5000000000000001E-3</v>
      </c>
      <c r="L7" s="1468">
        <f t="shared" si="1"/>
        <v>0</v>
      </c>
      <c r="M7" s="1468">
        <f t="shared" si="1"/>
        <v>0</v>
      </c>
      <c r="N7" s="1468">
        <f t="shared" si="1"/>
        <v>0</v>
      </c>
      <c r="O7" s="1468">
        <f t="shared" si="1"/>
        <v>0</v>
      </c>
      <c r="P7" s="1468">
        <f t="shared" ref="P7" si="17">M7</f>
        <v>0</v>
      </c>
      <c r="Q7" s="1466"/>
      <c r="R7" s="1484">
        <f>ROUND(IF(项目基本情况!$B$8="出让",SUMPRODUCT(PRODUCT(1+K7:$K$18)),SUMPRODUCT(PRODUCT(1+K7:$K$17))),4)</f>
        <v>1.081</v>
      </c>
      <c r="S7" s="1484">
        <f>ROUND(IF(项目基本情况!$B$8="出让",SUMPRODUCT(PRODUCT(1+L7:$L$18)),SUMPRODUCT(PRODUCT(1+L7:$L$17))),4)</f>
        <v>1.0447</v>
      </c>
      <c r="T7" s="1484">
        <f>ROUND(IF(项目基本情况!$B$8="出让",SUMPRODUCT(PRODUCT(1+M7:$M$18)),SUMPRODUCT(PRODUCT(1+M7:$M$17))),4)</f>
        <v>1.0282</v>
      </c>
      <c r="U7" s="1484">
        <f>ROUND(IF(项目基本情况!$B$8="出让",SUMPRODUCT(PRODUCT(1+N7:$N$18)),SUMPRODUCT(PRODUCT(1+N7:$N$17))),4)</f>
        <v>1.0841000000000001</v>
      </c>
      <c r="V7" s="1484">
        <f>ROUND(IF(项目基本情况!$B$8="出让",SUMPRODUCT(PRODUCT(1+O7:$O$18)),SUMPRODUCT(PRODUCT(1+O7:$O$17))),4)</f>
        <v>1.0674999999999999</v>
      </c>
      <c r="W7" s="1484">
        <f t="shared" ref="W7" si="18">T7</f>
        <v>1.0282</v>
      </c>
      <c r="X7" s="1466"/>
      <c r="Y7" s="1493">
        <f t="shared" ref="Y7" si="19">IF(D7=0,0,ROUND(AVERAGE(D7:D18)/100,4))</f>
        <v>7.3000000000000001E-3</v>
      </c>
      <c r="Z7" s="1493">
        <f t="shared" ref="Z7" si="20">IF(E7=0,0,ROUND(AVERAGE(E7:E18)/100,4))</f>
        <v>0</v>
      </c>
      <c r="AA7" s="1493">
        <f t="shared" ref="AA7" si="21">IF(F7=0,0,ROUND(AVERAGE(F7:F18)/100,4))</f>
        <v>0</v>
      </c>
      <c r="AB7" s="1493">
        <f t="shared" ref="AB7" si="22">IF(G7=0,0,ROUND(AVERAGE(G7:G18)/100,4))</f>
        <v>0</v>
      </c>
      <c r="AC7" s="1493">
        <f t="shared" ref="AC7" si="23">IF(H7=0,0,ROUND(AVERAGE(H7:H18)/100,4))</f>
        <v>0</v>
      </c>
      <c r="AD7" s="1493">
        <f t="shared" si="2"/>
        <v>0</v>
      </c>
    </row>
    <row r="8" spans="1:30">
      <c r="A8" s="1444" t="s">
        <v>2009</v>
      </c>
      <c r="B8" s="1445">
        <v>2023</v>
      </c>
      <c r="C8" s="1446">
        <v>3</v>
      </c>
      <c r="D8" s="1446">
        <v>0.25</v>
      </c>
      <c r="E8" s="1446">
        <v>0.5</v>
      </c>
      <c r="F8" s="1446">
        <v>0.31</v>
      </c>
      <c r="G8" s="1446">
        <v>0.21</v>
      </c>
      <c r="H8" s="1447">
        <v>0.43</v>
      </c>
      <c r="I8" s="1469">
        <f t="shared" si="0"/>
        <v>0.31</v>
      </c>
      <c r="J8" s="1470"/>
      <c r="K8" s="1471">
        <f t="shared" ref="K8:K10" si="24">D8/100</f>
        <v>2.5000000000000001E-3</v>
      </c>
      <c r="L8" s="1472">
        <f t="shared" ref="L8:L10" si="25">E8/100</f>
        <v>5.0000000000000001E-3</v>
      </c>
      <c r="M8" s="1472">
        <f t="shared" ref="M8:M10" si="26">F8/100</f>
        <v>3.0999999999999999E-3</v>
      </c>
      <c r="N8" s="1472">
        <f t="shared" ref="N8:N10" si="27">G8/100</f>
        <v>2.0999999999999999E-3</v>
      </c>
      <c r="O8" s="1472">
        <f t="shared" ref="O8:O10" si="28">H8/100</f>
        <v>4.3E-3</v>
      </c>
      <c r="P8" s="1472">
        <f t="shared" ref="P8:P10" si="29">M8</f>
        <v>3.0999999999999999E-3</v>
      </c>
      <c r="Q8" s="1470"/>
      <c r="R8" s="1470">
        <f>ROUND(IF(项目基本情况!$B$8="出让",SUMPRODUCT(PRODUCT(1+K8:$K$18)),SUMPRODUCT(PRODUCT(1+K8:$K$17))),4)</f>
        <v>1.0783</v>
      </c>
      <c r="S8" s="1470">
        <f>ROUND(IF(项目基本情况!$B$8="出让",SUMPRODUCT(PRODUCT(1+L8:$L$18)),SUMPRODUCT(PRODUCT(1+L8:$L$17))),4)</f>
        <v>1.0447</v>
      </c>
      <c r="T8" s="1470">
        <f>ROUND(IF(项目基本情况!$B$8="出让",SUMPRODUCT(PRODUCT(1+M8:$M$18)),SUMPRODUCT(PRODUCT(1+M8:$M$17))),4)</f>
        <v>1.0282</v>
      </c>
      <c r="U8" s="1470">
        <f>ROUND(IF(项目基本情况!$B$8="出让",SUMPRODUCT(PRODUCT(1+N8:$N$18)),SUMPRODUCT(PRODUCT(1+N8:$N$17))),4)</f>
        <v>1.0841000000000001</v>
      </c>
      <c r="V8" s="1470">
        <f>ROUND(IF(项目基本情况!$B$8="出让",SUMPRODUCT(PRODUCT(1+O8:$O$18)),SUMPRODUCT(PRODUCT(1+O8:$O$17))),4)</f>
        <v>1.0674999999999999</v>
      </c>
      <c r="W8" s="1470">
        <f t="shared" ref="W8:W10" si="30">T8</f>
        <v>1.0282</v>
      </c>
      <c r="X8" s="1470"/>
      <c r="Y8" s="1472">
        <f t="shared" ref="Y8:AC8" si="31">IF(D8=0,0,ROUND(AVERAGE(D8:D19)/100,4))</f>
        <v>7.7999999999999996E-3</v>
      </c>
      <c r="Z8" s="1472">
        <f t="shared" si="31"/>
        <v>4.1000000000000003E-3</v>
      </c>
      <c r="AA8" s="1472">
        <f t="shared" si="31"/>
        <v>2.3E-3</v>
      </c>
      <c r="AB8" s="1472">
        <f t="shared" si="31"/>
        <v>8.3999999999999995E-3</v>
      </c>
      <c r="AC8" s="1472">
        <f t="shared" si="31"/>
        <v>6.3E-3</v>
      </c>
      <c r="AD8" s="1472">
        <f t="shared" ref="AD8:AD10" si="32">AA8</f>
        <v>2.3E-3</v>
      </c>
    </row>
    <row r="9" spans="1:30">
      <c r="A9" s="1448" t="s">
        <v>2010</v>
      </c>
      <c r="B9" s="1441">
        <v>2023</v>
      </c>
      <c r="C9" s="1442">
        <v>2</v>
      </c>
      <c r="D9" s="1442">
        <v>0.91</v>
      </c>
      <c r="E9" s="1442">
        <v>0.66</v>
      </c>
      <c r="F9" s="1442">
        <v>0.47</v>
      </c>
      <c r="G9" s="1442">
        <v>0.96</v>
      </c>
      <c r="H9" s="1443">
        <v>0.71</v>
      </c>
      <c r="I9" s="1465">
        <f t="shared" si="0"/>
        <v>0.47</v>
      </c>
      <c r="J9" s="1466"/>
      <c r="K9" s="1467">
        <f t="shared" si="24"/>
        <v>9.1000000000000004E-3</v>
      </c>
      <c r="L9" s="1468">
        <f t="shared" si="25"/>
        <v>6.6E-3</v>
      </c>
      <c r="M9" s="1468">
        <f t="shared" si="26"/>
        <v>4.7000000000000002E-3</v>
      </c>
      <c r="N9" s="1468">
        <f t="shared" si="27"/>
        <v>9.5999999999999992E-3</v>
      </c>
      <c r="O9" s="1468">
        <f t="shared" si="28"/>
        <v>7.1000000000000004E-3</v>
      </c>
      <c r="P9" s="1468">
        <f t="shared" si="29"/>
        <v>4.7000000000000002E-3</v>
      </c>
      <c r="Q9" s="1466"/>
      <c r="R9" s="1484">
        <f>ROUND(IF(项目基本情况!$B$8="出让",SUMPRODUCT(PRODUCT(1+K9:$K$18)),SUMPRODUCT(PRODUCT(1+K9:$K$17))),4)</f>
        <v>1.0755999999999999</v>
      </c>
      <c r="S9" s="1484">
        <f>ROUND(IF(项目基本情况!$B$8="出让",SUMPRODUCT(PRODUCT(1+L9:$L$18)),SUMPRODUCT(PRODUCT(1+L9:$L$17))),4)</f>
        <v>1.0395000000000001</v>
      </c>
      <c r="T9" s="1484">
        <f>ROUND(IF(项目基本情况!$B$8="出让",SUMPRODUCT(PRODUCT(1+M9:$M$18)),SUMPRODUCT(PRODUCT(1+M9:$M$17))),4)</f>
        <v>1.0250999999999999</v>
      </c>
      <c r="U9" s="1484">
        <f>ROUND(IF(项目基本情况!$B$8="出让",SUMPRODUCT(PRODUCT(1+N9:$N$18)),SUMPRODUCT(PRODUCT(1+N9:$N$17))),4)</f>
        <v>1.0818000000000001</v>
      </c>
      <c r="V9" s="1484">
        <f>ROUND(IF(项目基本情况!$B$8="出让",SUMPRODUCT(PRODUCT(1+O9:$O$18)),SUMPRODUCT(PRODUCT(1+O9:$O$17))),4)</f>
        <v>1.0629999999999999</v>
      </c>
      <c r="W9" s="1484">
        <f t="shared" si="30"/>
        <v>1.0250999999999999</v>
      </c>
      <c r="X9" s="1466"/>
      <c r="Y9" s="1493">
        <f t="shared" ref="Y9:AC9" si="33">IF(D9=0,0,ROUND(AVERAGE(D9:D20)/100,4))</f>
        <v>8.3000000000000001E-3</v>
      </c>
      <c r="Z9" s="1493">
        <f t="shared" si="33"/>
        <v>4.0000000000000001E-3</v>
      </c>
      <c r="AA9" s="1493">
        <f t="shared" si="33"/>
        <v>2.2000000000000001E-3</v>
      </c>
      <c r="AB9" s="1493">
        <f t="shared" si="33"/>
        <v>8.9999999999999993E-3</v>
      </c>
      <c r="AC9" s="1493">
        <f t="shared" si="33"/>
        <v>6.4999999999999997E-3</v>
      </c>
      <c r="AD9" s="1493">
        <f t="shared" si="32"/>
        <v>2.2000000000000001E-3</v>
      </c>
    </row>
    <row r="10" spans="1:30">
      <c r="A10" s="1448" t="s">
        <v>1910</v>
      </c>
      <c r="B10" s="1441">
        <v>2023</v>
      </c>
      <c r="C10" s="1442">
        <v>1</v>
      </c>
      <c r="D10" s="1442">
        <v>0.89</v>
      </c>
      <c r="E10" s="1442">
        <v>0.74</v>
      </c>
      <c r="F10" s="1442">
        <v>0.56999999999999995</v>
      </c>
      <c r="G10" s="1442">
        <v>0.92</v>
      </c>
      <c r="H10" s="1443">
        <v>0.5</v>
      </c>
      <c r="I10" s="1465">
        <f t="shared" si="0"/>
        <v>0.56999999999999995</v>
      </c>
      <c r="J10" s="1466"/>
      <c r="K10" s="1467">
        <f t="shared" si="24"/>
        <v>8.8999999999999999E-3</v>
      </c>
      <c r="L10" s="1468">
        <f t="shared" si="25"/>
        <v>7.4000000000000003E-3</v>
      </c>
      <c r="M10" s="1468">
        <f t="shared" si="26"/>
        <v>5.7000000000000002E-3</v>
      </c>
      <c r="N10" s="1468">
        <f t="shared" si="27"/>
        <v>9.1999999999999998E-3</v>
      </c>
      <c r="O10" s="1468">
        <f t="shared" si="28"/>
        <v>5.0000000000000001E-3</v>
      </c>
      <c r="P10" s="1468">
        <f t="shared" si="29"/>
        <v>5.7000000000000002E-3</v>
      </c>
      <c r="Q10" s="1466"/>
      <c r="R10" s="1484">
        <f>ROUND(IF(项目基本情况!$B$8="出让",SUMPRODUCT(PRODUCT(1+K10:$K$18)),SUMPRODUCT(PRODUCT(1+K10:$K$17))),4)</f>
        <v>1.0659000000000001</v>
      </c>
      <c r="S10" s="1484">
        <f>ROUND(IF(项目基本情况!$B$8="出让",SUMPRODUCT(PRODUCT(1+L10:$L$18)),SUMPRODUCT(PRODUCT(1+L10:$L$17))),4)</f>
        <v>1.0326</v>
      </c>
      <c r="T10" s="1484">
        <f>ROUND(IF(项目基本情况!$B$8="出让",SUMPRODUCT(PRODUCT(1+M10:$M$18)),SUMPRODUCT(PRODUCT(1+M10:$M$17))),4)</f>
        <v>1.0203</v>
      </c>
      <c r="U10" s="1484">
        <f>ROUND(IF(项目基本情况!$B$8="出让",SUMPRODUCT(PRODUCT(1+N10:$N$18)),SUMPRODUCT(PRODUCT(1+N10:$N$17))),4)</f>
        <v>1.0714999999999999</v>
      </c>
      <c r="V10" s="1484">
        <f>ROUND(IF(项目基本情况!$B$8="出让",SUMPRODUCT(PRODUCT(1+O10:$O$18)),SUMPRODUCT(PRODUCT(1+O10:$O$17))),4)</f>
        <v>1.0555000000000001</v>
      </c>
      <c r="W10" s="1484">
        <f t="shared" si="30"/>
        <v>1.0203</v>
      </c>
      <c r="X10" s="1466"/>
      <c r="Y10" s="1493">
        <f t="shared" ref="Y10:AC10" si="34">IF(D10=0,0,ROUND(AVERAGE(D10:D21)/100,4))</f>
        <v>8.2000000000000007E-3</v>
      </c>
      <c r="Z10" s="1493">
        <f t="shared" si="34"/>
        <v>3.8E-3</v>
      </c>
      <c r="AA10" s="1493">
        <f t="shared" si="34"/>
        <v>2E-3</v>
      </c>
      <c r="AB10" s="1493">
        <f t="shared" si="34"/>
        <v>8.8999999999999999E-3</v>
      </c>
      <c r="AC10" s="1493">
        <f t="shared" si="34"/>
        <v>6.4000000000000003E-3</v>
      </c>
      <c r="AD10" s="1493">
        <f t="shared" si="32"/>
        <v>2E-3</v>
      </c>
    </row>
    <row r="11" spans="1:30">
      <c r="A11" s="1448" t="s">
        <v>1911</v>
      </c>
      <c r="B11" s="1441">
        <v>2022</v>
      </c>
      <c r="C11" s="1442">
        <v>4</v>
      </c>
      <c r="D11" s="1442">
        <v>0.62</v>
      </c>
      <c r="E11" s="1442">
        <v>0.2</v>
      </c>
      <c r="F11" s="1442">
        <v>0.11</v>
      </c>
      <c r="G11" s="1442">
        <v>0.69</v>
      </c>
      <c r="H11" s="1443">
        <v>0.53</v>
      </c>
      <c r="I11" s="1465">
        <f t="shared" si="0"/>
        <v>0.11</v>
      </c>
      <c r="J11" s="1466"/>
      <c r="K11" s="1467">
        <f t="shared" si="1"/>
        <v>6.1999999999999998E-3</v>
      </c>
      <c r="L11" s="1468">
        <f t="shared" si="1"/>
        <v>2E-3</v>
      </c>
      <c r="M11" s="1468">
        <f t="shared" si="1"/>
        <v>1.1000000000000001E-3</v>
      </c>
      <c r="N11" s="1468">
        <f t="shared" si="1"/>
        <v>6.8999999999999999E-3</v>
      </c>
      <c r="O11" s="1468">
        <f t="shared" si="1"/>
        <v>5.3E-3</v>
      </c>
      <c r="P11" s="1468">
        <f t="shared" ref="P11:P18" si="35">M11</f>
        <v>1.1000000000000001E-3</v>
      </c>
      <c r="Q11" s="1466"/>
      <c r="R11" s="1484">
        <f>ROUND(IF(项目基本情况!B8="出让",SUMPRODUCT(PRODUCT(1+K11:K18)),SUMPRODUCT(PRODUCT(1+K11:K17))),4)</f>
        <v>1.0565</v>
      </c>
      <c r="S11" s="1484">
        <f>ROUND(IF(项目基本情况!B8="出让",SUMPRODUCT(PRODUCT(1+L11:L18)),SUMPRODUCT(PRODUCT(1+L11:L17))),4)</f>
        <v>1.0250999999999999</v>
      </c>
      <c r="T11" s="1484">
        <f>ROUND(IF(项目基本情况!B8="出让",SUMPRODUCT(PRODUCT(1+M11:M18)),SUMPRODUCT(PRODUCT(1+M11:M17))),4)</f>
        <v>1.0145</v>
      </c>
      <c r="U11" s="1484">
        <f>ROUND(IF(项目基本情况!B8="出让",SUMPRODUCT(PRODUCT(1+N11:N18)),SUMPRODUCT(PRODUCT(1+N11:N17))),4)</f>
        <v>1.0618000000000001</v>
      </c>
      <c r="V11" s="1484">
        <f>ROUND(IF(项目基本情况!B8="出让",SUMPRODUCT(PRODUCT(1+O11:O18)),SUMPRODUCT(PRODUCT(1+O11:O17))),4)</f>
        <v>1.0502</v>
      </c>
      <c r="W11" s="1484">
        <f t="shared" ref="W11:W18" si="36">T11</f>
        <v>1.0145</v>
      </c>
      <c r="X11" s="1466"/>
      <c r="Y11" s="1493">
        <f>IF(D11=0,0,ROUND(AVERAGE(D11:D19)/100,4))</f>
        <v>8.0999999999999996E-3</v>
      </c>
      <c r="Z11" s="1493">
        <f>IF(E11=0,0,ROUND(AVERAGE(E11:E18)/100,4))</f>
        <v>3.3E-3</v>
      </c>
      <c r="AA11" s="1493">
        <f>IF(F11=0,0,ROUND(AVERAGE(F11:F18)/100,4))</f>
        <v>1.5E-3</v>
      </c>
      <c r="AB11" s="1493">
        <f>IF(G11=0,0,ROUND(AVERAGE(G11:G18)/100,4))</f>
        <v>8.8999999999999999E-3</v>
      </c>
      <c r="AC11" s="1493">
        <f>IF(H11=0,0,ROUND(AVERAGE(H11:H18)/100,4))</f>
        <v>6.6E-3</v>
      </c>
      <c r="AD11" s="1493">
        <f t="shared" si="2"/>
        <v>1.5E-3</v>
      </c>
    </row>
    <row r="12" spans="1:30">
      <c r="A12" s="1448" t="s">
        <v>1912</v>
      </c>
      <c r="B12" s="1441">
        <v>2022</v>
      </c>
      <c r="C12" s="1442">
        <v>3</v>
      </c>
      <c r="D12" s="1442">
        <v>0.66</v>
      </c>
      <c r="E12" s="1442">
        <v>0.32</v>
      </c>
      <c r="F12" s="1442">
        <v>0.23</v>
      </c>
      <c r="G12" s="1442">
        <v>0.72</v>
      </c>
      <c r="H12" s="1443">
        <v>0.63</v>
      </c>
      <c r="I12" s="1465">
        <f t="shared" si="0"/>
        <v>0.23</v>
      </c>
      <c r="J12" s="1466"/>
      <c r="K12" s="1467">
        <f t="shared" si="1"/>
        <v>6.6E-3</v>
      </c>
      <c r="L12" s="1468">
        <f t="shared" si="1"/>
        <v>3.2000000000000002E-3</v>
      </c>
      <c r="M12" s="1468">
        <f t="shared" si="1"/>
        <v>2.3E-3</v>
      </c>
      <c r="N12" s="1468">
        <f t="shared" si="1"/>
        <v>7.1999999999999998E-3</v>
      </c>
      <c r="O12" s="1468">
        <f t="shared" si="1"/>
        <v>6.3E-3</v>
      </c>
      <c r="P12" s="1468">
        <f t="shared" si="35"/>
        <v>2.3E-3</v>
      </c>
      <c r="Q12" s="1466"/>
      <c r="R12" s="1484">
        <f>ROUND(IF(项目基本情况!B8="出让",SUMPRODUCT(PRODUCT(1+K12:K18)),SUMPRODUCT(PRODUCT(1+K12:K17))),4)</f>
        <v>1.05</v>
      </c>
      <c r="S12" s="1484">
        <f>ROUND(IF(项目基本情况!B8="出让",SUMPRODUCT(PRODUCT(1+L12:L18)),SUMPRODUCT(PRODUCT(1+L12:L17))),4)</f>
        <v>1.0229999999999999</v>
      </c>
      <c r="T12" s="1484">
        <f>ROUND(IF(项目基本情况!B8="出让",SUMPRODUCT(PRODUCT(1+M12:M18)),SUMPRODUCT(PRODUCT(1+M12:M17))),4)</f>
        <v>1.0134000000000001</v>
      </c>
      <c r="U12" s="1484">
        <f>ROUND(IF(项目基本情况!B8="出让",SUMPRODUCT(PRODUCT(1+N12:N18)),SUMPRODUCT(PRODUCT(1+N12:N17))),4)</f>
        <v>1.0545</v>
      </c>
      <c r="V12" s="1484">
        <f>ROUND(IF(项目基本情况!B8="出让",SUMPRODUCT(PRODUCT(1+O12:O18)),SUMPRODUCT(PRODUCT(1+O12:O17))),4)</f>
        <v>1.0447</v>
      </c>
      <c r="W12" s="1484">
        <f t="shared" si="36"/>
        <v>1.0134000000000001</v>
      </c>
      <c r="X12" s="1466"/>
      <c r="Y12" s="1493">
        <f>IF(D12=0,0,ROUND(AVERAGE(D12:D18)/100,4))</f>
        <v>8.3999999999999995E-3</v>
      </c>
      <c r="Z12" s="1493">
        <f>IF(E12=0,0,ROUND(AVERAGE(E12:E18)/100,4))</f>
        <v>3.5000000000000001E-3</v>
      </c>
      <c r="AA12" s="1493">
        <f>IF(F12=0,0,ROUND(AVERAGE(F12:F18)/100,4))</f>
        <v>1.5E-3</v>
      </c>
      <c r="AB12" s="1493">
        <f>IF(G12=0,0,ROUND(AVERAGE(G12:G18)/100,4))</f>
        <v>9.1999999999999998E-3</v>
      </c>
      <c r="AC12" s="1493">
        <f>IF(H12=0,0,ROUND(AVERAGE(H12:H18)/100,4))</f>
        <v>6.7999999999999996E-3</v>
      </c>
      <c r="AD12" s="1493">
        <f t="shared" si="2"/>
        <v>1.5E-3</v>
      </c>
    </row>
    <row r="13" spans="1:30">
      <c r="A13" s="1448" t="s">
        <v>1913</v>
      </c>
      <c r="B13" s="1441">
        <v>2022</v>
      </c>
      <c r="C13" s="1442">
        <v>2</v>
      </c>
      <c r="D13" s="1442">
        <v>0.93</v>
      </c>
      <c r="E13" s="1442">
        <v>0.15</v>
      </c>
      <c r="F13" s="1442">
        <v>0.01</v>
      </c>
      <c r="G13" s="1442">
        <v>1.05</v>
      </c>
      <c r="H13" s="1443">
        <v>1.08</v>
      </c>
      <c r="I13" s="1465">
        <f t="shared" si="0"/>
        <v>0.01</v>
      </c>
      <c r="J13" s="1466"/>
      <c r="K13" s="1467">
        <f t="shared" si="1"/>
        <v>9.2999999999999992E-3</v>
      </c>
      <c r="L13" s="1468">
        <f t="shared" si="1"/>
        <v>1.5E-3</v>
      </c>
      <c r="M13" s="1468">
        <f t="shared" si="1"/>
        <v>1E-4</v>
      </c>
      <c r="N13" s="1468">
        <f t="shared" si="1"/>
        <v>1.0500000000000001E-2</v>
      </c>
      <c r="O13" s="1468">
        <f t="shared" si="1"/>
        <v>1.0800000000000001E-2</v>
      </c>
      <c r="P13" s="1468">
        <f t="shared" si="35"/>
        <v>1E-4</v>
      </c>
      <c r="Q13" s="1466"/>
      <c r="R13" s="1484">
        <f>ROUND(IF(项目基本情况!B8="出让",SUMPRODUCT(PRODUCT(1+K13:K18)),SUMPRODUCT(PRODUCT(1+K13:K17))),4)</f>
        <v>1.0430999999999999</v>
      </c>
      <c r="S13" s="1484">
        <f>ROUND(IF(项目基本情况!B8="出让",SUMPRODUCT(PRODUCT(1+L13:L18)),SUMPRODUCT(PRODUCT(1+L13:L17))),4)</f>
        <v>1.0197000000000001</v>
      </c>
      <c r="T13" s="1484">
        <f>ROUND(IF(项目基本情况!B8="出让",SUMPRODUCT(PRODUCT(1+M13:M18)),SUMPRODUCT(PRODUCT(1+M13:M17))),4)</f>
        <v>1.0109999999999999</v>
      </c>
      <c r="U13" s="1484">
        <f>ROUND(IF(项目基本情况!B8="出让",SUMPRODUCT(PRODUCT(1+N13:N18)),SUMPRODUCT(PRODUCT(1+N13:N17))),4)</f>
        <v>1.0468999999999999</v>
      </c>
      <c r="V13" s="1484">
        <f>ROUND(IF(项目基本情况!B8="出让",SUMPRODUCT(PRODUCT(1+O13:O18)),SUMPRODUCT(PRODUCT(1+O13:O17))),4)</f>
        <v>1.0382</v>
      </c>
      <c r="W13" s="1484">
        <f t="shared" si="36"/>
        <v>1.0109999999999999</v>
      </c>
      <c r="X13" s="1466"/>
      <c r="Y13" s="1493">
        <f>IF(D13=0,0,ROUND(AVERAGE(D13:D18)/100,4))</f>
        <v>8.6999999999999994E-3</v>
      </c>
      <c r="Z13" s="1493">
        <f>IF(E13=0,0,ROUND(AVERAGE(E13:E18)/100,4))</f>
        <v>3.5000000000000001E-3</v>
      </c>
      <c r="AA13" s="1493">
        <f>IF(F13=0,0,ROUND(AVERAGE(F13:F18)/100,4))</f>
        <v>1.4E-3</v>
      </c>
      <c r="AB13" s="1493">
        <f>IF(G13=0,0,ROUND(AVERAGE(G13:G18)/100,4))</f>
        <v>9.4999999999999998E-3</v>
      </c>
      <c r="AC13" s="1493">
        <f>IF(H13=0,0,ROUND(AVERAGE(H13:H18)/100,4))</f>
        <v>6.8999999999999999E-3</v>
      </c>
      <c r="AD13" s="1493">
        <f t="shared" si="2"/>
        <v>1.4E-3</v>
      </c>
    </row>
    <row r="14" spans="1:30">
      <c r="A14" s="1448" t="s">
        <v>1914</v>
      </c>
      <c r="B14" s="1441">
        <v>2022</v>
      </c>
      <c r="C14" s="1442">
        <v>1</v>
      </c>
      <c r="D14" s="1442">
        <v>0.89</v>
      </c>
      <c r="E14" s="1442">
        <v>0.44</v>
      </c>
      <c r="F14" s="1442">
        <v>0.37</v>
      </c>
      <c r="G14" s="1442">
        <v>0.96</v>
      </c>
      <c r="H14" s="1443">
        <v>0.64</v>
      </c>
      <c r="I14" s="1465">
        <f t="shared" si="0"/>
        <v>0.37</v>
      </c>
      <c r="J14" s="1466"/>
      <c r="K14" s="1467">
        <f t="shared" si="1"/>
        <v>8.8999999999999999E-3</v>
      </c>
      <c r="L14" s="1468">
        <f t="shared" si="1"/>
        <v>4.4000000000000003E-3</v>
      </c>
      <c r="M14" s="1468">
        <f t="shared" si="1"/>
        <v>3.7000000000000002E-3</v>
      </c>
      <c r="N14" s="1468">
        <f t="shared" si="1"/>
        <v>9.5999999999999992E-3</v>
      </c>
      <c r="O14" s="1468">
        <f t="shared" si="1"/>
        <v>6.4000000000000003E-3</v>
      </c>
      <c r="P14" s="1468">
        <f t="shared" si="35"/>
        <v>3.7000000000000002E-3</v>
      </c>
      <c r="Q14" s="1466"/>
      <c r="R14" s="1484">
        <f>ROUND(IF(项目基本情况!B8="出让",SUMPRODUCT(PRODUCT(1+K14:K18)),SUMPRODUCT(PRODUCT(1+K14:K17))),4)</f>
        <v>1.0335000000000001</v>
      </c>
      <c r="S14" s="1484">
        <f>ROUND(IF(项目基本情况!B8="出让",SUMPRODUCT(PRODUCT(1+L14:L18)),SUMPRODUCT(PRODUCT(1+L14:L17))),4)</f>
        <v>1.0182</v>
      </c>
      <c r="T14" s="1484">
        <f>ROUND(IF(项目基本情况!B8="出让",SUMPRODUCT(PRODUCT(1+M14:M18)),SUMPRODUCT(PRODUCT(1+M14:M17))),4)</f>
        <v>1.0108999999999999</v>
      </c>
      <c r="U14" s="1484">
        <f>ROUND(IF(项目基本情况!B8="出让",SUMPRODUCT(PRODUCT(1+N14:N18)),SUMPRODUCT(PRODUCT(1+N14:N17))),4)</f>
        <v>1.0361</v>
      </c>
      <c r="V14" s="1484">
        <f>ROUND(IF(项目基本情况!B8="出让",SUMPRODUCT(PRODUCT(1+O14:O18)),SUMPRODUCT(PRODUCT(1+O14:O17))),4)</f>
        <v>1.0270999999999999</v>
      </c>
      <c r="W14" s="1484">
        <f t="shared" si="36"/>
        <v>1.0108999999999999</v>
      </c>
      <c r="X14" s="1466"/>
      <c r="Y14" s="1493">
        <f>IF(D14=0,0,ROUND(AVERAGE(D14:D18)/100,4))</f>
        <v>8.6E-3</v>
      </c>
      <c r="Z14" s="1493">
        <f>IF(E14=0,0,ROUND(AVERAGE(E14:E18)/100,4))</f>
        <v>3.8999999999999998E-3</v>
      </c>
      <c r="AA14" s="1493">
        <f>IF(F14=0,0,ROUND(AVERAGE(F14:F18)/100,4))</f>
        <v>1.6999999999999999E-3</v>
      </c>
      <c r="AB14" s="1493">
        <f>IF(G14=0,0,ROUND(AVERAGE(G14:G18)/100,4))</f>
        <v>9.2999999999999992E-3</v>
      </c>
      <c r="AC14" s="1493">
        <f>IF(H14=0,0,ROUND(AVERAGE(H14:H18)/100,4))</f>
        <v>6.1000000000000004E-3</v>
      </c>
      <c r="AD14" s="1493">
        <f t="shared" si="2"/>
        <v>1.6999999999999999E-3</v>
      </c>
    </row>
    <row r="15" spans="1:30">
      <c r="A15" s="1448" t="s">
        <v>1915</v>
      </c>
      <c r="B15" s="1441">
        <v>2021</v>
      </c>
      <c r="C15" s="1442">
        <v>4</v>
      </c>
      <c r="D15" s="1442">
        <v>1.03</v>
      </c>
      <c r="E15" s="1442">
        <v>0.24</v>
      </c>
      <c r="F15" s="1442">
        <v>7.0000000000000007E-2</v>
      </c>
      <c r="G15" s="1442">
        <v>1.17</v>
      </c>
      <c r="H15" s="1443">
        <v>0.55000000000000004</v>
      </c>
      <c r="I15" s="1465">
        <f t="shared" si="0"/>
        <v>7.0000000000000007E-2</v>
      </c>
      <c r="J15" s="1466"/>
      <c r="K15" s="1467">
        <f t="shared" si="1"/>
        <v>1.03E-2</v>
      </c>
      <c r="L15" s="1468">
        <f t="shared" si="1"/>
        <v>2.3999999999999998E-3</v>
      </c>
      <c r="M15" s="1468">
        <f t="shared" si="1"/>
        <v>6.9999999999999999E-4</v>
      </c>
      <c r="N15" s="1468">
        <f t="shared" si="1"/>
        <v>1.17E-2</v>
      </c>
      <c r="O15" s="1468">
        <f t="shared" si="1"/>
        <v>5.4999999999999997E-3</v>
      </c>
      <c r="P15" s="1468">
        <f t="shared" si="35"/>
        <v>6.9999999999999999E-4</v>
      </c>
      <c r="Q15" s="1466"/>
      <c r="R15" s="1484">
        <f>ROUND(IF(项目基本情况!B8="出让",SUMPRODUCT(PRODUCT(1+K15:K18)),SUMPRODUCT(PRODUCT(1+K15:K17))),4)</f>
        <v>1.0244</v>
      </c>
      <c r="S15" s="1484">
        <f>ROUND(IF(项目基本情况!B8="出让",SUMPRODUCT(PRODUCT(1+L15:L18)),SUMPRODUCT(PRODUCT(1+L15:L17))),4)</f>
        <v>1.0138</v>
      </c>
      <c r="T15" s="1484">
        <f>ROUND(IF(项目基本情况!B8="出让",SUMPRODUCT(PRODUCT(1+M15:M18)),SUMPRODUCT(PRODUCT(1+M15:M17))),4)</f>
        <v>1.0072000000000001</v>
      </c>
      <c r="U15" s="1484">
        <f>ROUND(IF(项目基本情况!B8="出让",SUMPRODUCT(PRODUCT(1+N15:N18)),SUMPRODUCT(PRODUCT(1+N15:N17))),4)</f>
        <v>1.0262</v>
      </c>
      <c r="V15" s="1484">
        <f>ROUND(IF(项目基本情况!B8="出让",SUMPRODUCT(PRODUCT(1+O15:O18)),SUMPRODUCT(PRODUCT(1+O15:O17))),4)</f>
        <v>1.0205</v>
      </c>
      <c r="W15" s="1484">
        <f t="shared" si="36"/>
        <v>1.0072000000000001</v>
      </c>
      <c r="X15" s="1466"/>
      <c r="Y15" s="1493">
        <f>IF(D15=0,0,ROUND(AVERAGE(D15:D18)/100,4))</f>
        <v>8.5000000000000006E-3</v>
      </c>
      <c r="Z15" s="1493">
        <f>IF(E15=0,0,ROUND(AVERAGE(E15:E18)/100,4))</f>
        <v>3.8E-3</v>
      </c>
      <c r="AA15" s="1493">
        <f>IF(F15=0,0,ROUND(AVERAGE(F15:F18)/100,4))</f>
        <v>1.1999999999999999E-3</v>
      </c>
      <c r="AB15" s="1493">
        <f>IF(G15=0,0,ROUND(AVERAGE(G15:G18)/100,4))</f>
        <v>9.2999999999999992E-3</v>
      </c>
      <c r="AC15" s="1493">
        <f>IF(H15=0,0,ROUND(AVERAGE(H15:H18)/100,4))</f>
        <v>6.0000000000000001E-3</v>
      </c>
      <c r="AD15" s="1493">
        <f t="shared" si="2"/>
        <v>1.1999999999999999E-3</v>
      </c>
    </row>
    <row r="16" spans="1:30">
      <c r="A16" s="1448" t="s">
        <v>1916</v>
      </c>
      <c r="B16" s="1441">
        <v>2021</v>
      </c>
      <c r="C16" s="1442">
        <v>3</v>
      </c>
      <c r="D16" s="1442">
        <v>0.47</v>
      </c>
      <c r="E16" s="1442">
        <v>0.41</v>
      </c>
      <c r="F16" s="1442">
        <v>0.24</v>
      </c>
      <c r="G16" s="1442">
        <v>0.48</v>
      </c>
      <c r="H16" s="1443">
        <v>0.48</v>
      </c>
      <c r="I16" s="1465">
        <f t="shared" si="0"/>
        <v>0.24</v>
      </c>
      <c r="J16" s="1466"/>
      <c r="K16" s="1467">
        <f t="shared" si="1"/>
        <v>4.7000000000000002E-3</v>
      </c>
      <c r="L16" s="1468">
        <f t="shared" si="1"/>
        <v>4.1000000000000003E-3</v>
      </c>
      <c r="M16" s="1468">
        <f t="shared" si="1"/>
        <v>2.3999999999999998E-3</v>
      </c>
      <c r="N16" s="1468">
        <f t="shared" si="1"/>
        <v>4.7999999999999996E-3</v>
      </c>
      <c r="O16" s="1468">
        <f t="shared" si="1"/>
        <v>4.7999999999999996E-3</v>
      </c>
      <c r="P16" s="1468">
        <f t="shared" si="35"/>
        <v>2.3999999999999998E-3</v>
      </c>
      <c r="Q16" s="1466"/>
      <c r="R16" s="1484">
        <f>ROUND(IF(项目基本情况!B8="出让",SUMPRODUCT(PRODUCT(1+K16:K18)),SUMPRODUCT(PRODUCT(1+K16:K17))),4)</f>
        <v>1.0139</v>
      </c>
      <c r="S16" s="1484">
        <f>ROUND(IF(项目基本情况!B8="出让",SUMPRODUCT(PRODUCT(1+L16:L18)),SUMPRODUCT(PRODUCT(1+L16:L17))),4)</f>
        <v>1.0113000000000001</v>
      </c>
      <c r="T16" s="1484">
        <f>ROUND(IF(项目基本情况!B8="出让",SUMPRODUCT(PRODUCT(1+M16:M18)),SUMPRODUCT(PRODUCT(1+M16:M17))),4)</f>
        <v>1.0065</v>
      </c>
      <c r="U16" s="1484">
        <f>ROUND(IF(项目基本情况!B8="出让",SUMPRODUCT(PRODUCT(1+N16:N18)),SUMPRODUCT(PRODUCT(1+N16:N17))),4)</f>
        <v>1.0143</v>
      </c>
      <c r="V16" s="1484">
        <f>ROUND(IF(项目基本情况!B8="出让",SUMPRODUCT(PRODUCT(1+O16:O18)),SUMPRODUCT(PRODUCT(1+O16:O17))),4)</f>
        <v>1.0148999999999999</v>
      </c>
      <c r="W16" s="1484">
        <f t="shared" si="36"/>
        <v>1.0065</v>
      </c>
      <c r="X16" s="1466"/>
      <c r="Y16" s="1493">
        <f>IF(D16=0,0,ROUND(AVERAGE(D16:D18)/100,4))</f>
        <v>7.9000000000000008E-3</v>
      </c>
      <c r="Z16" s="1493">
        <f>IF(E16=0,0,ROUND(AVERAGE(E16:E18)/100,4))</f>
        <v>4.3E-3</v>
      </c>
      <c r="AA16" s="1493">
        <f>IF(F16=0,0,ROUND(AVERAGE(F16:F18)/100,4))</f>
        <v>1.2999999999999999E-3</v>
      </c>
      <c r="AB16" s="1493">
        <f>IF(G16=0,0,ROUND(AVERAGE(G16:G18)/100,4))</f>
        <v>8.5000000000000006E-3</v>
      </c>
      <c r="AC16" s="1493">
        <f>IF(H16=0,0,ROUND(AVERAGE(H16:H18)/100,4))</f>
        <v>6.1999999999999998E-3</v>
      </c>
      <c r="AD16" s="1493">
        <f t="shared" si="2"/>
        <v>1.2999999999999999E-3</v>
      </c>
    </row>
    <row r="17" spans="1:30">
      <c r="A17" s="1448" t="s">
        <v>1917</v>
      </c>
      <c r="B17" s="1441">
        <v>2021</v>
      </c>
      <c r="C17" s="1442">
        <v>2</v>
      </c>
      <c r="D17" s="1442">
        <v>0.92</v>
      </c>
      <c r="E17" s="1442">
        <v>0.72</v>
      </c>
      <c r="F17" s="1442">
        <v>0.41</v>
      </c>
      <c r="G17" s="1442">
        <v>0.95</v>
      </c>
      <c r="H17" s="1443">
        <v>1.01</v>
      </c>
      <c r="I17" s="1465">
        <f t="shared" si="0"/>
        <v>0.41</v>
      </c>
      <c r="J17" s="1466"/>
      <c r="K17" s="1467">
        <f t="shared" si="1"/>
        <v>9.1999999999999998E-3</v>
      </c>
      <c r="L17" s="1468">
        <f t="shared" si="1"/>
        <v>7.1999999999999998E-3</v>
      </c>
      <c r="M17" s="1468">
        <f t="shared" si="1"/>
        <v>4.1000000000000003E-3</v>
      </c>
      <c r="N17" s="1468">
        <f t="shared" si="1"/>
        <v>9.4999999999999998E-3</v>
      </c>
      <c r="O17" s="1468">
        <f t="shared" si="1"/>
        <v>1.01E-2</v>
      </c>
      <c r="P17" s="1468">
        <f t="shared" si="35"/>
        <v>4.1000000000000003E-3</v>
      </c>
      <c r="Q17" s="1466"/>
      <c r="R17" s="1484">
        <f>ROUND(IF(项目基本情况!B8="出让",SUMPRODUCT(PRODUCT(1+K17:K18)),SUMPRODUCT(PRODUCT(1+K17:K17))),4)</f>
        <v>1.0092000000000001</v>
      </c>
      <c r="S17" s="1484">
        <f>ROUND(IF(项目基本情况!B8="出让",SUMPRODUCT(PRODUCT(1+L17:L18)),SUMPRODUCT(PRODUCT(1+L17:L17))),4)</f>
        <v>1.0072000000000001</v>
      </c>
      <c r="T17" s="1484">
        <f>ROUND(IF(项目基本情况!B8="出让",SUMPRODUCT(PRODUCT(1+M17:M18)),SUMPRODUCT(PRODUCT(1+M17:M17))),4)</f>
        <v>1.0041</v>
      </c>
      <c r="U17" s="1484">
        <f>ROUND(IF(项目基本情况!B8="出让",SUMPRODUCT(PRODUCT(1+N17:N18)),SUMPRODUCT(PRODUCT(1+N17:N17))),4)</f>
        <v>1.0095000000000001</v>
      </c>
      <c r="V17" s="1484">
        <f>ROUND(IF(项目基本情况!B8="出让",SUMPRODUCT(PRODUCT(1+O17:O18)),SUMPRODUCT(PRODUCT(1+O17:O17))),4)</f>
        <v>1.0101</v>
      </c>
      <c r="W17" s="1484">
        <f t="shared" si="36"/>
        <v>1.0041</v>
      </c>
      <c r="X17" s="1466"/>
      <c r="Y17" s="1493">
        <f>IF(D17=0,0,ROUND(AVERAGE(D17:D18)/100,4))</f>
        <v>9.4999999999999998E-3</v>
      </c>
      <c r="Z17" s="1493">
        <f>IF(E17=0,0,ROUND(AVERAGE(E17:E18)/100,4))</f>
        <v>4.4000000000000003E-3</v>
      </c>
      <c r="AA17" s="1493">
        <f>IF(F17=0,0,ROUND(AVERAGE(F17:F18)/100,4))</f>
        <v>8.0000000000000004E-4</v>
      </c>
      <c r="AB17" s="1493">
        <f>IF(G17=0,0,ROUND(AVERAGE(G17:G18)/100,4))</f>
        <v>1.03E-2</v>
      </c>
      <c r="AC17" s="1493">
        <f>IF(H17=0,0,ROUND(AVERAGE(H17:H18)/100,4))</f>
        <v>6.8999999999999999E-3</v>
      </c>
      <c r="AD17" s="1493">
        <f t="shared" si="2"/>
        <v>8.0000000000000004E-4</v>
      </c>
    </row>
    <row r="18" spans="1:30">
      <c r="A18" s="1449" t="s">
        <v>1918</v>
      </c>
      <c r="B18" s="1450">
        <v>2021</v>
      </c>
      <c r="C18" s="1451">
        <v>1</v>
      </c>
      <c r="D18" s="1451">
        <v>0.97</v>
      </c>
      <c r="E18" s="1451">
        <v>0.16</v>
      </c>
      <c r="F18" s="1451">
        <v>-0.25</v>
      </c>
      <c r="G18" s="1451">
        <v>1.1100000000000001</v>
      </c>
      <c r="H18" s="1452">
        <v>0.36</v>
      </c>
      <c r="I18" s="1473">
        <f t="shared" si="0"/>
        <v>-0.25</v>
      </c>
      <c r="J18" s="1474"/>
      <c r="K18" s="1475">
        <f t="shared" si="1"/>
        <v>9.7000000000000003E-3</v>
      </c>
      <c r="L18" s="1476">
        <f t="shared" si="1"/>
        <v>1.6000000000000001E-3</v>
      </c>
      <c r="M18" s="1476">
        <f>F18/100</f>
        <v>-2.5000000000000001E-3</v>
      </c>
      <c r="N18" s="1476">
        <f t="shared" si="1"/>
        <v>1.11E-2</v>
      </c>
      <c r="O18" s="1476">
        <f t="shared" si="1"/>
        <v>3.5999999999999999E-3</v>
      </c>
      <c r="P18" s="1476">
        <f t="shared" si="35"/>
        <v>-2.5000000000000001E-3</v>
      </c>
      <c r="Q18" s="1474"/>
      <c r="R18" s="1485">
        <v>1</v>
      </c>
      <c r="S18" s="1485">
        <v>1</v>
      </c>
      <c r="T18" s="1485">
        <v>1</v>
      </c>
      <c r="U18" s="1485">
        <v>1</v>
      </c>
      <c r="V18" s="1485">
        <v>1</v>
      </c>
      <c r="W18" s="1485">
        <f t="shared" si="36"/>
        <v>1</v>
      </c>
      <c r="X18" s="1474"/>
      <c r="Y18" s="1476">
        <f>IF(D18=0,0,ROUND(AVERAGE(D18:D18)/100,4))</f>
        <v>9.7000000000000003E-3</v>
      </c>
      <c r="Z18" s="1476">
        <f>IF(E18=0,0,ROUND(AVERAGE(E18:E18)/100,4))</f>
        <v>1.6000000000000001E-3</v>
      </c>
      <c r="AA18" s="1476">
        <f>IF(F18=0,0,ROUND(AVERAGE(F18:F18)/100,4))</f>
        <v>-2.5000000000000001E-3</v>
      </c>
      <c r="AB18" s="1476">
        <f>IF(G18=0,0,ROUND(AVERAGE(G18:G18)/100,4))</f>
        <v>1.11E-2</v>
      </c>
      <c r="AC18" s="1476">
        <f>IF(H18=0,0,ROUND(AVERAGE(H18:H18)/100,4))</f>
        <v>3.5999999999999999E-3</v>
      </c>
      <c r="AD18" s="1476">
        <f t="shared" si="2"/>
        <v>-2.5000000000000001E-3</v>
      </c>
    </row>
    <row r="19" spans="1:30">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row>
    <row r="20" spans="1:30">
      <c r="A20" s="1454" t="s">
        <v>2011</v>
      </c>
      <c r="B20" s="1453"/>
      <c r="C20" s="1453"/>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row>
    <row r="21" spans="1:30">
      <c r="A21" s="1453"/>
      <c r="B21" s="1453"/>
      <c r="C21" s="1453"/>
      <c r="D21" s="1453"/>
      <c r="E21" s="1453"/>
      <c r="F21" s="1453"/>
      <c r="G21" s="1453"/>
      <c r="H21" s="1453"/>
      <c r="I21" s="1477" t="s">
        <v>2012</v>
      </c>
      <c r="J21" s="1453"/>
      <c r="K21" s="1453"/>
      <c r="L21" s="1453"/>
      <c r="M21" s="1453"/>
      <c r="N21" s="1453"/>
      <c r="O21" s="1453"/>
      <c r="P21" s="1453"/>
      <c r="Q21" s="1453"/>
      <c r="R21" s="1453"/>
      <c r="S21" s="1453"/>
      <c r="T21" s="1453"/>
      <c r="U21" s="1453"/>
      <c r="V21" s="1453"/>
      <c r="W21" s="1453"/>
      <c r="X21" s="1453"/>
      <c r="Y21" s="1453"/>
      <c r="Z21" s="1453"/>
      <c r="AA21" s="1453"/>
      <c r="AB21" s="1453"/>
      <c r="AC21" s="1453"/>
      <c r="AD21" s="1453"/>
    </row>
    <row r="22" spans="1:30">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row>
    <row r="23" spans="1:30">
      <c r="A23" s="1455"/>
      <c r="B23" s="1427" t="s">
        <v>2013</v>
      </c>
      <c r="C23" s="1428"/>
      <c r="D23" s="1428"/>
      <c r="E23" s="1428"/>
      <c r="F23" s="1428"/>
      <c r="G23" s="1428"/>
      <c r="H23" s="1428"/>
      <c r="I23" s="1428"/>
      <c r="J23" s="1458"/>
      <c r="K23" s="1428" t="s">
        <v>1903</v>
      </c>
      <c r="L23" s="1428"/>
      <c r="M23" s="1428"/>
      <c r="N23" s="1428"/>
      <c r="O23" s="1428"/>
      <c r="P23" s="1428"/>
      <c r="Q23" s="1458"/>
      <c r="R23" s="3943" t="s">
        <v>1905</v>
      </c>
      <c r="S23" s="3944"/>
      <c r="T23" s="3944"/>
      <c r="U23" s="3944"/>
      <c r="V23" s="3944"/>
      <c r="W23" s="3944"/>
      <c r="X23" s="1458"/>
      <c r="Y23" s="3943" t="s">
        <v>1906</v>
      </c>
      <c r="Z23" s="3944"/>
      <c r="AA23" s="3944"/>
      <c r="AB23" s="3944"/>
      <c r="AC23" s="3944"/>
      <c r="AD23" s="3944"/>
    </row>
    <row r="24" spans="1:30">
      <c r="A24" s="1429"/>
      <c r="B24" s="1430"/>
      <c r="C24" s="1431"/>
      <c r="D24" s="1432" t="s">
        <v>2005</v>
      </c>
      <c r="E24" s="1433" t="s">
        <v>435</v>
      </c>
      <c r="F24" s="1433" t="s">
        <v>436</v>
      </c>
      <c r="G24" s="1433" t="s">
        <v>402</v>
      </c>
      <c r="H24" s="1433"/>
      <c r="I24" s="1433" t="s">
        <v>297</v>
      </c>
      <c r="J24" s="1459"/>
      <c r="K24" s="1432" t="s">
        <v>2005</v>
      </c>
      <c r="L24" s="1433" t="s">
        <v>435</v>
      </c>
      <c r="M24" s="1433" t="s">
        <v>436</v>
      </c>
      <c r="N24" s="1433" t="s">
        <v>402</v>
      </c>
      <c r="O24" s="1433"/>
      <c r="P24" s="1433" t="s">
        <v>297</v>
      </c>
      <c r="Q24" s="1459"/>
      <c r="R24" s="1432" t="s">
        <v>2005</v>
      </c>
      <c r="S24" s="1433" t="s">
        <v>435</v>
      </c>
      <c r="T24" s="1433" t="s">
        <v>436</v>
      </c>
      <c r="U24" s="1433" t="s">
        <v>402</v>
      </c>
      <c r="V24" s="1433"/>
      <c r="W24" s="1433" t="s">
        <v>297</v>
      </c>
      <c r="X24" s="1459"/>
      <c r="Y24" s="1432" t="s">
        <v>2005</v>
      </c>
      <c r="Z24" s="1433" t="s">
        <v>435</v>
      </c>
      <c r="AA24" s="1433" t="s">
        <v>436</v>
      </c>
      <c r="AB24" s="1433" t="s">
        <v>402</v>
      </c>
      <c r="AC24" s="1433"/>
      <c r="AD24" s="1433" t="s">
        <v>297</v>
      </c>
    </row>
    <row r="25" spans="1:30">
      <c r="A25" s="1434" t="s">
        <v>1909</v>
      </c>
      <c r="B25" s="1435"/>
      <c r="C25" s="1436"/>
      <c r="D25" s="1436"/>
      <c r="E25" s="1436">
        <f>ROUND(AVERAGEIF(E26:E40,"&lt;&gt;0"),2)</f>
        <v>0.42</v>
      </c>
      <c r="F25" s="1436">
        <f>ROUND(AVERAGEIF(F26:F40,"&lt;&gt;0"),2)</f>
        <v>0.3</v>
      </c>
      <c r="G25" s="1436">
        <f>ROUND(AVERAGEIF(G26:G40,"&lt;&gt;0"),2)</f>
        <v>0.73</v>
      </c>
      <c r="H25" s="1436"/>
      <c r="I25" s="1436">
        <f>F25</f>
        <v>0.3</v>
      </c>
      <c r="J25" s="1460"/>
      <c r="K25" s="1461"/>
      <c r="L25" s="1462">
        <f>ROUND(AVERAGEIF(L26:L40,"&lt;&gt;0"),4)</f>
        <v>4.1999999999999997E-3</v>
      </c>
      <c r="M25" s="1462">
        <f>ROUND(AVERAGEIF(M26:M40,"&lt;&gt;0"),4)</f>
        <v>3.0000000000000001E-3</v>
      </c>
      <c r="N25" s="1462">
        <f>ROUND(AVERAGEIF(N26:N40,"&lt;&gt;0"),4)</f>
        <v>7.3000000000000001E-3</v>
      </c>
      <c r="O25" s="1462"/>
      <c r="P25" s="1462">
        <f>M25</f>
        <v>3.0000000000000001E-3</v>
      </c>
      <c r="Q25" s="1460"/>
      <c r="R25" s="1478"/>
      <c r="S25" s="1479">
        <f>ROUND(SUMPRODUCT(PRODUCT(1+L26:L40)),4)</f>
        <v>1.0468</v>
      </c>
      <c r="T25" s="1479">
        <f>ROUND(SUMPRODUCT(PRODUCT(1+M26:M40)),4)</f>
        <v>1.0337000000000001</v>
      </c>
      <c r="U25" s="1479">
        <f>ROUND(SUMPRODUCT(PRODUCT(1+N26:N40)),4)</f>
        <v>1.0828</v>
      </c>
      <c r="V25" s="1479"/>
      <c r="W25" s="1478">
        <f>T25</f>
        <v>1.0337000000000001</v>
      </c>
      <c r="X25" s="1460"/>
      <c r="Y25" s="1486"/>
      <c r="Z25" s="1487">
        <f>ROUND(AVERAGEIF(Z26:Z40,"&lt;&gt;0"),4)</f>
        <v>4.3E-3</v>
      </c>
      <c r="AA25" s="1488">
        <f>ROUND(AVERAGEIF(AA26:AA40,"&lt;&gt;0"),4)</f>
        <v>3.3999999999999998E-3</v>
      </c>
      <c r="AB25" s="1486">
        <f>ROUND(AVERAGEIF(AB26:AB40,"&lt;&gt;0"),4)</f>
        <v>8.5000000000000006E-3</v>
      </c>
      <c r="AC25" s="1489"/>
      <c r="AD25" s="1486">
        <f>AA25</f>
        <v>3.3999999999999998E-3</v>
      </c>
    </row>
    <row r="26" spans="1:30">
      <c r="A26" s="1437"/>
      <c r="B26" s="1456"/>
      <c r="C26" s="1457"/>
      <c r="D26" s="1457"/>
      <c r="E26" s="1457"/>
      <c r="F26" s="1457"/>
      <c r="G26" s="1457"/>
      <c r="H26" s="1457"/>
      <c r="I26" s="1457"/>
      <c r="J26" s="1458"/>
      <c r="K26" s="1463"/>
      <c r="L26" s="1464"/>
      <c r="M26" s="1464"/>
      <c r="N26" s="1464"/>
      <c r="O26" s="1464"/>
      <c r="P26" s="1464"/>
      <c r="Q26" s="1458"/>
      <c r="R26" s="1480"/>
      <c r="S26" s="1481"/>
      <c r="T26" s="1482"/>
      <c r="U26" s="1480"/>
      <c r="V26" s="1483"/>
      <c r="W26" s="1480"/>
      <c r="X26" s="1458"/>
      <c r="Y26" s="1468"/>
      <c r="Z26" s="1490"/>
      <c r="AA26" s="1491"/>
      <c r="AB26" s="1468"/>
      <c r="AC26" s="1492"/>
      <c r="AD26" s="1468"/>
    </row>
    <row r="27" spans="1:30">
      <c r="A27" s="1440" t="s">
        <v>2006</v>
      </c>
      <c r="B27" s="1441">
        <v>2023</v>
      </c>
      <c r="C27" s="1442">
        <v>4</v>
      </c>
      <c r="D27" s="1442"/>
      <c r="E27" s="1442">
        <v>0</v>
      </c>
      <c r="F27" s="1442">
        <v>0</v>
      </c>
      <c r="G27" s="1442">
        <v>0</v>
      </c>
      <c r="H27" s="1442"/>
      <c r="I27" s="1465">
        <f t="shared" ref="I27:I40" si="37">F27</f>
        <v>0</v>
      </c>
      <c r="J27" s="1466"/>
      <c r="K27" s="1467"/>
      <c r="L27" s="1468">
        <f t="shared" ref="L27:N40" si="38">E27/100</f>
        <v>0</v>
      </c>
      <c r="M27" s="1468">
        <f t="shared" si="38"/>
        <v>0</v>
      </c>
      <c r="N27" s="1468">
        <f t="shared" si="38"/>
        <v>0</v>
      </c>
      <c r="O27" s="1468"/>
      <c r="P27" s="1468">
        <f>M27</f>
        <v>0</v>
      </c>
      <c r="Q27" s="1466"/>
      <c r="R27" s="1484"/>
      <c r="S27" s="1484">
        <f>ROUND(IF(项目基本情况!$B$8="出让",SUMPRODUCT(PRODUCT(1+L27:L$40)),SUMPRODUCT(PRODUCT(1+L27:L$39))),4)</f>
        <v>1.0431999999999999</v>
      </c>
      <c r="T27" s="1484">
        <f>ROUND(IF(项目基本情况!$B$8="出让",SUMPRODUCT(PRODUCT(1+M27:M$40)),SUMPRODUCT(PRODUCT(1+M27:M$39))),4)</f>
        <v>1.0286999999999999</v>
      </c>
      <c r="U27" s="1484">
        <f>ROUND(IF(项目基本情况!$B$8="出让",SUMPRODUCT(PRODUCT(1+N27:N$40)),SUMPRODUCT(PRODUCT(1+N27:N$39))),4)</f>
        <v>1.0723</v>
      </c>
      <c r="V27" s="1484"/>
      <c r="W27" s="1484">
        <f>T27</f>
        <v>1.0286999999999999</v>
      </c>
      <c r="X27" s="1466"/>
      <c r="Y27" s="1493"/>
      <c r="Z27" s="1494">
        <f>IF(E27=0,0,ROUND(AVERAGE(E27:E40)/100,4))</f>
        <v>0</v>
      </c>
      <c r="AA27" s="1494">
        <f>IF(F27=0,0,ROUND(AVERAGE(F27:F40)/100,4))</f>
        <v>0</v>
      </c>
      <c r="AB27" s="1494">
        <f>IF(G27=0,0,ROUND(AVERAGE(G27:G40)/100,4))</f>
        <v>0</v>
      </c>
      <c r="AC27" s="1495"/>
      <c r="AD27" s="1493">
        <f>IF(I27=0,0,ROUND(AVERAGE(I27:I40)/100,4))</f>
        <v>0</v>
      </c>
    </row>
    <row r="28" spans="1:30">
      <c r="A28" s="1440" t="s">
        <v>2007</v>
      </c>
      <c r="B28" s="1441">
        <v>2023</v>
      </c>
      <c r="C28" s="1442">
        <v>3</v>
      </c>
      <c r="D28" s="1442"/>
      <c r="E28" s="1442">
        <v>0</v>
      </c>
      <c r="F28" s="1442">
        <v>0</v>
      </c>
      <c r="G28" s="1442">
        <v>0</v>
      </c>
      <c r="H28" s="1443"/>
      <c r="I28" s="1465">
        <f t="shared" si="37"/>
        <v>0</v>
      </c>
      <c r="J28" s="1466"/>
      <c r="K28" s="1467"/>
      <c r="L28" s="1468">
        <f t="shared" ref="L28" si="39">E28/100</f>
        <v>0</v>
      </c>
      <c r="M28" s="1468">
        <f t="shared" ref="M28" si="40">F28/100</f>
        <v>0</v>
      </c>
      <c r="N28" s="1468">
        <f t="shared" ref="N28" si="41">G28/100</f>
        <v>0</v>
      </c>
      <c r="O28" s="1468"/>
      <c r="P28" s="1468">
        <f t="shared" ref="P28" si="42">M28</f>
        <v>0</v>
      </c>
      <c r="Q28" s="1466"/>
      <c r="R28" s="1484"/>
      <c r="S28" s="1484">
        <f>ROUND(IF(项目基本情况!$B$8="出让",SUMPRODUCT(PRODUCT(1+L28:L$40)),SUMPRODUCT(PRODUCT(1+L28:L$39))),4)</f>
        <v>1.0431999999999999</v>
      </c>
      <c r="T28" s="1484">
        <f>ROUND(IF(项目基本情况!$B$8="出让",SUMPRODUCT(PRODUCT(1+M28:M$40)),SUMPRODUCT(PRODUCT(1+M28:M$39))),4)</f>
        <v>1.0286999999999999</v>
      </c>
      <c r="U28" s="1484">
        <f>ROUND(IF(项目基本情况!$B$8="出让",SUMPRODUCT(PRODUCT(1+N28:N$40)),SUMPRODUCT(PRODUCT(1+N28:N$39))),4)</f>
        <v>1.0723</v>
      </c>
      <c r="V28" s="1484"/>
      <c r="W28" s="1484">
        <f t="shared" ref="W28" si="43">T28</f>
        <v>1.0286999999999999</v>
      </c>
      <c r="X28" s="1466"/>
      <c r="Y28" s="1493"/>
      <c r="Z28" s="1494">
        <f t="shared" ref="Z28" si="44">IF(E28=0,0,ROUND(AVERAGE(E28:E39)/100,4))</f>
        <v>0</v>
      </c>
      <c r="AA28" s="1496">
        <f t="shared" ref="AA28" si="45">IF(F28=0,0,ROUND(AVERAGE(F28:F39)/100,4))</f>
        <v>0</v>
      </c>
      <c r="AB28" s="1493">
        <f t="shared" ref="AB28" si="46">IF(G28=0,0,ROUND(AVERAGE(G28:G39)/100,4))</f>
        <v>0</v>
      </c>
      <c r="AC28" s="1495"/>
      <c r="AD28" s="1493">
        <f t="shared" ref="AD28" si="47">IF(I28=0,0,ROUND(AVERAGE(I28:I39)/100,4))</f>
        <v>0</v>
      </c>
    </row>
    <row r="29" spans="1:30">
      <c r="A29" s="1440" t="s">
        <v>2008</v>
      </c>
      <c r="B29" s="1441">
        <v>2023</v>
      </c>
      <c r="C29" s="1442">
        <v>3</v>
      </c>
      <c r="D29" s="1442"/>
      <c r="E29" s="1442">
        <v>0</v>
      </c>
      <c r="F29" s="1442">
        <v>0</v>
      </c>
      <c r="G29" s="1442">
        <v>0</v>
      </c>
      <c r="H29" s="1443"/>
      <c r="I29" s="1465">
        <f t="shared" ref="I29" si="48">F29</f>
        <v>0</v>
      </c>
      <c r="J29" s="1466"/>
      <c r="K29" s="1467"/>
      <c r="L29" s="1468">
        <f t="shared" si="38"/>
        <v>0</v>
      </c>
      <c r="M29" s="1468">
        <f t="shared" si="38"/>
        <v>0</v>
      </c>
      <c r="N29" s="1468">
        <f t="shared" si="38"/>
        <v>0</v>
      </c>
      <c r="O29" s="1468"/>
      <c r="P29" s="1468">
        <f t="shared" ref="P29" si="49">M29</f>
        <v>0</v>
      </c>
      <c r="Q29" s="1466"/>
      <c r="R29" s="1484"/>
      <c r="S29" s="1484">
        <f>ROUND(IF(项目基本情况!$B$8="出让",SUMPRODUCT(PRODUCT(1+L29:L$40)),SUMPRODUCT(PRODUCT(1+L29:L$39))),4)</f>
        <v>1.0431999999999999</v>
      </c>
      <c r="T29" s="1484">
        <f>ROUND(IF(项目基本情况!$B$8="出让",SUMPRODUCT(PRODUCT(1+M29:M$40)),SUMPRODUCT(PRODUCT(1+M29:M$39))),4)</f>
        <v>1.0286999999999999</v>
      </c>
      <c r="U29" s="1484">
        <f>ROUND(IF(项目基本情况!$B$8="出让",SUMPRODUCT(PRODUCT(1+N29:N$40)),SUMPRODUCT(PRODUCT(1+N29:N$39))),4)</f>
        <v>1.0723</v>
      </c>
      <c r="V29" s="1484"/>
      <c r="W29" s="1484">
        <f t="shared" ref="W29" si="50">T29</f>
        <v>1.0286999999999999</v>
      </c>
      <c r="X29" s="1466"/>
      <c r="Y29" s="1493"/>
      <c r="Z29" s="1494">
        <f t="shared" ref="Z29" si="51">IF(E29=0,0,ROUND(AVERAGE(E29:E40)/100,4))</f>
        <v>0</v>
      </c>
      <c r="AA29" s="1496">
        <f t="shared" ref="AA29" si="52">IF(F29=0,0,ROUND(AVERAGE(F29:F40)/100,4))</f>
        <v>0</v>
      </c>
      <c r="AB29" s="1493">
        <f t="shared" ref="AB29" si="53">IF(G29=0,0,ROUND(AVERAGE(G29:G40)/100,4))</f>
        <v>0</v>
      </c>
      <c r="AC29" s="1495"/>
      <c r="AD29" s="1493">
        <f t="shared" ref="AD29" si="54">IF(I29=0,0,ROUND(AVERAGE(I29:I40)/100,4))</f>
        <v>0</v>
      </c>
    </row>
    <row r="30" spans="1:30">
      <c r="A30" s="1444" t="s">
        <v>2009</v>
      </c>
      <c r="B30" s="1445">
        <v>2023</v>
      </c>
      <c r="C30" s="1446">
        <v>3</v>
      </c>
      <c r="D30" s="1446"/>
      <c r="E30" s="1446">
        <v>0.35</v>
      </c>
      <c r="F30" s="1446">
        <v>0.17</v>
      </c>
      <c r="G30" s="1446">
        <v>0.52</v>
      </c>
      <c r="H30" s="1447"/>
      <c r="I30" s="1469">
        <f t="shared" si="37"/>
        <v>0.17</v>
      </c>
      <c r="J30" s="1470"/>
      <c r="K30" s="1471"/>
      <c r="L30" s="1472">
        <f t="shared" ref="L30:L32" si="55">E30/100</f>
        <v>3.5000000000000001E-3</v>
      </c>
      <c r="M30" s="1472">
        <f t="shared" ref="M30:M32" si="56">F30/100</f>
        <v>1.6999999999999999E-3</v>
      </c>
      <c r="N30" s="1472">
        <f t="shared" ref="N30:N32" si="57">G30/100</f>
        <v>5.1999999999999998E-3</v>
      </c>
      <c r="O30" s="1472"/>
      <c r="P30" s="1472">
        <f t="shared" ref="P30:P32" si="58">M30</f>
        <v>1.6999999999999999E-3</v>
      </c>
      <c r="Q30" s="1470"/>
      <c r="R30" s="1470"/>
      <c r="S30" s="1470">
        <f>ROUND(IF(项目基本情况!$B$8="出让",SUMPRODUCT(PRODUCT(1+L30:L$40)),SUMPRODUCT(PRODUCT(1+L30:L$39))),4)</f>
        <v>1.0431999999999999</v>
      </c>
      <c r="T30" s="1470">
        <f>ROUND(IF(项目基本情况!$B$8="出让",SUMPRODUCT(PRODUCT(1+M30:M$40)),SUMPRODUCT(PRODUCT(1+M30:M$39))),4)</f>
        <v>1.0286999999999999</v>
      </c>
      <c r="U30" s="1470">
        <f>ROUND(IF(项目基本情况!$B$8="出让",SUMPRODUCT(PRODUCT(1+N30:N$40)),SUMPRODUCT(PRODUCT(1+N30:N$39))),4)</f>
        <v>1.0723</v>
      </c>
      <c r="V30" s="1470"/>
      <c r="W30" s="1470">
        <f t="shared" ref="W30:W32" si="59">T30</f>
        <v>1.0286999999999999</v>
      </c>
      <c r="X30" s="1470"/>
      <c r="Y30" s="1472"/>
      <c r="Z30" s="1497">
        <f t="shared" ref="Z30:AB30" si="60">IF(E30=0,0,ROUND(AVERAGE(E30:E41)/100,4))</f>
        <v>4.1999999999999997E-3</v>
      </c>
      <c r="AA30" s="1498">
        <f t="shared" si="60"/>
        <v>3.0000000000000001E-3</v>
      </c>
      <c r="AB30" s="1472">
        <f t="shared" si="60"/>
        <v>7.3000000000000001E-3</v>
      </c>
      <c r="AC30" s="1499"/>
      <c r="AD30" s="1472">
        <f t="shared" ref="AD30:AD32" si="61">IF(I30=0,0,ROUND(AVERAGE(I30:I41)/100,4))</f>
        <v>3.0000000000000001E-3</v>
      </c>
    </row>
    <row r="31" spans="1:30">
      <c r="A31" s="1448" t="s">
        <v>2010</v>
      </c>
      <c r="B31" s="1441">
        <v>2023</v>
      </c>
      <c r="C31" s="1442">
        <v>2</v>
      </c>
      <c r="D31" s="1442"/>
      <c r="E31" s="1442">
        <v>0.5</v>
      </c>
      <c r="F31" s="1442">
        <v>0.45</v>
      </c>
      <c r="G31" s="1442">
        <v>0.89</v>
      </c>
      <c r="H31" s="1443"/>
      <c r="I31" s="1465">
        <f t="shared" si="37"/>
        <v>0.45</v>
      </c>
      <c r="J31" s="1466"/>
      <c r="K31" s="1467"/>
      <c r="L31" s="1468">
        <f t="shared" si="55"/>
        <v>5.0000000000000001E-3</v>
      </c>
      <c r="M31" s="1468">
        <f t="shared" si="56"/>
        <v>4.4999999999999997E-3</v>
      </c>
      <c r="N31" s="1468">
        <f t="shared" si="57"/>
        <v>8.8999999999999999E-3</v>
      </c>
      <c r="O31" s="1468"/>
      <c r="P31" s="1468">
        <f t="shared" si="58"/>
        <v>4.4999999999999997E-3</v>
      </c>
      <c r="Q31" s="1466"/>
      <c r="R31" s="1484"/>
      <c r="S31" s="1484">
        <f>ROUND(IF(项目基本情况!$B$8="出让",SUMPRODUCT(PRODUCT(1+L31:L$40)),SUMPRODUCT(PRODUCT(1+L31:L$39))),4)</f>
        <v>1.0396000000000001</v>
      </c>
      <c r="T31" s="1484">
        <f>ROUND(IF(项目基本情况!$B$8="出让",SUMPRODUCT(PRODUCT(1+M31:M$40)),SUMPRODUCT(PRODUCT(1+M31:M$39))),4)</f>
        <v>1.0269999999999999</v>
      </c>
      <c r="U31" s="1484">
        <f>ROUND(IF(项目基本情况!$B$8="出让",SUMPRODUCT(PRODUCT(1+N31:N$40)),SUMPRODUCT(PRODUCT(1+N31:N$39))),4)</f>
        <v>1.0668</v>
      </c>
      <c r="V31" s="1484"/>
      <c r="W31" s="1484">
        <f t="shared" si="59"/>
        <v>1.0269999999999999</v>
      </c>
      <c r="X31" s="1466"/>
      <c r="Y31" s="1493"/>
      <c r="Z31" s="1494">
        <f t="shared" ref="Z31:AB31" si="62">IF(E31=0,0,ROUND(AVERAGE(E31:E42)/100,4))</f>
        <v>4.1999999999999997E-3</v>
      </c>
      <c r="AA31" s="1496">
        <f t="shared" si="62"/>
        <v>3.2000000000000002E-3</v>
      </c>
      <c r="AB31" s="1493">
        <f t="shared" si="62"/>
        <v>7.4999999999999997E-3</v>
      </c>
      <c r="AC31" s="1495"/>
      <c r="AD31" s="1493">
        <f t="shared" si="61"/>
        <v>3.2000000000000002E-3</v>
      </c>
    </row>
    <row r="32" spans="1:30">
      <c r="A32" s="1448" t="s">
        <v>1910</v>
      </c>
      <c r="B32" s="1441">
        <v>2023</v>
      </c>
      <c r="C32" s="1442">
        <v>1</v>
      </c>
      <c r="D32" s="1442"/>
      <c r="E32" s="1442">
        <v>0.55000000000000004</v>
      </c>
      <c r="F32" s="1442">
        <v>0.59</v>
      </c>
      <c r="G32" s="1442">
        <v>0.64</v>
      </c>
      <c r="H32" s="1443"/>
      <c r="I32" s="1465">
        <f t="shared" si="37"/>
        <v>0.59</v>
      </c>
      <c r="J32" s="1466"/>
      <c r="K32" s="1467"/>
      <c r="L32" s="1468">
        <f t="shared" si="55"/>
        <v>5.4999999999999997E-3</v>
      </c>
      <c r="M32" s="1468">
        <f t="shared" si="56"/>
        <v>5.8999999999999999E-3</v>
      </c>
      <c r="N32" s="1468">
        <f t="shared" si="57"/>
        <v>6.4000000000000003E-3</v>
      </c>
      <c r="O32" s="1468"/>
      <c r="P32" s="1468">
        <f t="shared" si="58"/>
        <v>5.8999999999999999E-3</v>
      </c>
      <c r="Q32" s="1466"/>
      <c r="R32" s="1484"/>
      <c r="S32" s="1484">
        <f>ROUND(IF(项目基本情况!$B$8="出让",SUMPRODUCT(PRODUCT(1+L32:L$40)),SUMPRODUCT(PRODUCT(1+L32:L$39))),4)</f>
        <v>1.0344</v>
      </c>
      <c r="T32" s="1484">
        <f>ROUND(IF(项目基本情况!$B$8="出让",SUMPRODUCT(PRODUCT(1+M32:M$40)),SUMPRODUCT(PRODUCT(1+M32:M$39))),4)</f>
        <v>1.0224</v>
      </c>
      <c r="U32" s="1484">
        <f>ROUND(IF(项目基本情况!$B$8="出让",SUMPRODUCT(PRODUCT(1+N32:N$40)),SUMPRODUCT(PRODUCT(1+N32:N$39))),4)</f>
        <v>1.0573999999999999</v>
      </c>
      <c r="V32" s="1484"/>
      <c r="W32" s="1484">
        <f t="shared" si="59"/>
        <v>1.0224</v>
      </c>
      <c r="X32" s="1466"/>
      <c r="Y32" s="1493"/>
      <c r="Z32" s="1494">
        <f t="shared" ref="Z32:AB32" si="63">IF(E32=0,0,ROUND(AVERAGE(E32:E43)/100,4))</f>
        <v>4.1999999999999997E-3</v>
      </c>
      <c r="AA32" s="1496">
        <f t="shared" si="63"/>
        <v>3.0000000000000001E-3</v>
      </c>
      <c r="AB32" s="1493">
        <f t="shared" si="63"/>
        <v>7.3000000000000001E-3</v>
      </c>
      <c r="AC32" s="1495"/>
      <c r="AD32" s="1493">
        <f t="shared" si="61"/>
        <v>3.0000000000000001E-3</v>
      </c>
    </row>
    <row r="33" spans="1:30">
      <c r="A33" s="1448" t="s">
        <v>1911</v>
      </c>
      <c r="B33" s="1441">
        <v>2022</v>
      </c>
      <c r="C33" s="1442">
        <v>4</v>
      </c>
      <c r="D33" s="1442"/>
      <c r="E33" s="1442">
        <v>0.45</v>
      </c>
      <c r="F33" s="1442">
        <v>0.2</v>
      </c>
      <c r="G33" s="1442">
        <v>0.38</v>
      </c>
      <c r="H33" s="1443"/>
      <c r="I33" s="1465">
        <f t="shared" si="37"/>
        <v>0.2</v>
      </c>
      <c r="J33" s="1466"/>
      <c r="K33" s="1467"/>
      <c r="L33" s="1468">
        <f t="shared" si="38"/>
        <v>4.4999999999999997E-3</v>
      </c>
      <c r="M33" s="1468">
        <f t="shared" si="38"/>
        <v>2E-3</v>
      </c>
      <c r="N33" s="1468">
        <f t="shared" si="38"/>
        <v>3.8E-3</v>
      </c>
      <c r="O33" s="1468"/>
      <c r="P33" s="1468">
        <f t="shared" ref="P33:P40" si="64">M33</f>
        <v>2E-3</v>
      </c>
      <c r="Q33" s="1466"/>
      <c r="R33" s="1484"/>
      <c r="S33" s="1484">
        <f>ROUND(IF(项目基本情况!$B$8="出让",SUMPRODUCT(PRODUCT(1+L33:L$40)),SUMPRODUCT(PRODUCT(1+L33:L$39))),4)</f>
        <v>1.0286999999999999</v>
      </c>
      <c r="T33" s="1484">
        <f>ROUND(IF(项目基本情况!$B$8="出让",SUMPRODUCT(PRODUCT(1+M33:M$40)),SUMPRODUCT(PRODUCT(1+M33:M$39))),4)</f>
        <v>1.0164</v>
      </c>
      <c r="U33" s="1484">
        <f>ROUND(IF(项目基本情况!$B$8="出让",SUMPRODUCT(PRODUCT(1+N33:N$40)),SUMPRODUCT(PRODUCT(1+N33:N$39))),4)</f>
        <v>1.0506</v>
      </c>
      <c r="V33" s="1484"/>
      <c r="W33" s="1484">
        <f t="shared" ref="W33:W40" si="65">T33</f>
        <v>1.0164</v>
      </c>
      <c r="X33" s="1466"/>
      <c r="Y33" s="1493"/>
      <c r="Z33" s="1494">
        <f t="shared" ref="Z33:AD40" si="66">IF(E33=0,0,ROUND(AVERAGE(E33:E41)/100,4))</f>
        <v>4.0000000000000001E-3</v>
      </c>
      <c r="AA33" s="1496">
        <f t="shared" si="66"/>
        <v>2.5999999999999999E-3</v>
      </c>
      <c r="AB33" s="1493">
        <f t="shared" si="66"/>
        <v>7.4000000000000003E-3</v>
      </c>
      <c r="AC33" s="1495"/>
      <c r="AD33" s="1493">
        <f t="shared" si="66"/>
        <v>2.5999999999999999E-3</v>
      </c>
    </row>
    <row r="34" spans="1:30">
      <c r="A34" s="1448" t="s">
        <v>1912</v>
      </c>
      <c r="B34" s="1441">
        <v>2022</v>
      </c>
      <c r="C34" s="1442">
        <v>3</v>
      </c>
      <c r="D34" s="1442"/>
      <c r="E34" s="1442">
        <v>0.3</v>
      </c>
      <c r="F34" s="1442">
        <v>0.28999999999999998</v>
      </c>
      <c r="G34" s="1442">
        <v>0.83</v>
      </c>
      <c r="H34" s="1443"/>
      <c r="I34" s="1465">
        <f t="shared" si="37"/>
        <v>0.28999999999999998</v>
      </c>
      <c r="J34" s="1466"/>
      <c r="K34" s="1467"/>
      <c r="L34" s="1468">
        <f t="shared" si="38"/>
        <v>3.0000000000000001E-3</v>
      </c>
      <c r="M34" s="1468">
        <f t="shared" si="38"/>
        <v>2.8999999999999998E-3</v>
      </c>
      <c r="N34" s="1468">
        <f t="shared" si="38"/>
        <v>8.3000000000000001E-3</v>
      </c>
      <c r="O34" s="1468"/>
      <c r="P34" s="1468">
        <f t="shared" si="64"/>
        <v>2.8999999999999998E-3</v>
      </c>
      <c r="Q34" s="1466"/>
      <c r="R34" s="1484"/>
      <c r="S34" s="1484">
        <f>ROUND(IF(项目基本情况!$B$8="出让",SUMPRODUCT(PRODUCT(1+L34:L$40)),SUMPRODUCT(PRODUCT(1+L34:L$39))),4)</f>
        <v>1.0241</v>
      </c>
      <c r="T34" s="1484">
        <f>ROUND(IF(项目基本情况!$B$8="出让",SUMPRODUCT(PRODUCT(1+M34:M$40)),SUMPRODUCT(PRODUCT(1+M34:M$39))),4)</f>
        <v>1.0144</v>
      </c>
      <c r="U34" s="1484">
        <f>ROUND(IF(项目基本情况!$B$8="出让",SUMPRODUCT(PRODUCT(1+N34:N$40)),SUMPRODUCT(PRODUCT(1+N34:N$39))),4)</f>
        <v>1.0467</v>
      </c>
      <c r="V34" s="1484"/>
      <c r="W34" s="1484">
        <f t="shared" si="65"/>
        <v>1.0144</v>
      </c>
      <c r="X34" s="1466"/>
      <c r="Y34" s="1493"/>
      <c r="Z34" s="1494">
        <f t="shared" si="66"/>
        <v>3.8999999999999998E-3</v>
      </c>
      <c r="AA34" s="1496">
        <f t="shared" si="66"/>
        <v>2.7000000000000001E-3</v>
      </c>
      <c r="AB34" s="1493">
        <f t="shared" si="66"/>
        <v>7.9000000000000008E-3</v>
      </c>
      <c r="AC34" s="1495"/>
      <c r="AD34" s="1493">
        <f t="shared" si="66"/>
        <v>2.7000000000000001E-3</v>
      </c>
    </row>
    <row r="35" spans="1:30">
      <c r="A35" s="1448" t="s">
        <v>1913</v>
      </c>
      <c r="B35" s="1441">
        <v>2022</v>
      </c>
      <c r="C35" s="1442">
        <v>2</v>
      </c>
      <c r="D35" s="1442"/>
      <c r="E35" s="1442">
        <v>-0.11</v>
      </c>
      <c r="F35" s="1442">
        <v>-0.13</v>
      </c>
      <c r="G35" s="1442">
        <v>0.53</v>
      </c>
      <c r="H35" s="1443"/>
      <c r="I35" s="1465">
        <f t="shared" si="37"/>
        <v>-0.13</v>
      </c>
      <c r="J35" s="1466"/>
      <c r="K35" s="1467"/>
      <c r="L35" s="1468">
        <f t="shared" si="38"/>
        <v>-1.1000000000000001E-3</v>
      </c>
      <c r="M35" s="1468">
        <f t="shared" si="38"/>
        <v>-1.2999999999999999E-3</v>
      </c>
      <c r="N35" s="1468">
        <f t="shared" si="38"/>
        <v>5.3E-3</v>
      </c>
      <c r="O35" s="1468"/>
      <c r="P35" s="1468">
        <f t="shared" si="64"/>
        <v>-1.2999999999999999E-3</v>
      </c>
      <c r="Q35" s="1466"/>
      <c r="R35" s="1484"/>
      <c r="S35" s="1484">
        <f>ROUND(IF(项目基本情况!$B$8="出让",SUMPRODUCT(PRODUCT(1+L35:L$40)),SUMPRODUCT(PRODUCT(1+L35:L$39))),4)</f>
        <v>1.0210999999999999</v>
      </c>
      <c r="T35" s="1484">
        <f>ROUND(IF(项目基本情况!$B$8="出让",SUMPRODUCT(PRODUCT(1+M35:M$40)),SUMPRODUCT(PRODUCT(1+M35:M$39))),4)</f>
        <v>1.0114000000000001</v>
      </c>
      <c r="U35" s="1484">
        <f>ROUND(IF(项目基本情况!$B$8="出让",SUMPRODUCT(PRODUCT(1+N35:N$40)),SUMPRODUCT(PRODUCT(1+N35:N$39))),4)</f>
        <v>1.0381</v>
      </c>
      <c r="V35" s="1484"/>
      <c r="W35" s="1484">
        <f t="shared" si="65"/>
        <v>1.0114000000000001</v>
      </c>
      <c r="X35" s="1466"/>
      <c r="Y35" s="1493"/>
      <c r="Z35" s="1494">
        <f t="shared" si="66"/>
        <v>4.1000000000000003E-3</v>
      </c>
      <c r="AA35" s="1496">
        <f t="shared" si="66"/>
        <v>2.7000000000000001E-3</v>
      </c>
      <c r="AB35" s="1493">
        <f t="shared" si="66"/>
        <v>7.9000000000000008E-3</v>
      </c>
      <c r="AC35" s="1495"/>
      <c r="AD35" s="1493">
        <f t="shared" si="66"/>
        <v>2.7000000000000001E-3</v>
      </c>
    </row>
    <row r="36" spans="1:30">
      <c r="A36" s="1448" t="s">
        <v>1914</v>
      </c>
      <c r="B36" s="1441">
        <v>2022</v>
      </c>
      <c r="C36" s="1442">
        <v>1</v>
      </c>
      <c r="D36" s="1442"/>
      <c r="E36" s="1442">
        <v>0.6</v>
      </c>
      <c r="F36" s="1442">
        <v>0.45</v>
      </c>
      <c r="G36" s="1442">
        <v>0.53</v>
      </c>
      <c r="H36" s="1443"/>
      <c r="I36" s="1465">
        <f t="shared" si="37"/>
        <v>0.45</v>
      </c>
      <c r="J36" s="1466"/>
      <c r="K36" s="1467"/>
      <c r="L36" s="1468">
        <f t="shared" si="38"/>
        <v>6.0000000000000001E-3</v>
      </c>
      <c r="M36" s="1468">
        <f t="shared" si="38"/>
        <v>4.4999999999999997E-3</v>
      </c>
      <c r="N36" s="1468">
        <f t="shared" si="38"/>
        <v>5.3E-3</v>
      </c>
      <c r="O36" s="1468"/>
      <c r="P36" s="1468">
        <f t="shared" si="64"/>
        <v>4.4999999999999997E-3</v>
      </c>
      <c r="Q36" s="1466"/>
      <c r="R36" s="1484"/>
      <c r="S36" s="1484">
        <f>ROUND(IF(项目基本情况!$B$8="出让",SUMPRODUCT(PRODUCT(1+L36:L$40)),SUMPRODUCT(PRODUCT(1+L36:L$39))),4)</f>
        <v>1.0222</v>
      </c>
      <c r="T36" s="1484">
        <f>ROUND(IF(项目基本情况!$B$8="出让",SUMPRODUCT(PRODUCT(1+M36:M$40)),SUMPRODUCT(PRODUCT(1+M36:M$39))),4)</f>
        <v>1.0127999999999999</v>
      </c>
      <c r="U36" s="1484">
        <f>ROUND(IF(项目基本情况!$B$8="出让",SUMPRODUCT(PRODUCT(1+N36:N$40)),SUMPRODUCT(PRODUCT(1+N36:N$39))),4)</f>
        <v>1.0326</v>
      </c>
      <c r="V36" s="1484"/>
      <c r="W36" s="1484">
        <f t="shared" si="65"/>
        <v>1.0127999999999999</v>
      </c>
      <c r="X36" s="1466"/>
      <c r="Y36" s="1493"/>
      <c r="Z36" s="1494">
        <f t="shared" si="66"/>
        <v>5.1000000000000004E-3</v>
      </c>
      <c r="AA36" s="1496">
        <f t="shared" si="66"/>
        <v>3.5000000000000001E-3</v>
      </c>
      <c r="AB36" s="1493">
        <f t="shared" si="66"/>
        <v>8.3999999999999995E-3</v>
      </c>
      <c r="AC36" s="1495"/>
      <c r="AD36" s="1493">
        <f t="shared" si="66"/>
        <v>3.5000000000000001E-3</v>
      </c>
    </row>
    <row r="37" spans="1:30">
      <c r="A37" s="1448" t="s">
        <v>1915</v>
      </c>
      <c r="B37" s="1441">
        <v>2021</v>
      </c>
      <c r="C37" s="1442">
        <v>4</v>
      </c>
      <c r="D37" s="1442"/>
      <c r="E37" s="1442">
        <v>0.57999999999999996</v>
      </c>
      <c r="F37" s="1442">
        <v>0.08</v>
      </c>
      <c r="G37" s="1442">
        <v>0.68</v>
      </c>
      <c r="H37" s="1443"/>
      <c r="I37" s="1465">
        <f t="shared" si="37"/>
        <v>0.08</v>
      </c>
      <c r="J37" s="1466"/>
      <c r="K37" s="1467"/>
      <c r="L37" s="1468">
        <f t="shared" si="38"/>
        <v>5.7999999999999996E-3</v>
      </c>
      <c r="M37" s="1468">
        <f t="shared" si="38"/>
        <v>8.0000000000000004E-4</v>
      </c>
      <c r="N37" s="1468">
        <f t="shared" si="38"/>
        <v>6.7999999999999996E-3</v>
      </c>
      <c r="O37" s="1468"/>
      <c r="P37" s="1468">
        <f t="shared" si="64"/>
        <v>8.0000000000000004E-4</v>
      </c>
      <c r="Q37" s="1466"/>
      <c r="R37" s="1484"/>
      <c r="S37" s="1484">
        <f>ROUND(IF(项目基本情况!$B$8="出让",SUMPRODUCT(PRODUCT(1+L37:L$40)),SUMPRODUCT(PRODUCT(1+L37:L$39))),4)</f>
        <v>1.0161</v>
      </c>
      <c r="T37" s="1484">
        <f>ROUND(IF(项目基本情况!$B$8="出让",SUMPRODUCT(PRODUCT(1+M37:M$40)),SUMPRODUCT(PRODUCT(1+M37:M$39))),4)</f>
        <v>1.0082</v>
      </c>
      <c r="U37" s="1484">
        <f>ROUND(IF(项目基本情况!$B$8="出让",SUMPRODUCT(PRODUCT(1+N37:N$40)),SUMPRODUCT(PRODUCT(1+N37:N$39))),4)</f>
        <v>1.0270999999999999</v>
      </c>
      <c r="V37" s="1484"/>
      <c r="W37" s="1484">
        <f t="shared" si="65"/>
        <v>1.0082</v>
      </c>
      <c r="X37" s="1466"/>
      <c r="Y37" s="1493"/>
      <c r="Z37" s="1494">
        <f t="shared" si="66"/>
        <v>4.8999999999999998E-3</v>
      </c>
      <c r="AA37" s="1496">
        <f t="shared" si="66"/>
        <v>3.3E-3</v>
      </c>
      <c r="AB37" s="1493">
        <f t="shared" si="66"/>
        <v>9.1999999999999998E-3</v>
      </c>
      <c r="AC37" s="1495"/>
      <c r="AD37" s="1493">
        <f t="shared" si="66"/>
        <v>3.3E-3</v>
      </c>
    </row>
    <row r="38" spans="1:30">
      <c r="A38" s="1448" t="s">
        <v>1916</v>
      </c>
      <c r="B38" s="1441">
        <v>2021</v>
      </c>
      <c r="C38" s="1442">
        <v>3</v>
      </c>
      <c r="D38" s="1442"/>
      <c r="E38" s="1442">
        <v>0.47</v>
      </c>
      <c r="F38" s="1442">
        <v>0.28000000000000003</v>
      </c>
      <c r="G38" s="1442">
        <v>0.91</v>
      </c>
      <c r="H38" s="1443"/>
      <c r="I38" s="1465">
        <f t="shared" si="37"/>
        <v>0.28000000000000003</v>
      </c>
      <c r="J38" s="1466"/>
      <c r="K38" s="1467"/>
      <c r="L38" s="1468">
        <f t="shared" si="38"/>
        <v>4.7000000000000002E-3</v>
      </c>
      <c r="M38" s="1468">
        <f t="shared" si="38"/>
        <v>2.8E-3</v>
      </c>
      <c r="N38" s="1468">
        <f t="shared" si="38"/>
        <v>9.1000000000000004E-3</v>
      </c>
      <c r="O38" s="1468"/>
      <c r="P38" s="1468">
        <f t="shared" si="64"/>
        <v>2.8E-3</v>
      </c>
      <c r="Q38" s="1466"/>
      <c r="R38" s="1484"/>
      <c r="S38" s="1484">
        <f>ROUND(IF(项目基本情况!$B$8="出让",SUMPRODUCT(PRODUCT(1+L38:L$40)),SUMPRODUCT(PRODUCT(1+L38:L$39))),4)</f>
        <v>1.0102</v>
      </c>
      <c r="T38" s="1484">
        <f>ROUND(IF(项目基本情况!$B$8="出让",SUMPRODUCT(PRODUCT(1+M38:M$40)),SUMPRODUCT(PRODUCT(1+M38:M$39))),4)</f>
        <v>1.0074000000000001</v>
      </c>
      <c r="U38" s="1484">
        <f>ROUND(IF(项目基本情况!$B$8="出让",SUMPRODUCT(PRODUCT(1+N38:N$40)),SUMPRODUCT(PRODUCT(1+N38:N$39))),4)</f>
        <v>1.0202</v>
      </c>
      <c r="V38" s="1484"/>
      <c r="W38" s="1484">
        <f t="shared" si="65"/>
        <v>1.0074000000000001</v>
      </c>
      <c r="X38" s="1466"/>
      <c r="Y38" s="1493"/>
      <c r="Z38" s="1494">
        <f t="shared" si="66"/>
        <v>4.5999999999999999E-3</v>
      </c>
      <c r="AA38" s="1496">
        <f t="shared" si="66"/>
        <v>4.1000000000000003E-3</v>
      </c>
      <c r="AB38" s="1493">
        <f t="shared" si="66"/>
        <v>0.01</v>
      </c>
      <c r="AC38" s="1495"/>
      <c r="AD38" s="1493">
        <f t="shared" si="66"/>
        <v>4.1000000000000003E-3</v>
      </c>
    </row>
    <row r="39" spans="1:30">
      <c r="A39" s="1448" t="s">
        <v>1917</v>
      </c>
      <c r="B39" s="1441">
        <v>2021</v>
      </c>
      <c r="C39" s="1442">
        <v>2</v>
      </c>
      <c r="D39" s="1442"/>
      <c r="E39" s="1442">
        <v>0.55000000000000004</v>
      </c>
      <c r="F39" s="1442">
        <v>0.46</v>
      </c>
      <c r="G39" s="1442">
        <v>1.1000000000000001</v>
      </c>
      <c r="H39" s="1443"/>
      <c r="I39" s="1465">
        <f t="shared" si="37"/>
        <v>0.46</v>
      </c>
      <c r="J39" s="1466"/>
      <c r="K39" s="1467"/>
      <c r="L39" s="1468">
        <f t="shared" si="38"/>
        <v>5.4999999999999997E-3</v>
      </c>
      <c r="M39" s="1468">
        <f t="shared" si="38"/>
        <v>4.5999999999999999E-3</v>
      </c>
      <c r="N39" s="1468">
        <f t="shared" si="38"/>
        <v>1.0999999999999999E-2</v>
      </c>
      <c r="O39" s="1468"/>
      <c r="P39" s="1468">
        <f t="shared" si="64"/>
        <v>4.5999999999999999E-3</v>
      </c>
      <c r="Q39" s="1466"/>
      <c r="R39" s="1484"/>
      <c r="S39" s="1484">
        <f>ROUND(IF(项目基本情况!$B$8="出让",SUMPRODUCT(PRODUCT(1+L39:L$40)),SUMPRODUCT(PRODUCT(1+L39:L$39))),4)</f>
        <v>1.0055000000000001</v>
      </c>
      <c r="T39" s="1484">
        <f>ROUND(IF(项目基本情况!$B$8="出让",SUMPRODUCT(PRODUCT(1+M39:M$40)),SUMPRODUCT(PRODUCT(1+M39:M$39))),4)</f>
        <v>1.0045999999999999</v>
      </c>
      <c r="U39" s="1484">
        <f>ROUND(IF(项目基本情况!$B$8="出让",SUMPRODUCT(PRODUCT(1+N39:N$40)),SUMPRODUCT(PRODUCT(1+N39:N$39))),4)</f>
        <v>1.0109999999999999</v>
      </c>
      <c r="V39" s="1484"/>
      <c r="W39" s="1484">
        <f t="shared" si="65"/>
        <v>1.0045999999999999</v>
      </c>
      <c r="X39" s="1466"/>
      <c r="Y39" s="1493"/>
      <c r="Z39" s="1494">
        <f t="shared" si="66"/>
        <v>4.4999999999999997E-3</v>
      </c>
      <c r="AA39" s="1496">
        <f t="shared" si="66"/>
        <v>4.7000000000000002E-3</v>
      </c>
      <c r="AB39" s="1493">
        <f t="shared" si="66"/>
        <v>1.04E-2</v>
      </c>
      <c r="AC39" s="1495"/>
      <c r="AD39" s="1493">
        <f t="shared" si="66"/>
        <v>4.7000000000000002E-3</v>
      </c>
    </row>
    <row r="40" spans="1:30">
      <c r="A40" s="1449" t="s">
        <v>1918</v>
      </c>
      <c r="B40" s="1450">
        <v>2021</v>
      </c>
      <c r="C40" s="1451">
        <v>1</v>
      </c>
      <c r="D40" s="1451"/>
      <c r="E40" s="1451">
        <v>0.35</v>
      </c>
      <c r="F40" s="1451">
        <v>0.48</v>
      </c>
      <c r="G40" s="1451">
        <v>0.98</v>
      </c>
      <c r="H40" s="1452"/>
      <c r="I40" s="1473">
        <f t="shared" si="37"/>
        <v>0.48</v>
      </c>
      <c r="J40" s="1474"/>
      <c r="K40" s="1475"/>
      <c r="L40" s="1476">
        <f t="shared" si="38"/>
        <v>3.5000000000000001E-3</v>
      </c>
      <c r="M40" s="1476">
        <f>F40/100</f>
        <v>4.7999999999999996E-3</v>
      </c>
      <c r="N40" s="1476">
        <f t="shared" si="38"/>
        <v>9.7999999999999997E-3</v>
      </c>
      <c r="O40" s="1476"/>
      <c r="P40" s="1476">
        <f t="shared" si="64"/>
        <v>4.7999999999999996E-3</v>
      </c>
      <c r="Q40" s="1474"/>
      <c r="R40" s="1485"/>
      <c r="S40" s="1485">
        <v>1</v>
      </c>
      <c r="T40" s="1485">
        <v>1</v>
      </c>
      <c r="U40" s="1485">
        <v>1</v>
      </c>
      <c r="V40" s="1485"/>
      <c r="W40" s="1485">
        <f t="shared" si="65"/>
        <v>1</v>
      </c>
      <c r="X40" s="1474"/>
      <c r="Y40" s="1476"/>
      <c r="Z40" s="1500">
        <f t="shared" si="66"/>
        <v>3.5000000000000001E-3</v>
      </c>
      <c r="AA40" s="1501">
        <f t="shared" si="66"/>
        <v>4.7999999999999996E-3</v>
      </c>
      <c r="AB40" s="1476">
        <f t="shared" si="66"/>
        <v>9.7999999999999997E-3</v>
      </c>
      <c r="AC40" s="1502"/>
      <c r="AD40" s="1476">
        <f t="shared" si="66"/>
        <v>4.7999999999999996E-3</v>
      </c>
    </row>
    <row r="42" spans="1:30">
      <c r="A42" s="1454" t="s">
        <v>2014</v>
      </c>
    </row>
  </sheetData>
  <sheetProtection password="CEE9" sheet="1" objects="1" scenarios="1"/>
  <mergeCells count="4">
    <mergeCell ref="R1:W1"/>
    <mergeCell ref="Y1:AD1"/>
    <mergeCell ref="R23:W23"/>
    <mergeCell ref="Y23:AD23"/>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51570.87平方米。根据《建设工程规划许可证》[]、《出让合同》[]，估价对象规划建筑面积为173827.13平方米。</v>
      </c>
    </row>
    <row r="7" spans="1:4" ht="56.25">
      <c r="A7" s="3608" t="s">
        <v>84</v>
      </c>
    </row>
    <row r="8" spans="1:4" ht="18.75">
      <c r="A8" s="3597" t="s">
        <v>85</v>
      </c>
    </row>
    <row r="9" spans="1:4" ht="7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88</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根据《国有土地使用证》[]，估价对象（分摊）出让国有建设用地使用权面积为51570.87平方米。根据《建设工程规划许可证》[]、《出让合同》[]，估价对象规划建筑面积为173827.13平方米。</v>
      </c>
    </row>
    <row r="21" spans="1:1" ht="18.75">
      <c r="A21" s="3596" t="s">
        <v>91</v>
      </c>
    </row>
    <row r="22" spans="1:1" ht="93.75">
      <c r="A22" s="35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23" spans="1:1" ht="18.75">
      <c r="A23" s="3596" t="str">
        <f>IF(项目基本情况!A17="出让","本次评估设定估价对象剩余土地使用年限为"&amp;项目基本情况!D20&amp;"。","")</f>
        <v>本次评估设定估价对象剩余土地使用年限为。</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3" customWidth="1"/>
    <col min="2" max="2" width="12.5" style="1413" customWidth="1"/>
    <col min="3" max="3" width="12.125" style="1413" customWidth="1"/>
    <col min="4" max="4" width="16.625" style="1413" customWidth="1"/>
    <col min="5" max="5" width="12.5" style="1413" customWidth="1"/>
    <col min="6" max="6" width="12.75" style="1413" customWidth="1"/>
    <col min="7" max="16384" width="8.875" style="1413"/>
  </cols>
  <sheetData>
    <row r="1" spans="1:14" ht="20.25">
      <c r="A1" s="1414" t="s">
        <v>330</v>
      </c>
      <c r="B1" s="1415"/>
      <c r="C1" s="1415"/>
      <c r="D1" s="1415"/>
      <c r="E1" s="1415"/>
      <c r="F1" s="1415"/>
      <c r="G1" s="1416"/>
      <c r="H1" s="1416"/>
      <c r="I1" s="1416"/>
      <c r="J1" s="1416"/>
      <c r="K1" s="1416"/>
      <c r="L1" s="1416"/>
      <c r="M1" s="1416"/>
      <c r="N1" s="1416"/>
    </row>
    <row r="2" spans="1:14" ht="14.25">
      <c r="A2" s="1417" t="s">
        <v>1099</v>
      </c>
      <c r="B2" s="1418">
        <f ca="1">SUMIF(B7:B14,"&lt;&gt;#ref!",B7:B14)</f>
        <v>0</v>
      </c>
      <c r="C2" s="1417" t="s">
        <v>1100</v>
      </c>
      <c r="D2" s="1419"/>
      <c r="E2" s="1419"/>
      <c r="F2" s="1419"/>
      <c r="G2" s="1416"/>
      <c r="H2" s="1416"/>
      <c r="I2" s="1416"/>
      <c r="J2" s="1416"/>
      <c r="K2" s="1416"/>
      <c r="L2" s="1416"/>
      <c r="M2" s="1416"/>
      <c r="N2" s="1416"/>
    </row>
    <row r="3" spans="1:14" ht="14.25">
      <c r="A3" s="1417" t="s">
        <v>943</v>
      </c>
      <c r="B3" s="1418" t="e">
        <f ca="1">ROUND(B2*10000/E3,0)</f>
        <v>#DIV/0!</v>
      </c>
      <c r="C3" s="1417" t="s">
        <v>1102</v>
      </c>
      <c r="D3" s="1417" t="s">
        <v>2015</v>
      </c>
      <c r="E3" s="1420">
        <f ca="1">SUMIF(E7:E14,"&lt;&gt;#ref!",E7:E14)</f>
        <v>0</v>
      </c>
      <c r="F3" s="1419"/>
      <c r="G3" s="1416"/>
      <c r="H3" s="1416"/>
      <c r="I3" s="1416"/>
      <c r="J3" s="1416"/>
      <c r="K3" s="1416"/>
      <c r="L3" s="1416"/>
      <c r="M3" s="1416"/>
      <c r="N3" s="1416"/>
    </row>
    <row r="4" spans="1:14" ht="14.25">
      <c r="A4" s="1417" t="s">
        <v>1107</v>
      </c>
      <c r="B4" s="1418" t="e">
        <f ca="1">ROUND(B2*10000/E4,0)</f>
        <v>#DIV/0!</v>
      </c>
      <c r="C4" s="1417" t="s">
        <v>1102</v>
      </c>
      <c r="D4" s="1417" t="s">
        <v>2016</v>
      </c>
      <c r="E4" s="1420">
        <f ca="1">SUMIF(F7:F14,"&lt;&gt;#ref!",F7:F14)</f>
        <v>0</v>
      </c>
      <c r="F4" s="1419"/>
      <c r="G4" s="1416"/>
      <c r="H4" s="1416"/>
      <c r="I4" s="1416"/>
      <c r="J4" s="1416"/>
      <c r="K4" s="1416"/>
      <c r="L4" s="1416"/>
      <c r="M4" s="1416"/>
      <c r="N4" s="1416"/>
    </row>
    <row r="5" spans="1:14" ht="14.25">
      <c r="A5" s="1421"/>
      <c r="B5" s="1419"/>
      <c r="C5" s="1419"/>
      <c r="D5" s="1419"/>
      <c r="E5" s="1419"/>
      <c r="F5" s="1419"/>
      <c r="G5" s="1416"/>
      <c r="H5" s="1416"/>
      <c r="I5" s="1416"/>
      <c r="J5" s="1416"/>
      <c r="K5" s="1416"/>
      <c r="L5" s="1416"/>
      <c r="M5" s="1416"/>
      <c r="N5" s="1416"/>
    </row>
    <row r="6" spans="1:14" ht="28.5">
      <c r="A6" s="1422" t="s">
        <v>2017</v>
      </c>
      <c r="B6" s="1417" t="s">
        <v>2018</v>
      </c>
      <c r="C6" s="1423"/>
      <c r="D6" s="1419"/>
      <c r="E6" s="1417" t="s">
        <v>444</v>
      </c>
      <c r="F6" s="1417" t="s">
        <v>447</v>
      </c>
      <c r="G6" s="1416"/>
      <c r="H6" s="1416"/>
      <c r="I6" s="1416"/>
      <c r="J6" s="1416"/>
      <c r="K6" s="1416"/>
      <c r="L6" s="1416"/>
      <c r="M6" s="1416"/>
      <c r="N6" s="1416"/>
    </row>
    <row r="7" spans="1:14" ht="14.25">
      <c r="A7" s="1424"/>
      <c r="B7" s="1418" t="e">
        <f ca="1">SUMIF(INDIRECT("'"&amp;A7&amp;"'"&amp;"!A:A"),"总价",INDIRECT("'"&amp;A7&amp;"'"&amp;"!B:B"))</f>
        <v>#REF!</v>
      </c>
      <c r="C7" s="1417" t="s">
        <v>1100</v>
      </c>
      <c r="D7" s="1419"/>
      <c r="E7" s="1420" t="e">
        <f ca="1">SUMIF(INDIRECT("'"&amp;A7&amp;"'"&amp;"!C:C"),"建筑面积",INDIRECT("'"&amp;A7&amp;"'"&amp;"!D:D"))</f>
        <v>#REF!</v>
      </c>
      <c r="F7" s="1420" t="e">
        <f ca="1">SUMIF(INDIRECT("'"&amp;A7&amp;"'"&amp;"!E:E"),"土地面积",INDIRECT("'"&amp;A7&amp;"'"&amp;"!F:F"))</f>
        <v>#REF!</v>
      </c>
      <c r="G7" s="1416"/>
      <c r="H7" s="1416"/>
      <c r="I7" s="1416"/>
      <c r="J7" s="1416"/>
      <c r="K7" s="1416"/>
      <c r="L7" s="1416"/>
      <c r="M7" s="1416"/>
      <c r="N7" s="1416"/>
    </row>
    <row r="8" spans="1:14" ht="14.25">
      <c r="A8" s="1424"/>
      <c r="B8" s="1418" t="e">
        <f t="shared" ref="B8:B14" ca="1" si="0">SUMIF(INDIRECT("'"&amp;A8&amp;"'"&amp;"!A:A"),"总价",INDIRECT("'"&amp;A8&amp;"'"&amp;"!B:B"))</f>
        <v>#REF!</v>
      </c>
      <c r="C8" s="1417" t="s">
        <v>1100</v>
      </c>
      <c r="D8" s="1419"/>
      <c r="E8" s="1420" t="e">
        <f t="shared" ref="E8:E14" ca="1" si="1">SUMIF(INDIRECT("'"&amp;A8&amp;"'"&amp;"!C:C"),"建筑面积",INDIRECT("'"&amp;A8&amp;"'"&amp;"!D:D"))</f>
        <v>#REF!</v>
      </c>
      <c r="F8" s="1420" t="e">
        <f t="shared" ref="F8:F14" ca="1" si="2">SUMIF(INDIRECT("'"&amp;A8&amp;"'"&amp;"!E:E"),"土地面积",INDIRECT("'"&amp;A8&amp;"'"&amp;"!F:F"))</f>
        <v>#REF!</v>
      </c>
      <c r="G8" s="1416"/>
      <c r="H8" s="1416"/>
      <c r="I8" s="1416"/>
      <c r="J8" s="1416"/>
      <c r="K8" s="1416"/>
      <c r="L8" s="1416"/>
      <c r="M8" s="1416"/>
      <c r="N8" s="1416"/>
    </row>
    <row r="9" spans="1:14" ht="14.25">
      <c r="A9" s="1424"/>
      <c r="B9" s="1418" t="e">
        <f t="shared" ca="1" si="0"/>
        <v>#REF!</v>
      </c>
      <c r="C9" s="1417" t="s">
        <v>1100</v>
      </c>
      <c r="D9" s="1419"/>
      <c r="E9" s="1420" t="e">
        <f t="shared" ca="1" si="1"/>
        <v>#REF!</v>
      </c>
      <c r="F9" s="1420" t="e">
        <f t="shared" ca="1" si="2"/>
        <v>#REF!</v>
      </c>
      <c r="G9" s="1416"/>
      <c r="H9" s="1416"/>
      <c r="I9" s="1416"/>
      <c r="J9" s="1416"/>
      <c r="K9" s="1416"/>
      <c r="L9" s="1416"/>
      <c r="M9" s="1416"/>
      <c r="N9" s="1416"/>
    </row>
    <row r="10" spans="1:14" ht="14.25">
      <c r="A10" s="1424"/>
      <c r="B10" s="1418" t="e">
        <f t="shared" ca="1" si="0"/>
        <v>#REF!</v>
      </c>
      <c r="C10" s="1417" t="s">
        <v>1100</v>
      </c>
      <c r="D10" s="1419"/>
      <c r="E10" s="1420" t="e">
        <f t="shared" ca="1" si="1"/>
        <v>#REF!</v>
      </c>
      <c r="F10" s="1420" t="e">
        <f t="shared" ca="1" si="2"/>
        <v>#REF!</v>
      </c>
      <c r="G10" s="1416"/>
      <c r="H10" s="1416"/>
      <c r="I10" s="1416"/>
      <c r="J10" s="1416"/>
      <c r="K10" s="1416"/>
      <c r="L10" s="1416"/>
      <c r="M10" s="1416"/>
      <c r="N10" s="1416"/>
    </row>
    <row r="11" spans="1:14" ht="14.25">
      <c r="A11" s="1424"/>
      <c r="B11" s="1418" t="e">
        <f t="shared" ca="1" si="0"/>
        <v>#REF!</v>
      </c>
      <c r="C11" s="1417" t="s">
        <v>1100</v>
      </c>
      <c r="D11" s="1419"/>
      <c r="E11" s="1420" t="e">
        <f t="shared" ca="1" si="1"/>
        <v>#REF!</v>
      </c>
      <c r="F11" s="1420" t="e">
        <f t="shared" ca="1" si="2"/>
        <v>#REF!</v>
      </c>
      <c r="G11" s="1416"/>
      <c r="H11" s="1416"/>
      <c r="I11" s="1416"/>
      <c r="J11" s="1416"/>
      <c r="K11" s="1416"/>
      <c r="L11" s="1416"/>
      <c r="M11" s="1416"/>
      <c r="N11" s="1416"/>
    </row>
    <row r="12" spans="1:14" ht="14.25">
      <c r="A12" s="1424"/>
      <c r="B12" s="1418" t="e">
        <f t="shared" ca="1" si="0"/>
        <v>#REF!</v>
      </c>
      <c r="C12" s="1417" t="s">
        <v>1100</v>
      </c>
      <c r="D12" s="1419"/>
      <c r="E12" s="1420" t="e">
        <f t="shared" ca="1" si="1"/>
        <v>#REF!</v>
      </c>
      <c r="F12" s="1420" t="e">
        <f t="shared" ca="1" si="2"/>
        <v>#REF!</v>
      </c>
      <c r="G12" s="1416"/>
      <c r="H12" s="1416"/>
      <c r="I12" s="1416"/>
      <c r="J12" s="1416"/>
      <c r="K12" s="1416"/>
      <c r="L12" s="1416"/>
      <c r="M12" s="1416"/>
      <c r="N12" s="1416"/>
    </row>
    <row r="13" spans="1:14" ht="14.25">
      <c r="A13" s="1424"/>
      <c r="B13" s="1418" t="e">
        <f t="shared" ca="1" si="0"/>
        <v>#REF!</v>
      </c>
      <c r="C13" s="1417" t="s">
        <v>1100</v>
      </c>
      <c r="D13" s="1419"/>
      <c r="E13" s="1420" t="e">
        <f t="shared" ca="1" si="1"/>
        <v>#REF!</v>
      </c>
      <c r="F13" s="1420" t="e">
        <f t="shared" ca="1" si="2"/>
        <v>#REF!</v>
      </c>
      <c r="G13" s="1416"/>
      <c r="H13" s="1416"/>
      <c r="I13" s="1416"/>
      <c r="J13" s="1416"/>
      <c r="K13" s="1416"/>
      <c r="L13" s="1416"/>
      <c r="M13" s="1416"/>
      <c r="N13" s="1416"/>
    </row>
    <row r="14" spans="1:14" ht="14.25">
      <c r="A14" s="1425"/>
      <c r="B14" s="1418" t="e">
        <f t="shared" ca="1" si="0"/>
        <v>#REF!</v>
      </c>
      <c r="C14" s="1417" t="s">
        <v>1100</v>
      </c>
      <c r="D14" s="1419"/>
      <c r="E14" s="1420" t="e">
        <f t="shared" ca="1" si="1"/>
        <v>#REF!</v>
      </c>
      <c r="F14" s="1420" t="e">
        <f t="shared" ca="1" si="2"/>
        <v>#REF!</v>
      </c>
      <c r="G14" s="1416"/>
      <c r="H14" s="1416"/>
      <c r="I14" s="1416"/>
      <c r="J14" s="1416"/>
      <c r="K14" s="1416"/>
      <c r="L14" s="1416"/>
      <c r="M14" s="1416"/>
      <c r="N14" s="1416"/>
    </row>
    <row r="15" spans="1:14">
      <c r="A15" s="1416"/>
      <c r="B15" s="1416"/>
      <c r="C15" s="1416"/>
      <c r="D15" s="1416"/>
      <c r="E15" s="1416"/>
      <c r="F15" s="1416"/>
      <c r="G15" s="1416"/>
      <c r="H15" s="1416"/>
      <c r="I15" s="1416"/>
      <c r="J15" s="1416"/>
      <c r="K15" s="1416"/>
      <c r="L15" s="1416"/>
      <c r="M15" s="1416"/>
      <c r="N15" s="1416"/>
    </row>
    <row r="16" spans="1:14">
      <c r="A16" s="1416"/>
      <c r="B16" s="1416"/>
      <c r="C16" s="1416"/>
      <c r="D16" s="1416"/>
      <c r="E16" s="1416"/>
      <c r="F16" s="1416"/>
      <c r="G16" s="1416"/>
      <c r="H16" s="1416"/>
      <c r="I16" s="1416"/>
      <c r="J16" s="1416"/>
      <c r="K16" s="1416"/>
      <c r="L16" s="1416"/>
      <c r="M16" s="1416"/>
      <c r="N16" s="1416"/>
    </row>
    <row r="17" spans="1:14">
      <c r="A17" s="1416"/>
      <c r="B17" s="1416"/>
      <c r="C17" s="1416"/>
      <c r="D17" s="1416"/>
      <c r="E17" s="1416"/>
      <c r="F17" s="1416"/>
      <c r="G17" s="1416"/>
      <c r="H17" s="1416"/>
      <c r="I17" s="1416"/>
      <c r="J17" s="1416"/>
      <c r="K17" s="1416"/>
      <c r="L17" s="1416"/>
      <c r="M17" s="1416"/>
      <c r="N17" s="1416"/>
    </row>
    <row r="18" spans="1:14">
      <c r="A18" s="1416"/>
      <c r="B18" s="1416"/>
      <c r="C18" s="1416"/>
      <c r="D18" s="1416"/>
      <c r="E18" s="1416"/>
      <c r="F18" s="1416"/>
      <c r="G18" s="1416"/>
      <c r="H18" s="1416"/>
      <c r="I18" s="1416"/>
      <c r="J18" s="1416"/>
      <c r="K18" s="1416"/>
      <c r="L18" s="1416"/>
      <c r="M18" s="1416"/>
      <c r="N18" s="1416"/>
    </row>
    <row r="19" spans="1:14">
      <c r="A19" s="1416"/>
      <c r="B19" s="1416"/>
      <c r="C19" s="1416"/>
      <c r="D19" s="1416"/>
      <c r="E19" s="1416"/>
      <c r="F19" s="1416"/>
      <c r="G19" s="1416"/>
      <c r="H19" s="1416"/>
      <c r="I19" s="1416"/>
      <c r="J19" s="1416"/>
      <c r="K19" s="1416"/>
      <c r="L19" s="1416"/>
      <c r="M19" s="1416"/>
      <c r="N19" s="1416"/>
    </row>
    <row r="20" spans="1:14">
      <c r="A20" s="1416"/>
      <c r="B20" s="1416"/>
      <c r="C20" s="1416"/>
      <c r="D20" s="1416"/>
      <c r="E20" s="1416"/>
      <c r="F20" s="1416"/>
      <c r="G20" s="1416"/>
      <c r="H20" s="1416"/>
      <c r="I20" s="1416"/>
      <c r="J20" s="1416"/>
      <c r="K20" s="1416"/>
      <c r="L20" s="1416"/>
      <c r="M20" s="1416"/>
      <c r="N20" s="1416"/>
    </row>
    <row r="21" spans="1:14">
      <c r="A21" s="1416"/>
      <c r="B21" s="1416"/>
      <c r="C21" s="1416"/>
      <c r="D21" s="1416"/>
      <c r="E21" s="1416"/>
      <c r="F21" s="1416"/>
      <c r="G21" s="1416"/>
      <c r="H21" s="1416"/>
      <c r="I21" s="1416"/>
      <c r="J21" s="1416"/>
      <c r="K21" s="1416"/>
      <c r="L21" s="1416"/>
      <c r="M21" s="1416"/>
      <c r="N21" s="1416"/>
    </row>
    <row r="22" spans="1:14">
      <c r="A22" s="1416"/>
      <c r="B22" s="1416"/>
      <c r="C22" s="1416"/>
      <c r="D22" s="1416"/>
      <c r="E22" s="1416"/>
      <c r="F22" s="1416"/>
      <c r="G22" s="1416"/>
      <c r="H22" s="1416"/>
      <c r="I22" s="1416"/>
      <c r="J22" s="1416"/>
      <c r="K22" s="1416"/>
      <c r="L22" s="1416"/>
      <c r="M22" s="1416"/>
      <c r="N22" s="1416"/>
    </row>
    <row r="23" spans="1:14">
      <c r="A23" s="1416"/>
      <c r="B23" s="1416"/>
      <c r="C23" s="1416"/>
      <c r="D23" s="1416"/>
      <c r="E23" s="1416"/>
      <c r="F23" s="1416"/>
      <c r="G23" s="1416"/>
      <c r="H23" s="1416"/>
      <c r="I23" s="1416"/>
      <c r="J23" s="1416"/>
      <c r="K23" s="1416"/>
      <c r="L23" s="1416"/>
      <c r="M23" s="1416"/>
      <c r="N23" s="1416"/>
    </row>
    <row r="24" spans="1:14">
      <c r="A24" s="1416"/>
      <c r="B24" s="1416"/>
      <c r="C24" s="1416"/>
      <c r="D24" s="1416"/>
      <c r="E24" s="1416"/>
      <c r="F24" s="1416"/>
      <c r="G24" s="1416"/>
      <c r="H24" s="1416"/>
      <c r="I24" s="1416"/>
      <c r="J24" s="1416"/>
      <c r="K24" s="1416"/>
      <c r="L24" s="1416"/>
      <c r="M24" s="1416"/>
      <c r="N24" s="1416"/>
    </row>
    <row r="25" spans="1:14">
      <c r="A25" s="1416"/>
      <c r="B25" s="1416"/>
      <c r="C25" s="1416"/>
      <c r="D25" s="1416"/>
      <c r="E25" s="1416"/>
      <c r="F25" s="1416"/>
      <c r="G25" s="1416"/>
      <c r="H25" s="1416"/>
      <c r="I25" s="1416"/>
      <c r="J25" s="1416"/>
      <c r="K25" s="1416"/>
      <c r="L25" s="1416"/>
      <c r="M25" s="1416"/>
      <c r="N25" s="1416"/>
    </row>
    <row r="26" spans="1:14">
      <c r="A26" s="1416"/>
      <c r="B26" s="1416"/>
      <c r="C26" s="1416"/>
      <c r="D26" s="1416"/>
      <c r="E26" s="1416"/>
      <c r="F26" s="1416"/>
      <c r="G26" s="1416"/>
      <c r="H26" s="1416"/>
      <c r="I26" s="1416"/>
      <c r="J26" s="1416"/>
      <c r="K26" s="1416"/>
      <c r="L26" s="1416"/>
      <c r="M26" s="1416"/>
      <c r="N26" s="1416"/>
    </row>
    <row r="27" spans="1:14">
      <c r="A27" s="1416"/>
      <c r="B27" s="1416"/>
      <c r="C27" s="1416"/>
      <c r="D27" s="1416"/>
      <c r="E27" s="1416"/>
      <c r="F27" s="1416"/>
      <c r="G27" s="1416"/>
      <c r="H27" s="1416"/>
      <c r="I27" s="1416"/>
      <c r="J27" s="1416"/>
      <c r="K27" s="1416"/>
      <c r="L27" s="1416"/>
      <c r="M27" s="1416"/>
      <c r="N27" s="1416"/>
    </row>
    <row r="28" spans="1:14">
      <c r="A28" s="1416"/>
      <c r="B28" s="1416"/>
      <c r="C28" s="1416"/>
      <c r="D28" s="1416"/>
      <c r="E28" s="1416"/>
      <c r="F28" s="1416"/>
      <c r="G28" s="1416"/>
      <c r="H28" s="1416"/>
      <c r="I28" s="1416"/>
      <c r="J28" s="1416"/>
      <c r="K28" s="1416"/>
      <c r="L28" s="1416"/>
      <c r="M28" s="1416"/>
      <c r="N28" s="1416"/>
    </row>
    <row r="29" spans="1:14">
      <c r="A29" s="1416"/>
      <c r="B29" s="1416"/>
      <c r="C29" s="1416"/>
      <c r="D29" s="1416"/>
      <c r="E29" s="1416"/>
      <c r="F29" s="1416"/>
      <c r="G29" s="1416"/>
      <c r="H29" s="1416"/>
      <c r="I29" s="1416"/>
      <c r="J29" s="1416"/>
      <c r="K29" s="1416"/>
      <c r="L29" s="1416"/>
      <c r="M29" s="1416"/>
      <c r="N29" s="1416"/>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2"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8.375" style="623" customWidth="1"/>
    <col min="16" max="16" width="30.25" style="623" customWidth="1"/>
    <col min="17" max="17" width="13.75" style="623" customWidth="1"/>
    <col min="18" max="18" width="22.25" style="623" customWidth="1"/>
    <col min="19" max="19" width="1.5" style="623" customWidth="1"/>
    <col min="20" max="25" width="9" style="623"/>
    <col min="26" max="16384" width="9" style="624"/>
  </cols>
  <sheetData>
    <row r="1" spans="1:25" s="621" customFormat="1" ht="21">
      <c r="A1" s="1353" t="s">
        <v>2019</v>
      </c>
      <c r="B1" s="629"/>
      <c r="C1" s="630"/>
      <c r="D1" s="635"/>
      <c r="E1" s="632" t="s">
        <v>617</v>
      </c>
      <c r="F1" s="633">
        <f ca="1">J54</f>
        <v>-2</v>
      </c>
      <c r="G1" s="1354">
        <f>MATCH(C1,'数据-取费表'!A6:A16,0)+5</f>
        <v>8</v>
      </c>
      <c r="H1" s="1355"/>
      <c r="I1" s="779"/>
      <c r="J1" s="779"/>
      <c r="K1" s="780"/>
      <c r="L1" s="779"/>
      <c r="M1" s="779"/>
      <c r="N1" s="781"/>
      <c r="O1" s="781"/>
      <c r="P1" s="781"/>
      <c r="Q1" s="781"/>
      <c r="R1" s="781"/>
      <c r="S1" s="781"/>
      <c r="T1" s="781"/>
      <c r="U1" s="781"/>
      <c r="V1" s="781"/>
      <c r="W1" s="781"/>
      <c r="X1" s="781"/>
      <c r="Y1" s="781"/>
    </row>
    <row r="2" spans="1:25" ht="18" customHeight="1">
      <c r="A2" s="1356" t="s">
        <v>942</v>
      </c>
      <c r="B2" s="125">
        <f ca="1">IF(ISERROR(C45+J31),0,C45+J31)</f>
        <v>0</v>
      </c>
      <c r="C2" s="1357"/>
      <c r="D2" s="1358"/>
      <c r="E2" s="1359"/>
      <c r="F2" s="1359"/>
      <c r="G2" s="1360"/>
      <c r="H2" s="783"/>
      <c r="I2" s="640"/>
      <c r="J2" s="640"/>
      <c r="K2" s="782"/>
      <c r="L2" s="640"/>
      <c r="M2" s="640"/>
    </row>
    <row r="3" spans="1:25" ht="18" customHeight="1">
      <c r="A3" s="1361" t="s">
        <v>943</v>
      </c>
      <c r="B3" s="1362">
        <f ca="1">ROUND(B2*10000/'数据-汇总表'!E3,0)</f>
        <v>0</v>
      </c>
      <c r="C3" s="1357"/>
      <c r="D3" s="1358"/>
      <c r="E3" s="1359"/>
      <c r="F3" s="1359"/>
      <c r="G3" s="1360"/>
      <c r="H3" s="643" t="s">
        <v>2020</v>
      </c>
      <c r="I3" s="640"/>
      <c r="J3" s="640"/>
      <c r="K3" s="782"/>
      <c r="L3" s="640"/>
      <c r="M3" s="640"/>
    </row>
    <row r="4" spans="1:25" ht="18" customHeight="1">
      <c r="A4" s="1363" t="s">
        <v>944</v>
      </c>
      <c r="B4" s="1364">
        <f ca="1">ROUND(B2*10000/'数据-汇总表'!D3,0)</f>
        <v>0</v>
      </c>
      <c r="C4" s="999"/>
      <c r="D4" s="1358"/>
      <c r="E4" s="1359"/>
      <c r="F4" s="1359"/>
      <c r="G4" s="1360"/>
      <c r="H4" s="643"/>
      <c r="I4" s="640"/>
      <c r="J4" s="640"/>
      <c r="K4" s="782"/>
      <c r="L4" s="640"/>
      <c r="M4" s="640"/>
    </row>
    <row r="5" spans="1:25" ht="18" customHeight="1">
      <c r="A5" s="1365"/>
      <c r="B5" s="1002">
        <f ca="1">ROUND(B2/('数据-汇总表'!D3/666.67),0)</f>
        <v>0</v>
      </c>
      <c r="C5" s="1003" t="s">
        <v>945</v>
      </c>
      <c r="D5" s="1358"/>
      <c r="E5" s="1359"/>
      <c r="F5" s="1359"/>
      <c r="G5" s="1360"/>
      <c r="H5" s="643"/>
      <c r="I5" s="640"/>
      <c r="J5" s="640"/>
      <c r="K5" s="782"/>
      <c r="L5" s="640"/>
      <c r="M5" s="640"/>
    </row>
    <row r="6" spans="1:25" ht="18" customHeight="1">
      <c r="A6" s="1366" t="s">
        <v>2021</v>
      </c>
      <c r="B6" s="1367" t="s">
        <v>2022</v>
      </c>
      <c r="C6" s="1367" t="s">
        <v>2023</v>
      </c>
      <c r="D6" s="1367" t="s">
        <v>2024</v>
      </c>
      <c r="E6" s="646" t="s">
        <v>2025</v>
      </c>
      <c r="F6" s="647"/>
      <c r="G6" s="837"/>
      <c r="H6" s="1366" t="s">
        <v>2021</v>
      </c>
      <c r="I6" s="1367" t="s">
        <v>2022</v>
      </c>
      <c r="J6" s="1367" t="s">
        <v>2023</v>
      </c>
      <c r="K6" s="1367" t="s">
        <v>2024</v>
      </c>
      <c r="L6" s="646" t="s">
        <v>2025</v>
      </c>
      <c r="M6" s="647"/>
    </row>
    <row r="7" spans="1:25" ht="18" customHeight="1">
      <c r="A7" s="649">
        <v>1</v>
      </c>
      <c r="B7" s="650" t="s">
        <v>2026</v>
      </c>
      <c r="C7" s="127">
        <f ca="1">C8+C12+C14</f>
        <v>0</v>
      </c>
      <c r="D7" s="652" t="s">
        <v>2027</v>
      </c>
      <c r="E7" s="653"/>
      <c r="F7" s="654"/>
      <c r="G7" s="837"/>
      <c r="H7" s="649">
        <v>1</v>
      </c>
      <c r="I7" s="650" t="s">
        <v>2026</v>
      </c>
      <c r="J7" s="127">
        <f ca="1">J8+J12+J14</f>
        <v>0</v>
      </c>
      <c r="K7" s="652" t="s">
        <v>2027</v>
      </c>
      <c r="L7" s="653"/>
      <c r="M7" s="654"/>
    </row>
    <row r="8" spans="1:25" ht="18" customHeight="1">
      <c r="A8" s="655" t="s">
        <v>879</v>
      </c>
      <c r="B8" s="3947" t="s">
        <v>2028</v>
      </c>
      <c r="C8" s="1368">
        <f ca="1">ROUND(F8*F10*F9*(1-F11)/10000,0)</f>
        <v>0</v>
      </c>
      <c r="D8" s="1369" t="s">
        <v>2029</v>
      </c>
      <c r="E8" s="1370" t="s">
        <v>2030</v>
      </c>
      <c r="F8" s="659">
        <f ca="1">INDIRECT("'数据-取费表'!u"&amp;$G$1)</f>
        <v>0</v>
      </c>
      <c r="G8" s="837"/>
      <c r="H8" s="660" t="s">
        <v>879</v>
      </c>
      <c r="I8" s="3947" t="s">
        <v>2028</v>
      </c>
      <c r="J8" s="656">
        <f ca="1">ROUND(M8*M10*M9*(1-M11)/10000,0)</f>
        <v>0</v>
      </c>
      <c r="K8" s="730" t="s">
        <v>2029</v>
      </c>
      <c r="L8" s="658" t="s">
        <v>2030</v>
      </c>
      <c r="M8" s="659">
        <f ca="1">INDIRECT("'数据-取费表'!z"&amp;$G$1)</f>
        <v>0</v>
      </c>
    </row>
    <row r="9" spans="1:25" ht="18" customHeight="1">
      <c r="A9" s="661"/>
      <c r="B9" s="3948"/>
      <c r="C9" s="1371"/>
      <c r="D9" s="1372"/>
      <c r="E9" s="1370" t="s">
        <v>2031</v>
      </c>
      <c r="F9" s="659">
        <f ca="1">IF(INDIRECT("'数据-取费表'!ah"&amp;$G$1)="",INDIRECT("'数据-取费表'!k"&amp;$G$1),INDIRECT("'数据-取费表'!ah"&amp;$G$1))</f>
        <v>0</v>
      </c>
      <c r="G9" s="837"/>
      <c r="H9" s="664"/>
      <c r="I9" s="3948"/>
      <c r="J9" s="662"/>
      <c r="K9" s="663"/>
      <c r="L9" s="658" t="s">
        <v>2031</v>
      </c>
      <c r="M9" s="659">
        <f ca="1">F9</f>
        <v>0</v>
      </c>
    </row>
    <row r="10" spans="1:25" ht="18" customHeight="1">
      <c r="A10" s="665"/>
      <c r="B10" s="3949"/>
      <c r="C10" s="1371"/>
      <c r="D10" s="1372"/>
      <c r="E10" s="1370" t="s">
        <v>2032</v>
      </c>
      <c r="F10" s="659">
        <f ca="1">INDIRECT("'数据-取费表'!ai"&amp;$G$1)</f>
        <v>0</v>
      </c>
      <c r="G10" s="837"/>
      <c r="H10" s="664"/>
      <c r="I10" s="3949"/>
      <c r="J10" s="662"/>
      <c r="K10" s="663"/>
      <c r="L10" s="658" t="s">
        <v>2032</v>
      </c>
      <c r="M10" s="659">
        <f ca="1">INDIRECT("'数据-取费表'!ai"&amp;$G$1)</f>
        <v>0</v>
      </c>
    </row>
    <row r="11" spans="1:25" ht="18" customHeight="1">
      <c r="A11" s="666"/>
      <c r="B11" s="3950"/>
      <c r="C11" s="1371"/>
      <c r="D11" s="1372"/>
      <c r="E11" s="1370" t="s">
        <v>2033</v>
      </c>
      <c r="F11" s="667">
        <f ca="1">INDIRECT("'数据-取费表'!w"&amp;$G$1)</f>
        <v>0</v>
      </c>
      <c r="G11" s="837"/>
      <c r="H11" s="668"/>
      <c r="I11" s="3949"/>
      <c r="J11" s="662"/>
      <c r="K11" s="663"/>
      <c r="L11" s="711" t="s">
        <v>2033</v>
      </c>
      <c r="M11" s="677">
        <f ca="1">INDIRECT("'数据-取费表'!ab"&amp;$G$1)</f>
        <v>0</v>
      </c>
    </row>
    <row r="12" spans="1:25" ht="18" customHeight="1">
      <c r="A12" s="655" t="s">
        <v>881</v>
      </c>
      <c r="B12" s="669" t="s">
        <v>2034</v>
      </c>
      <c r="C12" s="126">
        <f ca="1">ROUND(IF(F12="押一",C8/12*F13,IF(F12="押二",C8/12*2*F13,IF(F12="押三",C8/12*3*F13,C13*F13))),0)</f>
        <v>0</v>
      </c>
      <c r="D12" s="670" t="s">
        <v>2035</v>
      </c>
      <c r="E12" s="671" t="s">
        <v>2036</v>
      </c>
      <c r="F12" s="672"/>
      <c r="G12" s="837"/>
      <c r="H12" s="673" t="s">
        <v>881</v>
      </c>
      <c r="I12" s="785" t="s">
        <v>2034</v>
      </c>
      <c r="J12" s="656">
        <f ca="1">ROUND(IF(M12="押一",J8/12*M13,IF(M12="押二",J8/12*2*M13,IF(M12="押三",J8/12*3*M13,J13*M13))),0)</f>
        <v>0</v>
      </c>
      <c r="K12" s="670" t="s">
        <v>2035</v>
      </c>
      <c r="L12" s="671" t="s">
        <v>2036</v>
      </c>
      <c r="M12" s="672"/>
    </row>
    <row r="13" spans="1:25" ht="18" customHeight="1">
      <c r="A13" s="674"/>
      <c r="B13" s="675" t="s">
        <v>2037</v>
      </c>
      <c r="C13" s="676"/>
      <c r="D13" s="663"/>
      <c r="E13" s="671" t="s">
        <v>664</v>
      </c>
      <c r="F13" s="677">
        <f ca="1">'数据-取费表'!B39</f>
        <v>1.4999999999999999E-2</v>
      </c>
      <c r="G13" s="837"/>
      <c r="H13" s="678"/>
      <c r="I13" s="675" t="s">
        <v>2037</v>
      </c>
      <c r="J13" s="676"/>
      <c r="K13" s="786"/>
      <c r="L13" s="671" t="s">
        <v>664</v>
      </c>
      <c r="M13" s="787">
        <f ca="1">'数据-取费表'!B39</f>
        <v>1.4999999999999999E-2</v>
      </c>
    </row>
    <row r="14" spans="1:25" ht="18" customHeight="1">
      <c r="A14" s="679" t="s">
        <v>950</v>
      </c>
      <c r="B14" s="680" t="s">
        <v>2038</v>
      </c>
      <c r="C14" s="681"/>
      <c r="D14" s="682"/>
      <c r="E14" s="683"/>
      <c r="F14" s="684"/>
      <c r="G14" s="837"/>
      <c r="H14" s="685" t="s">
        <v>950</v>
      </c>
      <c r="I14" s="788" t="s">
        <v>2038</v>
      </c>
      <c r="J14" s="789"/>
      <c r="K14" s="682"/>
      <c r="L14" s="683"/>
      <c r="M14" s="790"/>
    </row>
    <row r="15" spans="1:25" ht="18" customHeight="1">
      <c r="A15" s="686" t="s">
        <v>885</v>
      </c>
      <c r="B15" s="687" t="s">
        <v>2039</v>
      </c>
      <c r="C15" s="688">
        <f ca="1">ROUND(C31*F15,0)</f>
        <v>0</v>
      </c>
      <c r="D15" s="689" t="s">
        <v>2040</v>
      </c>
      <c r="E15" s="711" t="s">
        <v>2041</v>
      </c>
      <c r="F15" s="774">
        <f ca="1">INDIRECT("'数据-取费表'!y"&amp;$G$1)</f>
        <v>0</v>
      </c>
      <c r="G15" s="837"/>
      <c r="H15" s="686" t="s">
        <v>885</v>
      </c>
      <c r="I15" s="687" t="s">
        <v>2042</v>
      </c>
      <c r="J15" s="791">
        <f ca="1">ROUND(J16*J17,0)</f>
        <v>0</v>
      </c>
      <c r="K15" s="720" t="s">
        <v>2040</v>
      </c>
      <c r="L15" s="794"/>
      <c r="M15" s="795"/>
    </row>
    <row r="16" spans="1:25" ht="18" customHeight="1">
      <c r="A16" s="1010" t="s">
        <v>904</v>
      </c>
      <c r="B16" s="658" t="s">
        <v>957</v>
      </c>
      <c r="C16" s="692">
        <f ca="1">INDIRECT("'数据-取费表'!m"&amp;$G$1)+INDIRECT("'数据-取费表'!t"&amp;$G$1)</f>
        <v>0</v>
      </c>
      <c r="D16" s="693" t="s">
        <v>2043</v>
      </c>
      <c r="E16" s="694"/>
      <c r="F16" s="695"/>
      <c r="G16" s="837"/>
      <c r="H16" s="1010" t="s">
        <v>879</v>
      </c>
      <c r="I16" s="777" t="s">
        <v>2044</v>
      </c>
      <c r="J16" s="127">
        <f ca="1">C31</f>
        <v>0</v>
      </c>
      <c r="K16" s="778"/>
      <c r="L16" s="794"/>
      <c r="M16" s="795"/>
    </row>
    <row r="17" spans="1:25" s="622" customFormat="1" ht="18" customHeight="1">
      <c r="A17" s="1010" t="s">
        <v>958</v>
      </c>
      <c r="B17" s="658" t="s">
        <v>959</v>
      </c>
      <c r="C17" s="127">
        <f ca="1">ROUND(C16*F17,0)</f>
        <v>0</v>
      </c>
      <c r="D17" s="697" t="s">
        <v>2045</v>
      </c>
      <c r="E17" s="697" t="s">
        <v>2046</v>
      </c>
      <c r="F17" s="698">
        <f>'数据-取费表'!B33</f>
        <v>0.03</v>
      </c>
      <c r="G17" s="1373"/>
      <c r="H17" s="1010" t="s">
        <v>881</v>
      </c>
      <c r="I17" s="658" t="s">
        <v>2041</v>
      </c>
      <c r="J17" s="1406">
        <f ca="1">INDIRECT("'数据-取费表'!ad"&amp;$G$1)</f>
        <v>0</v>
      </c>
      <c r="K17" s="778"/>
      <c r="L17" s="794"/>
      <c r="M17" s="795"/>
      <c r="N17" s="800"/>
      <c r="O17" s="800"/>
      <c r="P17" s="800"/>
      <c r="Q17" s="800"/>
      <c r="R17" s="800"/>
      <c r="S17" s="800"/>
      <c r="T17" s="800"/>
      <c r="U17" s="800"/>
      <c r="V17" s="800"/>
      <c r="W17" s="800"/>
      <c r="X17" s="800"/>
      <c r="Y17" s="800"/>
    </row>
    <row r="18" spans="1:25" ht="18" customHeight="1">
      <c r="A18" s="1010" t="s">
        <v>961</v>
      </c>
      <c r="B18" s="658" t="s">
        <v>962</v>
      </c>
      <c r="C18" s="127">
        <f ca="1">ROUND(INDIRECT("'数据-取费表'!m"&amp;$G$1)*F18,0)</f>
        <v>0</v>
      </c>
      <c r="D18" s="658" t="s">
        <v>2045</v>
      </c>
      <c r="E18" s="658" t="s">
        <v>2046</v>
      </c>
      <c r="F18" s="700">
        <f ca="1">IF(INDIRECT("'数据-取费表'!c"&amp;$G$1)="住宅",'数据-取费表'!B34,0)</f>
        <v>0</v>
      </c>
      <c r="G18" s="837"/>
      <c r="H18" s="775" t="s">
        <v>890</v>
      </c>
      <c r="I18" s="776" t="s">
        <v>2047</v>
      </c>
      <c r="J18" s="126">
        <f ca="1">ROUND(J19+J24+J25+J26,0)</f>
        <v>0</v>
      </c>
      <c r="K18" s="778" t="s">
        <v>2048</v>
      </c>
      <c r="L18" s="129"/>
      <c r="M18" s="701"/>
    </row>
    <row r="19" spans="1:25" s="622" customFormat="1" ht="18" customHeight="1">
      <c r="A19" s="1010" t="s">
        <v>963</v>
      </c>
      <c r="B19" s="658" t="s">
        <v>2049</v>
      </c>
      <c r="C19" s="127">
        <f ca="1">ROUND(F19*(INDIRECT("'数据-取费表'!k"&amp;$G$1)+INDIRECT("'数据-取费表'!S"&amp;$G$1))/10000,0)</f>
        <v>0</v>
      </c>
      <c r="D19" s="658" t="s">
        <v>2050</v>
      </c>
      <c r="E19" s="658" t="s">
        <v>2051</v>
      </c>
      <c r="F19" s="701">
        <f>'数据-取费表'!B35</f>
        <v>200</v>
      </c>
      <c r="G19" s="1373"/>
      <c r="H19" s="1010" t="s">
        <v>879</v>
      </c>
      <c r="I19" s="658" t="s">
        <v>2052</v>
      </c>
      <c r="J19" s="723">
        <f ca="1">ROUND(IF(AND(项目基本情况!B11="自然人",项目基本情况!B10="北京市"),J8*M19/(1+'数据-取费表'!C42),J20+J21+J22),0)</f>
        <v>0</v>
      </c>
      <c r="K19" s="693" t="s">
        <v>2053</v>
      </c>
      <c r="L19" s="724" t="s">
        <v>2054</v>
      </c>
      <c r="M19" s="725" t="str">
        <f>IF(项目基本情况!B11="企业","——",IF('数据-取费表'!B10="住宅",IF(M8*M9*M10/12/(1+'数据-取费表'!F30)&gt;100000,4%,2.5%),IF(M8*M9*M10/12/(1+'数据-取费表'!F30)&gt;100000,12%,7%)))</f>
        <v>——</v>
      </c>
      <c r="N19" s="800"/>
      <c r="O19" s="800"/>
      <c r="P19" s="800"/>
      <c r="Q19" s="800"/>
      <c r="R19" s="800"/>
      <c r="S19" s="800"/>
      <c r="T19" s="800"/>
      <c r="U19" s="800"/>
      <c r="V19" s="800"/>
      <c r="W19" s="800"/>
      <c r="X19" s="800"/>
      <c r="Y19" s="800"/>
    </row>
    <row r="20" spans="1:25" s="622" customFormat="1" ht="18" customHeight="1">
      <c r="A20" s="1010" t="s">
        <v>965</v>
      </c>
      <c r="B20" s="658" t="s">
        <v>966</v>
      </c>
      <c r="C20" s="127">
        <f ca="1">ROUND(C16*F20,0)</f>
        <v>0</v>
      </c>
      <c r="D20" s="658" t="s">
        <v>2045</v>
      </c>
      <c r="E20" s="658" t="s">
        <v>2046</v>
      </c>
      <c r="F20" s="700">
        <f>'数据-取费表'!B36</f>
        <v>1.4999999999999999E-2</v>
      </c>
      <c r="G20" s="1373"/>
      <c r="H20" s="1010" t="s">
        <v>904</v>
      </c>
      <c r="I20" s="658" t="s">
        <v>2055</v>
      </c>
      <c r="J20" s="127">
        <f ca="1">ROUND(J8*M20/(1+'数据-取费表'!C42),1)</f>
        <v>0</v>
      </c>
      <c r="K20" s="724" t="s">
        <v>2056</v>
      </c>
      <c r="L20" s="658" t="s">
        <v>2046</v>
      </c>
      <c r="M20" s="700">
        <f>'数据-取费表'!B41</f>
        <v>5.5E-2</v>
      </c>
      <c r="N20" s="800"/>
      <c r="O20" s="800"/>
      <c r="P20" s="800"/>
      <c r="Q20" s="800"/>
      <c r="R20" s="800"/>
      <c r="S20" s="800"/>
      <c r="T20" s="800"/>
      <c r="U20" s="800"/>
      <c r="V20" s="800"/>
      <c r="W20" s="800"/>
      <c r="X20" s="800"/>
      <c r="Y20" s="800"/>
    </row>
    <row r="21" spans="1:25" ht="18" customHeight="1">
      <c r="A21" s="1010" t="s">
        <v>879</v>
      </c>
      <c r="B21" s="658" t="s">
        <v>2057</v>
      </c>
      <c r="C21" s="127">
        <f ca="1">SUM(C16:C20)</f>
        <v>0</v>
      </c>
      <c r="D21" s="702" t="s">
        <v>2058</v>
      </c>
      <c r="E21" s="129"/>
      <c r="F21" s="701"/>
      <c r="G21" s="837"/>
      <c r="H21" s="655" t="s">
        <v>958</v>
      </c>
      <c r="I21" s="658" t="s">
        <v>2059</v>
      </c>
      <c r="J21" s="127">
        <f ca="1">IF(K21="按租金收入计税",ROUND(J8*M21/(1+'数据-取费表'!C42),1),ROUND(C31*F35*0.7,1))</f>
        <v>0</v>
      </c>
      <c r="K21" s="728" t="s">
        <v>2060</v>
      </c>
      <c r="L21" s="658" t="s">
        <v>2046</v>
      </c>
      <c r="M21" s="700">
        <f>IF(K21="按租金收入计税",'数据-取费表'!B51,'数据-取费表'!B50)</f>
        <v>0.12</v>
      </c>
    </row>
    <row r="22" spans="1:25" s="622" customFormat="1" ht="18" customHeight="1">
      <c r="A22" s="1010" t="s">
        <v>2061</v>
      </c>
      <c r="B22" s="658" t="s">
        <v>2062</v>
      </c>
      <c r="C22" s="127">
        <f ca="1">ROUND(C21*F22,0)</f>
        <v>0</v>
      </c>
      <c r="D22" s="703" t="s">
        <v>2063</v>
      </c>
      <c r="E22" s="658" t="s">
        <v>2046</v>
      </c>
      <c r="F22" s="700">
        <f>'数据-取费表'!B37</f>
        <v>1.4999999999999999E-2</v>
      </c>
      <c r="G22" s="1373"/>
      <c r="H22" s="1374" t="s">
        <v>961</v>
      </c>
      <c r="I22" s="1369" t="s">
        <v>2064</v>
      </c>
      <c r="J22" s="731">
        <f ca="1">ROUND(M22*M23/10000,0)</f>
        <v>0</v>
      </c>
      <c r="K22" s="732" t="s">
        <v>2065</v>
      </c>
      <c r="L22" s="658" t="s">
        <v>2066</v>
      </c>
      <c r="M22" s="708">
        <f>'数据-取费表'!B52</f>
        <v>1.5</v>
      </c>
      <c r="N22" s="800"/>
      <c r="O22" s="800"/>
      <c r="P22" s="800"/>
      <c r="Q22" s="800"/>
      <c r="R22" s="800"/>
      <c r="S22" s="800"/>
      <c r="T22" s="800"/>
      <c r="U22" s="800"/>
      <c r="V22" s="800"/>
      <c r="W22" s="800"/>
      <c r="X22" s="800"/>
      <c r="Y22" s="800"/>
    </row>
    <row r="23" spans="1:25" s="622" customFormat="1" ht="18" customHeight="1">
      <c r="A23" s="1010" t="s">
        <v>2067</v>
      </c>
      <c r="B23" s="658" t="s">
        <v>2068</v>
      </c>
      <c r="C23" s="127" t="s">
        <v>138</v>
      </c>
      <c r="D23" s="703" t="s">
        <v>2069</v>
      </c>
      <c r="E23" s="658" t="s">
        <v>2070</v>
      </c>
      <c r="F23" s="700">
        <f>'数据-取费表'!B38</f>
        <v>1.4999999999999999E-2</v>
      </c>
      <c r="G23" s="1373"/>
      <c r="H23" s="1375"/>
      <c r="I23" s="1407"/>
      <c r="J23" s="735"/>
      <c r="K23" s="736"/>
      <c r="L23" s="658" t="s">
        <v>2071</v>
      </c>
      <c r="M23" s="659">
        <f ca="1">INDIRECT("'数据-取费表'!r"&amp;$G$1)</f>
        <v>0</v>
      </c>
      <c r="N23" s="800"/>
      <c r="O23" s="800"/>
      <c r="P23" s="800"/>
      <c r="Q23" s="800"/>
      <c r="R23" s="800"/>
      <c r="S23" s="800"/>
      <c r="T23" s="800"/>
      <c r="U23" s="800"/>
      <c r="V23" s="800"/>
      <c r="W23" s="800"/>
      <c r="X23" s="800"/>
      <c r="Y23" s="800"/>
    </row>
    <row r="24" spans="1:25" ht="18" customHeight="1">
      <c r="A24" s="1010" t="s">
        <v>2072</v>
      </c>
      <c r="B24" s="658" t="s">
        <v>2073</v>
      </c>
      <c r="C24" s="127"/>
      <c r="D24" s="706" t="str">
        <f>IF(F25&lt;=1,"单利计息。","复利计息。")&amp;"建造成本、管理费用、销售费用产生的利息。"</f>
        <v>复利计息。建造成本、管理费用、销售费用产生的利息。</v>
      </c>
      <c r="E24" s="129"/>
      <c r="F24" s="701"/>
      <c r="G24" s="837"/>
      <c r="H24" s="1376" t="s">
        <v>881</v>
      </c>
      <c r="I24" s="658" t="s">
        <v>2074</v>
      </c>
      <c r="J24" s="127">
        <f ca="1">ROUND(J16*M24,0)</f>
        <v>0</v>
      </c>
      <c r="K24" s="724" t="s">
        <v>2075</v>
      </c>
      <c r="L24" s="658" t="s">
        <v>2046</v>
      </c>
      <c r="M24" s="737">
        <f ca="1">INDIRECT("'数据-取费表'!Ak"&amp;$G$1)</f>
        <v>0</v>
      </c>
    </row>
    <row r="25" spans="1:25" s="622" customFormat="1" ht="18" customHeight="1">
      <c r="A25" s="1010" t="s">
        <v>904</v>
      </c>
      <c r="B25" s="658" t="s">
        <v>2076</v>
      </c>
      <c r="C25" s="127">
        <f ca="1">ROUND(IF('数据-取费表'!B22&lt;=1,(C21+C22)*F26*F25/2,(C21+C22)*(POWER((1+F26),F25/2)-1)),0)</f>
        <v>0</v>
      </c>
      <c r="D25" s="707" t="str">
        <f>IF(F25&lt;=1,"(建造成本+管理费用)×利率×(建设周期÷2)","(建造成本+管理费用)×((1+利率)^(建设周期÷2)-1)")</f>
        <v>(建造成本+管理费用)×((1+利率)^(建设周期÷2)-1)</v>
      </c>
      <c r="E25" s="658" t="s">
        <v>2077</v>
      </c>
      <c r="F25" s="708">
        <f>'数据-取费表'!B20</f>
        <v>2</v>
      </c>
      <c r="G25" s="1373"/>
      <c r="H25" s="1010" t="s">
        <v>2067</v>
      </c>
      <c r="I25" s="658" t="s">
        <v>2078</v>
      </c>
      <c r="J25" s="127">
        <f ca="1">ROUND(J15*M25,0)</f>
        <v>0</v>
      </c>
      <c r="K25" s="724" t="s">
        <v>2079</v>
      </c>
      <c r="L25" s="658" t="s">
        <v>2046</v>
      </c>
      <c r="M25" s="738">
        <f ca="1">INDIRECT("'数据-取费表'!Al"&amp;$G$1)</f>
        <v>0</v>
      </c>
      <c r="N25" s="800"/>
      <c r="O25" s="800"/>
      <c r="P25" s="800"/>
      <c r="Q25" s="800"/>
      <c r="R25" s="800"/>
      <c r="S25" s="800"/>
      <c r="T25" s="800"/>
      <c r="U25" s="800"/>
      <c r="V25" s="800"/>
      <c r="W25" s="800"/>
      <c r="X25" s="800"/>
      <c r="Y25" s="800"/>
    </row>
    <row r="26" spans="1:25" s="622" customFormat="1" ht="18" customHeight="1">
      <c r="A26" s="1010" t="s">
        <v>958</v>
      </c>
      <c r="B26" s="658" t="s">
        <v>2080</v>
      </c>
      <c r="C26" s="127">
        <f ca="1">ROUND(IF('数据-取费表'!B22&lt;=1,F23*F26*F25/2,F23*(POWER((1+F26),F25/2)-1)),4)</f>
        <v>5.0000000000000001E-4</v>
      </c>
      <c r="D26" s="707" t="str">
        <f>IF(F25&lt;=1,"销售费用×利率×(建设周期÷2)","销售费用×((1+利率)^(建设周期÷2)-1)")</f>
        <v>销售费用×((1+利率)^(建设周期÷2)-1)</v>
      </c>
      <c r="E26" s="658" t="s">
        <v>2081</v>
      </c>
      <c r="F26" s="709">
        <f ca="1">'数据-取费表'!B40</f>
        <v>3.4500000000000003E-2</v>
      </c>
      <c r="G26" s="1373"/>
      <c r="H26" s="1010" t="s">
        <v>2072</v>
      </c>
      <c r="I26" s="658" t="s">
        <v>2062</v>
      </c>
      <c r="J26" s="127">
        <f ca="1">ROUND(J7*M26,0)</f>
        <v>0</v>
      </c>
      <c r="K26" s="724" t="s">
        <v>2082</v>
      </c>
      <c r="L26" s="658" t="s">
        <v>2046</v>
      </c>
      <c r="M26" s="667">
        <f ca="1">INDIRECT("'数据-取费表'!Am"&amp;$G$1)</f>
        <v>0</v>
      </c>
      <c r="N26" s="800"/>
      <c r="O26" s="800"/>
      <c r="P26" s="800"/>
      <c r="Q26" s="800"/>
      <c r="R26" s="800"/>
      <c r="S26" s="800"/>
      <c r="T26" s="800"/>
      <c r="U26" s="800"/>
      <c r="V26" s="800"/>
      <c r="W26" s="800"/>
      <c r="X26" s="800"/>
      <c r="Y26" s="800"/>
    </row>
    <row r="27" spans="1:25" ht="18" customHeight="1">
      <c r="A27" s="1010" t="s">
        <v>2083</v>
      </c>
      <c r="B27" s="658" t="s">
        <v>2084</v>
      </c>
      <c r="C27" s="127"/>
      <c r="D27" s="702" t="s">
        <v>2085</v>
      </c>
      <c r="E27" s="129"/>
      <c r="F27" s="701"/>
      <c r="G27" s="837"/>
      <c r="H27" s="775" t="s">
        <v>893</v>
      </c>
      <c r="I27" s="886" t="s">
        <v>2086</v>
      </c>
      <c r="J27" s="126">
        <f ca="1">J7-J18</f>
        <v>0</v>
      </c>
      <c r="K27" s="693" t="s">
        <v>2087</v>
      </c>
      <c r="L27" s="887"/>
      <c r="M27" s="888"/>
    </row>
    <row r="28" spans="1:25" ht="18" customHeight="1">
      <c r="A28" s="1010" t="s">
        <v>904</v>
      </c>
      <c r="B28" s="658" t="s">
        <v>2088</v>
      </c>
      <c r="C28" s="127">
        <f ca="1">ROUND((C21+C22)*F28,0)</f>
        <v>0</v>
      </c>
      <c r="D28" s="703" t="s">
        <v>2089</v>
      </c>
      <c r="E28" s="711" t="s">
        <v>2090</v>
      </c>
      <c r="F28" s="667">
        <f ca="1">INDIRECT("'数据-取费表'!q"&amp;$G$1)</f>
        <v>0</v>
      </c>
      <c r="G28" s="837"/>
      <c r="H28" s="649" t="s">
        <v>918</v>
      </c>
      <c r="I28" s="650" t="s">
        <v>2091</v>
      </c>
      <c r="J28" s="656">
        <f ca="1">IF(J7&lt;&gt;0,ROUND(J27*(1-((1+M30)/(1+M28))^M29)/(M28-M30),0),0)</f>
        <v>0</v>
      </c>
      <c r="K28" s="732" t="s">
        <v>2092</v>
      </c>
      <c r="L28" s="658" t="s">
        <v>2093</v>
      </c>
      <c r="M28" s="667">
        <f ca="1">INDIRECT("'数据-取费表'!I"&amp;$G$1)</f>
        <v>0</v>
      </c>
    </row>
    <row r="29" spans="1:25" ht="18" customHeight="1">
      <c r="A29" s="1010" t="s">
        <v>958</v>
      </c>
      <c r="B29" s="658" t="s">
        <v>2094</v>
      </c>
      <c r="C29" s="127">
        <f ca="1">ROUND(F23*F28,4)</f>
        <v>0</v>
      </c>
      <c r="D29" s="703" t="s">
        <v>2095</v>
      </c>
      <c r="E29" s="697"/>
      <c r="F29" s="698"/>
      <c r="G29" s="837"/>
      <c r="H29" s="666"/>
      <c r="I29" s="744"/>
      <c r="J29" s="662"/>
      <c r="K29" s="745" t="s">
        <v>2096</v>
      </c>
      <c r="L29" s="658" t="s">
        <v>2097</v>
      </c>
      <c r="M29" s="746">
        <f ca="1">INDIRECT("'数据-取费表'!ag"&amp;$G$1)</f>
        <v>0</v>
      </c>
    </row>
    <row r="30" spans="1:25" s="622" customFormat="1" ht="18" customHeight="1">
      <c r="A30" s="1010" t="s">
        <v>2098</v>
      </c>
      <c r="B30" s="658" t="s">
        <v>2099</v>
      </c>
      <c r="C30" s="127">
        <f>ROUND(F30/(1+'数据-取费表'!C42),4)</f>
        <v>5.2400000000000002E-2</v>
      </c>
      <c r="D30" s="703" t="s">
        <v>2100</v>
      </c>
      <c r="E30" s="658" t="s">
        <v>2046</v>
      </c>
      <c r="F30" s="700">
        <f>'数据-取费表'!B41</f>
        <v>5.5E-2</v>
      </c>
      <c r="G30" s="1373"/>
      <c r="H30" s="674"/>
      <c r="I30" s="748"/>
      <c r="J30" s="688"/>
      <c r="K30" s="736"/>
      <c r="L30" s="658" t="s">
        <v>2101</v>
      </c>
      <c r="M30" s="667">
        <f ca="1">INDIRECT("'数据-取费表'!aa"&amp;$G$1)</f>
        <v>0</v>
      </c>
      <c r="N30" s="800"/>
      <c r="O30" s="800"/>
      <c r="P30" s="800"/>
      <c r="Q30" s="800"/>
      <c r="R30" s="800"/>
      <c r="S30" s="800"/>
      <c r="T30" s="800"/>
      <c r="U30" s="800"/>
      <c r="V30" s="800"/>
      <c r="W30" s="800"/>
      <c r="X30" s="800"/>
      <c r="Y30" s="800"/>
    </row>
    <row r="31" spans="1:25" s="622" customFormat="1" ht="18" customHeight="1">
      <c r="A31" s="1377" t="s">
        <v>2102</v>
      </c>
      <c r="B31" s="683" t="s">
        <v>2103</v>
      </c>
      <c r="C31" s="715">
        <f ca="1">ROUND((C21+C22+C25+C28)/(1-F23-C26-C29-C30),0)</f>
        <v>0</v>
      </c>
      <c r="D31" s="716"/>
      <c r="E31" s="717"/>
      <c r="F31" s="718"/>
      <c r="G31" s="1373"/>
      <c r="H31" s="719" t="s">
        <v>1193</v>
      </c>
      <c r="I31" s="1408" t="s">
        <v>2104</v>
      </c>
      <c r="J31" s="750">
        <f ca="1">ROUND(J28/(1+F45)^F46,0)</f>
        <v>0</v>
      </c>
      <c r="K31" s="751" t="s">
        <v>2105</v>
      </c>
      <c r="L31" s="752"/>
      <c r="M31" s="753">
        <f ca="1">INDIRECT("'数据-取费表'!k"&amp;$G$1)</f>
        <v>0</v>
      </c>
      <c r="N31" s="800"/>
      <c r="O31" s="800"/>
      <c r="P31" s="800"/>
      <c r="Q31" s="800"/>
      <c r="R31" s="800"/>
      <c r="S31" s="800"/>
      <c r="T31" s="800"/>
      <c r="U31" s="800"/>
      <c r="V31" s="800"/>
      <c r="W31" s="800"/>
      <c r="X31" s="800"/>
      <c r="Y31" s="800"/>
    </row>
    <row r="32" spans="1:25" ht="18" customHeight="1">
      <c r="A32" s="686" t="s">
        <v>2106</v>
      </c>
      <c r="B32" s="687" t="s">
        <v>2107</v>
      </c>
      <c r="C32" s="688">
        <f ca="1">ROUND(C33+C38+C39+C40,0)</f>
        <v>0</v>
      </c>
      <c r="D32" s="720" t="s">
        <v>2048</v>
      </c>
      <c r="E32" s="721"/>
      <c r="F32" s="654"/>
      <c r="G32" s="648"/>
      <c r="H32" s="722"/>
      <c r="I32" s="801"/>
      <c r="J32" s="802"/>
      <c r="K32" s="803"/>
      <c r="L32" s="804"/>
      <c r="M32" s="805"/>
    </row>
    <row r="33" spans="1:18" ht="18" customHeight="1">
      <c r="A33" s="1010" t="s">
        <v>879</v>
      </c>
      <c r="B33" s="658" t="s">
        <v>2052</v>
      </c>
      <c r="C33" s="723">
        <f ca="1">ROUND(IF(AND(项目基本情况!B11="自然人",项目基本情况!B10="北京市"),C8*F33/(1+'数据-取费表'!C42),C34+C35+C36),2)</f>
        <v>0</v>
      </c>
      <c r="D33" s="693" t="s">
        <v>2053</v>
      </c>
      <c r="E33" s="724" t="s">
        <v>2054</v>
      </c>
      <c r="F33" s="725" t="str">
        <f>IF(项目基本情况!B11="企业","——",IF(M48="住宅",IF(F8*F9*F10/12/(1+'数据-取费表'!F30)&gt;100000,4%,2.5%),IF(F8*F9*F10/12/(1+'数据-取费表'!F30)&gt;100000,12%,7%)))</f>
        <v>——</v>
      </c>
      <c r="G33" s="648"/>
      <c r="H33" s="726" t="s">
        <v>2108</v>
      </c>
      <c r="I33" s="801"/>
      <c r="J33" s="802"/>
      <c r="K33" s="803"/>
      <c r="L33" s="804"/>
      <c r="M33" s="805"/>
    </row>
    <row r="34" spans="1:18" ht="18" customHeight="1">
      <c r="A34" s="1010" t="s">
        <v>904</v>
      </c>
      <c r="B34" s="658" t="s">
        <v>2055</v>
      </c>
      <c r="C34" s="127">
        <f ca="1">ROUND(C8*F34/(1+'数据-取费表'!C42),2)</f>
        <v>0</v>
      </c>
      <c r="D34" s="724" t="s">
        <v>2056</v>
      </c>
      <c r="E34" s="658" t="s">
        <v>2046</v>
      </c>
      <c r="F34" s="700">
        <f>'数据-取费表'!B41</f>
        <v>5.5E-2</v>
      </c>
      <c r="G34" s="648"/>
      <c r="H34" s="727"/>
      <c r="I34" s="806"/>
      <c r="J34" s="807"/>
      <c r="K34" s="808"/>
      <c r="L34" s="809"/>
      <c r="M34" s="810"/>
    </row>
    <row r="35" spans="1:18" ht="18" customHeight="1">
      <c r="A35" s="1010" t="s">
        <v>958</v>
      </c>
      <c r="B35" s="658" t="s">
        <v>2059</v>
      </c>
      <c r="C35" s="127">
        <f ca="1">IF(D35="按租金收入计税",ROUND(C8*F35/(1+'数据-取费表'!C42),2),IF(D35="按房产原值计税",ROUND(C31*F35*0.7,2),INDIRECT("'数据-取费表'!Aj"&amp;$G$1)))</f>
        <v>0</v>
      </c>
      <c r="D35" s="728" t="s">
        <v>2060</v>
      </c>
      <c r="E35" s="658" t="s">
        <v>2046</v>
      </c>
      <c r="F35" s="700">
        <f>IF(D35="按租金收入计税",'数据-取费表'!B51,'数据-取费表'!B50)</f>
        <v>0.12</v>
      </c>
      <c r="G35" s="648"/>
      <c r="H35" s="729"/>
      <c r="I35" s="729"/>
      <c r="J35" s="729"/>
      <c r="K35" s="811"/>
      <c r="L35" s="729"/>
      <c r="M35" s="729"/>
    </row>
    <row r="36" spans="1:18" ht="18" customHeight="1">
      <c r="A36" s="1378" t="s">
        <v>911</v>
      </c>
      <c r="B36" s="730" t="s">
        <v>2064</v>
      </c>
      <c r="C36" s="731">
        <f ca="1">ROUND(F36*F37/10000,2)</f>
        <v>0</v>
      </c>
      <c r="D36" s="732" t="s">
        <v>2065</v>
      </c>
      <c r="E36" s="658" t="s">
        <v>2066</v>
      </c>
      <c r="F36" s="708">
        <f>'数据-取费表'!B52</f>
        <v>1.5</v>
      </c>
      <c r="G36" s="648"/>
      <c r="H36" s="722"/>
      <c r="I36" s="3951"/>
      <c r="J36" s="815"/>
      <c r="K36" s="814"/>
      <c r="L36" s="815"/>
      <c r="M36" s="815"/>
    </row>
    <row r="37" spans="1:18" ht="18" customHeight="1">
      <c r="A37" s="733"/>
      <c r="B37" s="734"/>
      <c r="C37" s="735"/>
      <c r="D37" s="736"/>
      <c r="E37" s="658" t="s">
        <v>2071</v>
      </c>
      <c r="F37" s="659">
        <f ca="1">INDIRECT("'数据-取费表'!r"&amp;$G$1)</f>
        <v>0</v>
      </c>
      <c r="G37" s="648"/>
      <c r="H37" s="722"/>
      <c r="I37" s="3951"/>
      <c r="J37" s="729"/>
      <c r="K37" s="811"/>
      <c r="L37" s="729"/>
      <c r="M37" s="729"/>
    </row>
    <row r="38" spans="1:18" ht="18" customHeight="1">
      <c r="A38" s="1010" t="s">
        <v>2061</v>
      </c>
      <c r="B38" s="658" t="s">
        <v>2074</v>
      </c>
      <c r="C38" s="127">
        <f ca="1">ROUND(C31*F38,2)</f>
        <v>0</v>
      </c>
      <c r="D38" s="724" t="s">
        <v>2109</v>
      </c>
      <c r="E38" s="658" t="s">
        <v>2046</v>
      </c>
      <c r="F38" s="737">
        <f ca="1">INDIRECT("'数据-取费表'!Ak"&amp;$G$1)</f>
        <v>0</v>
      </c>
      <c r="G38" s="648"/>
      <c r="H38" s="729"/>
      <c r="I38" s="1409"/>
      <c r="J38" s="747"/>
      <c r="K38" s="820"/>
      <c r="L38" s="729"/>
      <c r="M38" s="729"/>
    </row>
    <row r="39" spans="1:18" ht="18" customHeight="1">
      <c r="A39" s="1010" t="s">
        <v>2067</v>
      </c>
      <c r="B39" s="658" t="s">
        <v>2078</v>
      </c>
      <c r="C39" s="127">
        <f ca="1">ROUND(C15*F39,2)</f>
        <v>0</v>
      </c>
      <c r="D39" s="724" t="s">
        <v>2079</v>
      </c>
      <c r="E39" s="658" t="s">
        <v>2046</v>
      </c>
      <c r="F39" s="738">
        <f ca="1">INDIRECT("'数据-取费表'!Al"&amp;$G$1)</f>
        <v>0</v>
      </c>
      <c r="G39" s="648"/>
      <c r="H39" s="729"/>
      <c r="I39" s="1409"/>
      <c r="J39" s="747"/>
      <c r="K39" s="820"/>
      <c r="L39" s="729"/>
      <c r="M39" s="729"/>
    </row>
    <row r="40" spans="1:18" ht="18" customHeight="1">
      <c r="A40" s="1377" t="s">
        <v>2072</v>
      </c>
      <c r="B40" s="717" t="s">
        <v>2062</v>
      </c>
      <c r="C40" s="715">
        <f ca="1">ROUND(C7*F40,2)</f>
        <v>0</v>
      </c>
      <c r="D40" s="716" t="s">
        <v>2082</v>
      </c>
      <c r="E40" s="717" t="s">
        <v>2046</v>
      </c>
      <c r="F40" s="684">
        <f ca="1">INDIRECT("'数据-取费表'!Am"&amp;$G$1)</f>
        <v>0</v>
      </c>
      <c r="G40" s="648"/>
      <c r="H40" s="729"/>
      <c r="I40" s="1409"/>
      <c r="J40" s="747"/>
      <c r="K40" s="825"/>
      <c r="L40" s="729"/>
      <c r="M40" s="729"/>
    </row>
    <row r="41" spans="1:18" ht="18" customHeight="1">
      <c r="A41" s="686">
        <v>4</v>
      </c>
      <c r="B41" s="687" t="s">
        <v>2110</v>
      </c>
      <c r="C41" s="1379"/>
      <c r="D41" s="1380"/>
      <c r="E41" s="1380"/>
      <c r="F41" s="1381"/>
      <c r="G41" s="648"/>
      <c r="H41" s="648"/>
      <c r="I41" s="648"/>
      <c r="J41" s="648"/>
      <c r="K41" s="825"/>
      <c r="L41" s="648"/>
      <c r="M41" s="648"/>
    </row>
    <row r="42" spans="1:18" ht="18" customHeight="1">
      <c r="A42" s="1010" t="s">
        <v>879</v>
      </c>
      <c r="B42" s="812" t="s">
        <v>2111</v>
      </c>
      <c r="C42" s="1382">
        <f ca="1">C7-C32</f>
        <v>0</v>
      </c>
      <c r="D42" s="693" t="s">
        <v>2112</v>
      </c>
      <c r="E42" s="887"/>
      <c r="F42" s="888"/>
      <c r="G42" s="648"/>
      <c r="H42" s="648"/>
      <c r="I42" s="648"/>
      <c r="J42" s="648"/>
      <c r="K42" s="825"/>
      <c r="L42" s="648"/>
      <c r="M42" s="648"/>
    </row>
    <row r="43" spans="1:18" ht="18" customHeight="1">
      <c r="A43" s="1010" t="s">
        <v>2061</v>
      </c>
      <c r="B43" s="812" t="s">
        <v>2113</v>
      </c>
      <c r="C43" s="813">
        <f ca="1">ROUND(C15*F43,0)</f>
        <v>0</v>
      </c>
      <c r="D43" s="1383" t="s">
        <v>2114</v>
      </c>
      <c r="E43" s="1384" t="s">
        <v>2115</v>
      </c>
      <c r="F43" s="1385">
        <f ca="1">INDIRECT("'数据-取费表'!j"&amp;$G$1)</f>
        <v>0</v>
      </c>
      <c r="G43" s="648"/>
      <c r="H43" s="648"/>
      <c r="I43" s="648"/>
      <c r="J43" s="648"/>
      <c r="K43" s="825"/>
      <c r="L43" s="648"/>
      <c r="M43" s="648"/>
    </row>
    <row r="44" spans="1:18" ht="18" customHeight="1">
      <c r="A44" s="1010" t="s">
        <v>2067</v>
      </c>
      <c r="B44" s="812" t="s">
        <v>2116</v>
      </c>
      <c r="C44" s="1386">
        <f ca="1">C42-C43</f>
        <v>0</v>
      </c>
      <c r="D44" s="1387" t="s">
        <v>2117</v>
      </c>
      <c r="E44" s="1388"/>
      <c r="F44" s="1389"/>
      <c r="G44" s="648"/>
      <c r="H44" s="648"/>
      <c r="I44" s="648"/>
      <c r="J44" s="648"/>
      <c r="K44" s="825"/>
      <c r="L44" s="648"/>
      <c r="M44" s="648"/>
    </row>
    <row r="45" spans="1:18" ht="18" customHeight="1">
      <c r="A45" s="1010" t="s">
        <v>2072</v>
      </c>
      <c r="B45" s="1383" t="s">
        <v>2118</v>
      </c>
      <c r="C45" s="1390">
        <f ca="1">ROUND(-PV(F45,F46,C44,0),0)</f>
        <v>0</v>
      </c>
      <c r="D45" s="1391" t="s">
        <v>2119</v>
      </c>
      <c r="E45" s="697" t="s">
        <v>2120</v>
      </c>
      <c r="F45" s="1392">
        <f ca="1">INDIRECT("'数据-取费表'!h"&amp;$G$1)</f>
        <v>0</v>
      </c>
      <c r="G45" s="648"/>
      <c r="H45" s="648"/>
      <c r="I45" s="648"/>
      <c r="J45" s="648"/>
      <c r="K45" s="825"/>
      <c r="L45" s="648"/>
      <c r="M45" s="648"/>
    </row>
    <row r="46" spans="1:18" ht="18" customHeight="1">
      <c r="A46" s="1393"/>
      <c r="B46" s="1394"/>
      <c r="C46" s="1395"/>
      <c r="D46" s="1396"/>
      <c r="E46" s="1397" t="s">
        <v>2121</v>
      </c>
      <c r="F46" s="753">
        <f ca="1">IF(INDIRECT("'数据-取费表'!af"&amp;$G$1)=0,INDIRECT("'数据-取费表'!ae"&amp;$G$1),INDIRECT("'数据-取费表'!af"&amp;$G$1))</f>
        <v>0</v>
      </c>
      <c r="G46" s="648"/>
      <c r="H46" s="648"/>
      <c r="I46" s="648"/>
      <c r="J46" s="648"/>
      <c r="K46" s="825"/>
      <c r="L46" s="648"/>
      <c r="M46" s="648"/>
    </row>
    <row r="47" spans="1:18" s="623" customFormat="1" ht="18" customHeight="1">
      <c r="A47" s="1398"/>
      <c r="D47" s="754"/>
      <c r="E47" s="754"/>
      <c r="F47" s="754"/>
      <c r="I47" s="831" t="s">
        <v>2122</v>
      </c>
      <c r="J47" s="832"/>
      <c r="K47" s="833"/>
      <c r="L47" s="834" t="e">
        <f ca="1">IF(M48="住宅",0,IF(L49&gt;J52,L61,J61))</f>
        <v>#DIV/0!</v>
      </c>
      <c r="O47" s="836" t="s">
        <v>2123</v>
      </c>
      <c r="P47" s="837"/>
      <c r="Q47" s="842"/>
      <c r="R47" s="837"/>
    </row>
    <row r="48" spans="1:18" s="623" customFormat="1" ht="18" customHeight="1">
      <c r="A48" s="1398"/>
      <c r="C48" s="1399"/>
      <c r="D48" s="1400"/>
      <c r="E48" s="1400"/>
      <c r="F48" s="1401"/>
      <c r="G48" s="770"/>
      <c r="I48" s="838" t="s">
        <v>2124</v>
      </c>
      <c r="J48" s="839"/>
      <c r="K48" s="840" t="s">
        <v>2125</v>
      </c>
      <c r="L48" s="841">
        <f ca="1">INDIRECT("'数据-取费表'!d"&amp;$G$1)</f>
        <v>0</v>
      </c>
      <c r="M48" s="1410" t="str">
        <f>IF(ISNUMBER(FIND("住宅",C1)),"住宅","非住宅")</f>
        <v>非住宅</v>
      </c>
      <c r="O48" s="843" t="s">
        <v>1354</v>
      </c>
      <c r="P48" s="844" t="s">
        <v>2126</v>
      </c>
      <c r="Q48" s="882" t="s">
        <v>2127</v>
      </c>
      <c r="R48" s="844" t="s">
        <v>2128</v>
      </c>
    </row>
    <row r="49" spans="1:18" s="623" customFormat="1" ht="18" customHeight="1">
      <c r="A49" s="1398"/>
      <c r="D49" s="1402"/>
      <c r="E49" s="1403"/>
      <c r="F49" s="1401"/>
      <c r="G49" s="770"/>
      <c r="H49" s="771"/>
      <c r="I49" s="845" t="s">
        <v>2129</v>
      </c>
      <c r="J49" s="846"/>
      <c r="K49" s="847" t="s">
        <v>359</v>
      </c>
      <c r="L49" s="848">
        <f ca="1">INDIRECT("'数据-取费表'!f"&amp;$G$1)</f>
        <v>0</v>
      </c>
      <c r="O49" s="849" t="s">
        <v>2130</v>
      </c>
      <c r="P49" s="850" t="s">
        <v>2131</v>
      </c>
      <c r="Q49" s="883">
        <f ca="1">C41+J31</f>
        <v>0</v>
      </c>
      <c r="R49" s="850" t="s">
        <v>2132</v>
      </c>
    </row>
    <row r="50" spans="1:18" s="623" customFormat="1" ht="18" customHeight="1">
      <c r="A50" s="1398"/>
      <c r="D50" s="1404"/>
      <c r="E50" s="1404"/>
      <c r="F50" s="1400"/>
      <c r="G50" s="772"/>
      <c r="H50" s="771"/>
      <c r="I50" s="845" t="s">
        <v>2133</v>
      </c>
      <c r="J50" s="851"/>
      <c r="K50" s="852" t="s">
        <v>2134</v>
      </c>
      <c r="L50" s="853"/>
      <c r="O50" s="849" t="s">
        <v>2135</v>
      </c>
      <c r="P50" s="850" t="s">
        <v>2136</v>
      </c>
      <c r="Q50" s="883" t="e">
        <f ca="1">J61</f>
        <v>#DIV/0!</v>
      </c>
      <c r="R50" s="850" t="s">
        <v>2137</v>
      </c>
    </row>
    <row r="51" spans="1:18" s="623" customFormat="1" ht="18" customHeight="1">
      <c r="A51" s="1405"/>
      <c r="D51" s="1404"/>
      <c r="E51" s="1404"/>
      <c r="F51" s="754"/>
      <c r="H51" s="771"/>
      <c r="I51" s="845" t="s">
        <v>2138</v>
      </c>
      <c r="J51" s="854">
        <f>SUMPRODUCT((I64:I66=J48)*(J63:L63=J49)*(J64:L66))</f>
        <v>0</v>
      </c>
      <c r="K51" s="852" t="s">
        <v>2139</v>
      </c>
      <c r="L51" s="853"/>
      <c r="O51" s="855" t="s">
        <v>2140</v>
      </c>
      <c r="P51" s="850" t="s">
        <v>2141</v>
      </c>
      <c r="Q51" s="883">
        <f ca="1">C31</f>
        <v>0</v>
      </c>
      <c r="R51" s="850" t="s">
        <v>2132</v>
      </c>
    </row>
    <row r="52" spans="1:18" s="623" customFormat="1" ht="18" customHeight="1">
      <c r="A52" s="1405"/>
      <c r="F52" s="754"/>
      <c r="I52" s="856" t="s">
        <v>2142</v>
      </c>
      <c r="J52" s="857">
        <f>IF(J50="",J51,J50+J51-YEAR('数据-取费表'!B3))</f>
        <v>0</v>
      </c>
      <c r="K52" s="845" t="s">
        <v>2143</v>
      </c>
      <c r="L52" s="858">
        <f ca="1">C45</f>
        <v>0</v>
      </c>
      <c r="O52" s="855" t="s">
        <v>2144</v>
      </c>
      <c r="P52" s="850" t="s">
        <v>2145</v>
      </c>
      <c r="Q52" s="884" t="e">
        <f ca="1">J59</f>
        <v>#DIV/0!</v>
      </c>
      <c r="R52" s="885"/>
    </row>
    <row r="53" spans="1:18" s="623" customFormat="1" ht="18" customHeight="1">
      <c r="A53" s="1405"/>
      <c r="F53" s="754"/>
      <c r="I53" s="859" t="s">
        <v>2146</v>
      </c>
      <c r="J53" s="860"/>
      <c r="K53" s="859" t="s">
        <v>1183</v>
      </c>
      <c r="L53" s="860"/>
      <c r="O53" s="855" t="s">
        <v>2147</v>
      </c>
      <c r="P53" s="850" t="s">
        <v>2148</v>
      </c>
      <c r="Q53" s="884">
        <f>J53</f>
        <v>0</v>
      </c>
      <c r="R53" s="885"/>
    </row>
    <row r="54" spans="1:18" s="623" customFormat="1" ht="28.5">
      <c r="A54" s="1405"/>
      <c r="I54" s="861" t="s">
        <v>2149</v>
      </c>
      <c r="J54" s="862">
        <f ca="1">IF(M48="住宅",MAX(J52,L49-'数据-取费表'!B20),MIN(J52,L49-'数据-取费表'!B20))</f>
        <v>-2</v>
      </c>
      <c r="K54" s="3945"/>
      <c r="L54" s="3946"/>
      <c r="O54" s="855" t="s">
        <v>2150</v>
      </c>
      <c r="P54" s="850" t="s">
        <v>2151</v>
      </c>
      <c r="Q54" s="883">
        <f ca="1">J54</f>
        <v>-2</v>
      </c>
      <c r="R54" s="850" t="s">
        <v>2152</v>
      </c>
    </row>
    <row r="55" spans="1:18" s="623" customFormat="1" ht="18" customHeight="1">
      <c r="A55" s="1405"/>
      <c r="I55" s="14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1"/>
      <c r="K55" s="1412"/>
      <c r="O55" s="849" t="s">
        <v>2153</v>
      </c>
      <c r="P55" s="850" t="s">
        <v>2154</v>
      </c>
      <c r="Q55" s="883" t="e">
        <f ca="1">Q49+Q50</f>
        <v>#DIV/0!</v>
      </c>
      <c r="R55" s="885" t="s">
        <v>2155</v>
      </c>
    </row>
    <row r="56" spans="1:18" s="623" customFormat="1" ht="15.75">
      <c r="A56" s="1405"/>
      <c r="B56" s="627"/>
      <c r="C56" s="627"/>
      <c r="I56" s="863" t="s">
        <v>2156</v>
      </c>
      <c r="J56" s="864" t="e">
        <f ca="1">ROUND(IF(J48="钢混",J58/J51,1-(1-2%)*(J51-J58)/J51),3)</f>
        <v>#DIV/0!</v>
      </c>
      <c r="K56" s="865" t="s">
        <v>2157</v>
      </c>
      <c r="L56" s="866"/>
      <c r="O56" s="867" t="s">
        <v>2158</v>
      </c>
      <c r="P56" s="837"/>
      <c r="Q56" s="842"/>
      <c r="R56" s="837"/>
    </row>
    <row r="57" spans="1:18" s="623" customFormat="1" ht="42.75">
      <c r="A57" s="1405"/>
      <c r="B57" s="627"/>
      <c r="C57" s="627"/>
      <c r="I57" s="868" t="s">
        <v>2159</v>
      </c>
      <c r="J57" s="869"/>
      <c r="K57" s="845" t="s">
        <v>2160</v>
      </c>
      <c r="L57" s="848">
        <f ca="1">IF(L49&lt;J52,"——",L49-J52)</f>
        <v>0</v>
      </c>
      <c r="O57" s="843" t="s">
        <v>1354</v>
      </c>
      <c r="P57" s="844" t="s">
        <v>2126</v>
      </c>
      <c r="Q57" s="882" t="s">
        <v>2127</v>
      </c>
      <c r="R57" s="844" t="s">
        <v>2128</v>
      </c>
    </row>
    <row r="58" spans="1:18" s="623" customFormat="1" ht="28.5">
      <c r="A58" s="1405"/>
      <c r="B58" s="627"/>
      <c r="C58" s="627"/>
      <c r="I58" s="870" t="s">
        <v>2161</v>
      </c>
      <c r="J58" s="871">
        <f ca="1">IF(OR(M48="住宅",J52&lt;L49,J57="是"),"——",J52-L49)</f>
        <v>0</v>
      </c>
      <c r="K58" s="845" t="s">
        <v>2162</v>
      </c>
      <c r="L58" s="848">
        <f ca="1">IF(L49&lt;J52,"——",IF(L56="比较法",L50,IF(L56="基准地价",L51,L52)))</f>
        <v>0</v>
      </c>
      <c r="O58" s="849" t="s">
        <v>2130</v>
      </c>
      <c r="P58" s="850" t="s">
        <v>2131</v>
      </c>
      <c r="Q58" s="883">
        <f ca="1">C41+J31</f>
        <v>0</v>
      </c>
      <c r="R58" s="850" t="s">
        <v>2132</v>
      </c>
    </row>
    <row r="59" spans="1:18" s="623" customFormat="1" ht="28.5">
      <c r="A59" s="1405"/>
      <c r="B59" s="627"/>
      <c r="C59" s="627"/>
      <c r="I59" s="870" t="s">
        <v>2163</v>
      </c>
      <c r="J59" s="872" t="e">
        <f ca="1">IF(J56&lt;0.4,0.4,J56)</f>
        <v>#DIV/0!</v>
      </c>
      <c r="K59" s="845" t="s">
        <v>2164</v>
      </c>
      <c r="L59" s="848">
        <f ca="1">IF(ISERROR(POWER(1+L53,L48-L49)*(POWER(1+L53,L49)-1)/(POWER(1+L53,L48)-1)),0,POWER(1+L53,L48-L49)*(POWER(1+L53,L49)-1)/(POWER(1+L53,L48)-1))</f>
        <v>0</v>
      </c>
      <c r="O59" s="849" t="s">
        <v>2135</v>
      </c>
      <c r="P59" s="850" t="s">
        <v>2165</v>
      </c>
      <c r="Q59" s="883" t="e">
        <f ca="1">L61</f>
        <v>#DIV/0!</v>
      </c>
      <c r="R59" s="885" t="s">
        <v>2166</v>
      </c>
    </row>
    <row r="60" spans="1:18" s="623" customFormat="1" ht="28.5">
      <c r="A60" s="1405"/>
      <c r="B60" s="627"/>
      <c r="C60" s="627"/>
      <c r="I60" s="870" t="s">
        <v>2167</v>
      </c>
      <c r="J60" s="871" t="e">
        <f ca="1">IF(OR(M48="住宅",J52&lt;L49,J57="是"),"——",ROUND(C30*J59,0))</f>
        <v>#DIV/0!</v>
      </c>
      <c r="K60" s="845" t="s">
        <v>2168</v>
      </c>
      <c r="L60" s="848">
        <f ca="1">IF(ISERROR(POWER(1+L53,L48-J52)*(POWER(1+L53,J52)-1)/(POWER(1+L53,L48)-1)),0,POWER(1+L53,L48-J52)*(POWER(1+L53,J52)-1)/(POWER(1+L53,L48)-1))</f>
        <v>0</v>
      </c>
      <c r="O60" s="855" t="s">
        <v>2140</v>
      </c>
      <c r="P60" s="850" t="s">
        <v>2169</v>
      </c>
      <c r="Q60" s="883">
        <f>IF(L56="比较法",L50,IF(L56="基准地价",L51,0))</f>
        <v>0</v>
      </c>
      <c r="R60" s="850" t="s">
        <v>2132</v>
      </c>
    </row>
    <row r="61" spans="1:18" s="623" customFormat="1">
      <c r="A61" s="1405"/>
      <c r="B61" s="627"/>
      <c r="C61" s="627"/>
      <c r="I61" s="873" t="s">
        <v>2170</v>
      </c>
      <c r="J61" s="874" t="e">
        <f ca="1">IF(OR(M48="住宅",J52&lt;L49,J57="是"),"0",ROUND(J60/(1+J53)^J54,0))</f>
        <v>#DIV/0!</v>
      </c>
      <c r="K61" s="875" t="s">
        <v>2171</v>
      </c>
      <c r="L61" s="874" t="e">
        <f ca="1">IF(OR(M48="住宅",L49&lt;J52),0,ROUND(L58*(L59/L60-1),0))</f>
        <v>#DIV/0!</v>
      </c>
      <c r="O61" s="855" t="s">
        <v>2144</v>
      </c>
      <c r="P61" s="850" t="s">
        <v>2172</v>
      </c>
      <c r="Q61" s="884">
        <f>L53</f>
        <v>0</v>
      </c>
      <c r="R61" s="885"/>
    </row>
    <row r="62" spans="1:18" s="623" customFormat="1" ht="19.5">
      <c r="A62" s="1405"/>
      <c r="B62" s="627"/>
      <c r="C62" s="627"/>
      <c r="K62" s="830"/>
      <c r="O62" s="855" t="s">
        <v>2147</v>
      </c>
      <c r="P62" s="850" t="s">
        <v>2173</v>
      </c>
      <c r="Q62" s="883">
        <f ca="1">L59</f>
        <v>0</v>
      </c>
      <c r="R62" s="885" t="s">
        <v>2174</v>
      </c>
    </row>
    <row r="63" spans="1:18" s="623" customFormat="1" ht="19.5">
      <c r="A63" s="1405"/>
      <c r="B63" s="627"/>
      <c r="C63" s="627"/>
      <c r="I63" s="876" t="s">
        <v>2175</v>
      </c>
      <c r="J63" s="877" t="s">
        <v>2176</v>
      </c>
      <c r="K63" s="877" t="s">
        <v>2177</v>
      </c>
      <c r="L63" s="877" t="s">
        <v>2178</v>
      </c>
      <c r="M63" s="878" t="s">
        <v>2179</v>
      </c>
      <c r="O63" s="855" t="s">
        <v>2150</v>
      </c>
      <c r="P63" s="850" t="s">
        <v>2180</v>
      </c>
      <c r="Q63" s="883">
        <f ca="1">L60</f>
        <v>0</v>
      </c>
      <c r="R63" s="885" t="s">
        <v>2181</v>
      </c>
    </row>
    <row r="64" spans="1:18" s="623" customFormat="1">
      <c r="A64" s="1405"/>
      <c r="B64" s="627"/>
      <c r="C64" s="627"/>
      <c r="I64" s="876" t="s">
        <v>2182</v>
      </c>
      <c r="J64" s="877">
        <v>70</v>
      </c>
      <c r="K64" s="877">
        <v>50</v>
      </c>
      <c r="L64" s="877">
        <v>80</v>
      </c>
      <c r="M64" s="879">
        <v>0.02</v>
      </c>
      <c r="O64" s="849" t="s">
        <v>2153</v>
      </c>
      <c r="P64" s="850" t="s">
        <v>2154</v>
      </c>
      <c r="Q64" s="883" t="e">
        <f ca="1">Q58+Q59</f>
        <v>#DIV/0!</v>
      </c>
      <c r="R64" s="885" t="s">
        <v>2155</v>
      </c>
    </row>
    <row r="65" spans="1:18" s="623" customFormat="1" ht="15.75">
      <c r="A65" s="1405"/>
      <c r="B65" s="627"/>
      <c r="C65" s="627"/>
      <c r="I65" s="876" t="s">
        <v>2183</v>
      </c>
      <c r="J65" s="877">
        <v>50</v>
      </c>
      <c r="K65" s="877">
        <v>35</v>
      </c>
      <c r="L65" s="877">
        <v>60</v>
      </c>
      <c r="M65" s="827">
        <v>0</v>
      </c>
      <c r="O65" s="867" t="s">
        <v>2184</v>
      </c>
      <c r="P65" s="837"/>
      <c r="Q65" s="842"/>
      <c r="R65" s="837"/>
    </row>
    <row r="66" spans="1:18" s="623" customFormat="1">
      <c r="A66" s="1405"/>
      <c r="B66" s="627"/>
      <c r="C66" s="627"/>
      <c r="I66" s="876" t="s">
        <v>2185</v>
      </c>
      <c r="J66" s="877">
        <v>40</v>
      </c>
      <c r="K66" s="877">
        <v>30</v>
      </c>
      <c r="L66" s="877">
        <v>50</v>
      </c>
      <c r="M66" s="879">
        <v>0.02</v>
      </c>
      <c r="O66" s="843" t="s">
        <v>1354</v>
      </c>
      <c r="P66" s="844" t="s">
        <v>2126</v>
      </c>
      <c r="Q66" s="882" t="s">
        <v>2127</v>
      </c>
      <c r="R66" s="844" t="s">
        <v>2128</v>
      </c>
    </row>
    <row r="67" spans="1:18" s="623" customFormat="1">
      <c r="A67" s="1405"/>
      <c r="B67" s="627"/>
      <c r="C67" s="627"/>
      <c r="K67" s="830"/>
      <c r="O67" s="849" t="s">
        <v>2130</v>
      </c>
      <c r="P67" s="850" t="s">
        <v>2131</v>
      </c>
      <c r="Q67" s="883">
        <f ca="1">C41+J31</f>
        <v>0</v>
      </c>
      <c r="R67" s="850" t="s">
        <v>2132</v>
      </c>
    </row>
    <row r="68" spans="1:18" s="623" customFormat="1" ht="19.5">
      <c r="A68" s="1405"/>
      <c r="B68" s="627"/>
      <c r="C68" s="627"/>
      <c r="K68" s="830"/>
      <c r="O68" s="849" t="s">
        <v>2135</v>
      </c>
      <c r="P68" s="850" t="s">
        <v>2165</v>
      </c>
      <c r="Q68" s="883" t="e">
        <f ca="1">L61</f>
        <v>#DIV/0!</v>
      </c>
      <c r="R68" s="885" t="s">
        <v>2166</v>
      </c>
    </row>
    <row r="69" spans="1:18" s="623" customFormat="1" ht="21">
      <c r="A69" s="1405"/>
      <c r="B69" s="627"/>
      <c r="C69" s="627"/>
      <c r="K69" s="830"/>
      <c r="O69" s="855" t="s">
        <v>2140</v>
      </c>
      <c r="P69" s="850" t="s">
        <v>2169</v>
      </c>
      <c r="Q69" s="890">
        <f ca="1">L52</f>
        <v>0</v>
      </c>
      <c r="R69" s="891" t="s">
        <v>2186</v>
      </c>
    </row>
    <row r="70" spans="1:18" s="623" customFormat="1" ht="19.5">
      <c r="A70" s="1405"/>
      <c r="B70" s="627"/>
      <c r="C70" s="627"/>
      <c r="K70" s="830"/>
      <c r="O70" s="855" t="s">
        <v>2144</v>
      </c>
      <c r="P70" s="889" t="s">
        <v>2187</v>
      </c>
      <c r="Q70" s="883">
        <f ca="1">ROUND(Q71-Q72*Q73,0)</f>
        <v>0</v>
      </c>
      <c r="R70" s="885"/>
    </row>
    <row r="71" spans="1:18" s="623" customFormat="1">
      <c r="A71" s="1405"/>
      <c r="B71" s="627"/>
      <c r="C71" s="627"/>
      <c r="K71" s="830"/>
      <c r="O71" s="855" t="s">
        <v>2188</v>
      </c>
      <c r="P71" s="889" t="s">
        <v>2189</v>
      </c>
      <c r="Q71" s="883">
        <f ca="1">C42</f>
        <v>0</v>
      </c>
      <c r="R71" s="850" t="s">
        <v>2132</v>
      </c>
    </row>
    <row r="72" spans="1:18" s="623" customFormat="1">
      <c r="A72" s="1405"/>
      <c r="B72" s="627"/>
      <c r="C72" s="627"/>
      <c r="K72" s="830"/>
      <c r="O72" s="855" t="s">
        <v>2190</v>
      </c>
      <c r="P72" s="889" t="s">
        <v>2191</v>
      </c>
      <c r="Q72" s="883">
        <f ca="1">C15</f>
        <v>0</v>
      </c>
      <c r="R72" s="850" t="s">
        <v>2132</v>
      </c>
    </row>
    <row r="73" spans="1:18" s="623" customFormat="1">
      <c r="A73" s="1405"/>
      <c r="B73" s="627"/>
      <c r="C73" s="627"/>
      <c r="K73" s="830"/>
      <c r="O73" s="855" t="s">
        <v>2192</v>
      </c>
      <c r="P73" s="889" t="s">
        <v>2193</v>
      </c>
      <c r="Q73" s="884">
        <f ca="1">F43</f>
        <v>0</v>
      </c>
      <c r="R73" s="885"/>
    </row>
    <row r="74" spans="1:18" s="623" customFormat="1">
      <c r="A74" s="1405"/>
      <c r="B74" s="627"/>
      <c r="C74" s="627"/>
      <c r="K74" s="830"/>
      <c r="O74" s="855" t="s">
        <v>2147</v>
      </c>
      <c r="P74" s="850" t="s">
        <v>2172</v>
      </c>
      <c r="Q74" s="884">
        <f>L53</f>
        <v>0</v>
      </c>
      <c r="R74" s="885"/>
    </row>
    <row r="75" spans="1:18" s="623" customFormat="1" ht="19.5">
      <c r="A75" s="1405"/>
      <c r="B75" s="627"/>
      <c r="C75" s="627"/>
      <c r="K75" s="830"/>
      <c r="O75" s="855" t="s">
        <v>2150</v>
      </c>
      <c r="P75" s="850" t="s">
        <v>2173</v>
      </c>
      <c r="Q75" s="883">
        <f ca="1">L59</f>
        <v>0</v>
      </c>
      <c r="R75" s="885" t="s">
        <v>2174</v>
      </c>
    </row>
    <row r="76" spans="1:18" s="623" customFormat="1" ht="19.5">
      <c r="A76" s="1405"/>
      <c r="B76" s="627"/>
      <c r="C76" s="627"/>
      <c r="K76" s="830"/>
      <c r="O76" s="855" t="s">
        <v>2194</v>
      </c>
      <c r="P76" s="850" t="s">
        <v>2180</v>
      </c>
      <c r="Q76" s="883">
        <f ca="1">L60</f>
        <v>0</v>
      </c>
      <c r="R76" s="885" t="s">
        <v>2181</v>
      </c>
    </row>
    <row r="77" spans="1:18" s="623" customFormat="1">
      <c r="A77" s="1405"/>
      <c r="B77" s="627"/>
      <c r="C77" s="627"/>
      <c r="K77" s="830"/>
      <c r="O77" s="849" t="s">
        <v>2153</v>
      </c>
      <c r="P77" s="850" t="s">
        <v>2154</v>
      </c>
      <c r="Q77" s="883" t="e">
        <f ca="1">Q67+Q68</f>
        <v>#DIV/0!</v>
      </c>
      <c r="R77" s="885" t="s">
        <v>2155</v>
      </c>
    </row>
    <row r="78" spans="1:18" s="623" customFormat="1">
      <c r="A78" s="1405"/>
      <c r="B78" s="627"/>
      <c r="C78" s="627"/>
      <c r="K78" s="830"/>
    </row>
    <row r="79" spans="1:18" s="623" customFormat="1">
      <c r="A79" s="1405"/>
      <c r="B79" s="627"/>
      <c r="C79" s="627"/>
      <c r="K79" s="830"/>
    </row>
    <row r="80" spans="1:18" s="623" customFormat="1">
      <c r="A80" s="1405"/>
      <c r="B80" s="627"/>
      <c r="C80" s="627"/>
      <c r="K80" s="830"/>
    </row>
    <row r="81" spans="1:11" s="623" customFormat="1">
      <c r="A81" s="1405"/>
      <c r="B81" s="627"/>
      <c r="C81" s="627"/>
      <c r="K81" s="830"/>
    </row>
    <row r="82" spans="1:11" s="623" customFormat="1">
      <c r="A82" s="1405"/>
      <c r="B82" s="627"/>
      <c r="C82" s="627"/>
      <c r="K82" s="830"/>
    </row>
    <row r="83" spans="1:11" s="623" customFormat="1">
      <c r="A83" s="1405"/>
      <c r="B83" s="627"/>
      <c r="C83" s="627"/>
      <c r="K83" s="830"/>
    </row>
    <row r="84" spans="1:11" s="623" customFormat="1">
      <c r="A84" s="1405"/>
      <c r="B84" s="627"/>
      <c r="C84" s="627"/>
      <c r="K84" s="830"/>
    </row>
    <row r="85" spans="1:11" s="623" customFormat="1">
      <c r="A85" s="1405"/>
      <c r="B85" s="627"/>
      <c r="C85" s="627"/>
      <c r="K85" s="830"/>
    </row>
    <row r="86" spans="1:11" s="623" customFormat="1">
      <c r="A86" s="1405"/>
      <c r="B86" s="627"/>
      <c r="C86" s="627"/>
      <c r="K86" s="830"/>
    </row>
    <row r="87" spans="1:11" s="623" customFormat="1">
      <c r="A87" s="1405"/>
      <c r="B87" s="627"/>
      <c r="C87" s="627"/>
      <c r="K87" s="830"/>
    </row>
    <row r="88" spans="1:11" s="623" customFormat="1">
      <c r="A88" s="1405"/>
      <c r="B88" s="627"/>
      <c r="C88" s="627"/>
      <c r="K88" s="830"/>
    </row>
    <row r="89" spans="1:11" s="623" customFormat="1">
      <c r="A89" s="1405"/>
      <c r="B89" s="627"/>
      <c r="C89" s="627"/>
      <c r="K89" s="830"/>
    </row>
    <row r="90" spans="1:11" s="623" customFormat="1">
      <c r="A90" s="1405"/>
      <c r="B90" s="627"/>
      <c r="C90" s="627"/>
      <c r="K90" s="830"/>
    </row>
    <row r="91" spans="1:11" s="623" customFormat="1">
      <c r="A91" s="1405"/>
      <c r="B91" s="627"/>
      <c r="C91" s="627"/>
      <c r="K91" s="830"/>
    </row>
    <row r="92" spans="1:11" s="623" customFormat="1">
      <c r="A92" s="1405"/>
      <c r="B92" s="627"/>
      <c r="C92" s="627"/>
      <c r="K92" s="830"/>
    </row>
    <row r="93" spans="1:11" s="623" customFormat="1">
      <c r="A93" s="1405"/>
      <c r="B93" s="627"/>
      <c r="C93" s="627"/>
      <c r="K93" s="830"/>
    </row>
    <row r="94" spans="1:11" s="623" customFormat="1">
      <c r="A94" s="1405"/>
      <c r="B94" s="627"/>
      <c r="C94" s="627"/>
      <c r="K94" s="830"/>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1179" customWidth="1"/>
    <col min="2" max="2" width="8.875" style="1179"/>
    <col min="3" max="5" width="12.875" style="1179" customWidth="1"/>
    <col min="6" max="6" width="47.5" style="1179" customWidth="1"/>
    <col min="7" max="7" width="13" style="1180" customWidth="1"/>
    <col min="8" max="8" width="8.875" style="1181"/>
    <col min="9" max="9" width="8.875" style="1182"/>
    <col min="10" max="10" width="5.75" style="1183" customWidth="1"/>
    <col min="11" max="11" width="11.75" style="1183" customWidth="1"/>
    <col min="12" max="13" width="10.75" style="1183" customWidth="1"/>
    <col min="14" max="14" width="10" style="1183" customWidth="1"/>
    <col min="15" max="16" width="10.5" style="1183" customWidth="1"/>
    <col min="17" max="17" width="10" style="1183" customWidth="1"/>
    <col min="18" max="18" width="10.125" style="1183" customWidth="1"/>
    <col min="19" max="19" width="10" style="1183" customWidth="1"/>
    <col min="20" max="20" width="26.125" style="1183" customWidth="1"/>
    <col min="21" max="21" width="8.875" style="1183"/>
    <col min="22" max="22" width="8.875" style="1182"/>
    <col min="23" max="256" width="8.875" style="1179"/>
    <col min="257" max="257" width="9.5" style="1179" customWidth="1"/>
    <col min="258" max="258" width="8.875" style="1179"/>
    <col min="259" max="261" width="12.875" style="1179" customWidth="1"/>
    <col min="262" max="262" width="47.5" style="1179" customWidth="1"/>
    <col min="263" max="263" width="13" style="1179" customWidth="1"/>
    <col min="264" max="265" width="8.875" style="1179"/>
    <col min="266" max="266" width="5.75" style="1179" customWidth="1"/>
    <col min="267" max="267" width="11.75" style="1179" customWidth="1"/>
    <col min="268" max="269" width="10.75" style="1179" customWidth="1"/>
    <col min="270" max="270" width="10" style="1179" customWidth="1"/>
    <col min="271" max="272" width="10.5" style="1179" customWidth="1"/>
    <col min="273" max="273" width="10" style="1179" customWidth="1"/>
    <col min="274" max="274" width="10.125" style="1179" customWidth="1"/>
    <col min="275" max="275" width="10" style="1179" customWidth="1"/>
    <col min="276" max="276" width="26.125" style="1179" customWidth="1"/>
    <col min="277" max="512" width="8.875" style="1179"/>
    <col min="513" max="513" width="9.5" style="1179" customWidth="1"/>
    <col min="514" max="514" width="8.875" style="1179"/>
    <col min="515" max="517" width="12.875" style="1179" customWidth="1"/>
    <col min="518" max="518" width="47.5" style="1179" customWidth="1"/>
    <col min="519" max="519" width="13" style="1179" customWidth="1"/>
    <col min="520" max="521" width="8.875" style="1179"/>
    <col min="522" max="522" width="5.75" style="1179" customWidth="1"/>
    <col min="523" max="523" width="11.75" style="1179" customWidth="1"/>
    <col min="524" max="525" width="10.75" style="1179" customWidth="1"/>
    <col min="526" max="526" width="10" style="1179" customWidth="1"/>
    <col min="527" max="528" width="10.5" style="1179" customWidth="1"/>
    <col min="529" max="529" width="10" style="1179" customWidth="1"/>
    <col min="530" max="530" width="10.125" style="1179" customWidth="1"/>
    <col min="531" max="531" width="10" style="1179" customWidth="1"/>
    <col min="532" max="532" width="26.125" style="1179" customWidth="1"/>
    <col min="533" max="768" width="8.875" style="1179"/>
    <col min="769" max="769" width="9.5" style="1179" customWidth="1"/>
    <col min="770" max="770" width="8.875" style="1179"/>
    <col min="771" max="773" width="12.875" style="1179" customWidth="1"/>
    <col min="774" max="774" width="47.5" style="1179" customWidth="1"/>
    <col min="775" max="775" width="13" style="1179" customWidth="1"/>
    <col min="776" max="777" width="8.875" style="1179"/>
    <col min="778" max="778" width="5.75" style="1179" customWidth="1"/>
    <col min="779" max="779" width="11.75" style="1179" customWidth="1"/>
    <col min="780" max="781" width="10.75" style="1179" customWidth="1"/>
    <col min="782" max="782" width="10" style="1179" customWidth="1"/>
    <col min="783" max="784" width="10.5" style="1179" customWidth="1"/>
    <col min="785" max="785" width="10" style="1179" customWidth="1"/>
    <col min="786" max="786" width="10.125" style="1179" customWidth="1"/>
    <col min="787" max="787" width="10" style="1179" customWidth="1"/>
    <col min="788" max="788" width="26.125" style="1179" customWidth="1"/>
    <col min="789" max="1024" width="8.875" style="1179"/>
    <col min="1025" max="1025" width="9.5" style="1179" customWidth="1"/>
    <col min="1026" max="1026" width="8.875" style="1179"/>
    <col min="1027" max="1029" width="12.875" style="1179" customWidth="1"/>
    <col min="1030" max="1030" width="47.5" style="1179" customWidth="1"/>
    <col min="1031" max="1031" width="13" style="1179" customWidth="1"/>
    <col min="1032" max="1033" width="8.875" style="1179"/>
    <col min="1034" max="1034" width="5.75" style="1179" customWidth="1"/>
    <col min="1035" max="1035" width="11.75" style="1179" customWidth="1"/>
    <col min="1036" max="1037" width="10.75" style="1179" customWidth="1"/>
    <col min="1038" max="1038" width="10" style="1179" customWidth="1"/>
    <col min="1039" max="1040" width="10.5" style="1179" customWidth="1"/>
    <col min="1041" max="1041" width="10" style="1179" customWidth="1"/>
    <col min="1042" max="1042" width="10.125" style="1179" customWidth="1"/>
    <col min="1043" max="1043" width="10" style="1179" customWidth="1"/>
    <col min="1044" max="1044" width="26.125" style="1179" customWidth="1"/>
    <col min="1045" max="1280" width="8.875" style="1179"/>
    <col min="1281" max="1281" width="9.5" style="1179" customWidth="1"/>
    <col min="1282" max="1282" width="8.875" style="1179"/>
    <col min="1283" max="1285" width="12.875" style="1179" customWidth="1"/>
    <col min="1286" max="1286" width="47.5" style="1179" customWidth="1"/>
    <col min="1287" max="1287" width="13" style="1179" customWidth="1"/>
    <col min="1288" max="1289" width="8.875" style="1179"/>
    <col min="1290" max="1290" width="5.75" style="1179" customWidth="1"/>
    <col min="1291" max="1291" width="11.75" style="1179" customWidth="1"/>
    <col min="1292" max="1293" width="10.75" style="1179" customWidth="1"/>
    <col min="1294" max="1294" width="10" style="1179" customWidth="1"/>
    <col min="1295" max="1296" width="10.5" style="1179" customWidth="1"/>
    <col min="1297" max="1297" width="10" style="1179" customWidth="1"/>
    <col min="1298" max="1298" width="10.125" style="1179" customWidth="1"/>
    <col min="1299" max="1299" width="10" style="1179" customWidth="1"/>
    <col min="1300" max="1300" width="26.125" style="1179" customWidth="1"/>
    <col min="1301" max="1536" width="8.875" style="1179"/>
    <col min="1537" max="1537" width="9.5" style="1179" customWidth="1"/>
    <col min="1538" max="1538" width="8.875" style="1179"/>
    <col min="1539" max="1541" width="12.875" style="1179" customWidth="1"/>
    <col min="1542" max="1542" width="47.5" style="1179" customWidth="1"/>
    <col min="1543" max="1543" width="13" style="1179" customWidth="1"/>
    <col min="1544" max="1545" width="8.875" style="1179"/>
    <col min="1546" max="1546" width="5.75" style="1179" customWidth="1"/>
    <col min="1547" max="1547" width="11.75" style="1179" customWidth="1"/>
    <col min="1548" max="1549" width="10.75" style="1179" customWidth="1"/>
    <col min="1550" max="1550" width="10" style="1179" customWidth="1"/>
    <col min="1551" max="1552" width="10.5" style="1179" customWidth="1"/>
    <col min="1553" max="1553" width="10" style="1179" customWidth="1"/>
    <col min="1554" max="1554" width="10.125" style="1179" customWidth="1"/>
    <col min="1555" max="1555" width="10" style="1179" customWidth="1"/>
    <col min="1556" max="1556" width="26.125" style="1179" customWidth="1"/>
    <col min="1557" max="1792" width="8.875" style="1179"/>
    <col min="1793" max="1793" width="9.5" style="1179" customWidth="1"/>
    <col min="1794" max="1794" width="8.875" style="1179"/>
    <col min="1795" max="1797" width="12.875" style="1179" customWidth="1"/>
    <col min="1798" max="1798" width="47.5" style="1179" customWidth="1"/>
    <col min="1799" max="1799" width="13" style="1179" customWidth="1"/>
    <col min="1800" max="1801" width="8.875" style="1179"/>
    <col min="1802" max="1802" width="5.75" style="1179" customWidth="1"/>
    <col min="1803" max="1803" width="11.75" style="1179" customWidth="1"/>
    <col min="1804" max="1805" width="10.75" style="1179" customWidth="1"/>
    <col min="1806" max="1806" width="10" style="1179" customWidth="1"/>
    <col min="1807" max="1808" width="10.5" style="1179" customWidth="1"/>
    <col min="1809" max="1809" width="10" style="1179" customWidth="1"/>
    <col min="1810" max="1810" width="10.125" style="1179" customWidth="1"/>
    <col min="1811" max="1811" width="10" style="1179" customWidth="1"/>
    <col min="1812" max="1812" width="26.125" style="1179" customWidth="1"/>
    <col min="1813" max="2048" width="8.875" style="1179"/>
    <col min="2049" max="2049" width="9.5" style="1179" customWidth="1"/>
    <col min="2050" max="2050" width="8.875" style="1179"/>
    <col min="2051" max="2053" width="12.875" style="1179" customWidth="1"/>
    <col min="2054" max="2054" width="47.5" style="1179" customWidth="1"/>
    <col min="2055" max="2055" width="13" style="1179" customWidth="1"/>
    <col min="2056" max="2057" width="8.875" style="1179"/>
    <col min="2058" max="2058" width="5.75" style="1179" customWidth="1"/>
    <col min="2059" max="2059" width="11.75" style="1179" customWidth="1"/>
    <col min="2060" max="2061" width="10.75" style="1179" customWidth="1"/>
    <col min="2062" max="2062" width="10" style="1179" customWidth="1"/>
    <col min="2063" max="2064" width="10.5" style="1179" customWidth="1"/>
    <col min="2065" max="2065" width="10" style="1179" customWidth="1"/>
    <col min="2066" max="2066" width="10.125" style="1179" customWidth="1"/>
    <col min="2067" max="2067" width="10" style="1179" customWidth="1"/>
    <col min="2068" max="2068" width="26.125" style="1179" customWidth="1"/>
    <col min="2069" max="2304" width="8.875" style="1179"/>
    <col min="2305" max="2305" width="9.5" style="1179" customWidth="1"/>
    <col min="2306" max="2306" width="8.875" style="1179"/>
    <col min="2307" max="2309" width="12.875" style="1179" customWidth="1"/>
    <col min="2310" max="2310" width="47.5" style="1179" customWidth="1"/>
    <col min="2311" max="2311" width="13" style="1179" customWidth="1"/>
    <col min="2312" max="2313" width="8.875" style="1179"/>
    <col min="2314" max="2314" width="5.75" style="1179" customWidth="1"/>
    <col min="2315" max="2315" width="11.75" style="1179" customWidth="1"/>
    <col min="2316" max="2317" width="10.75" style="1179" customWidth="1"/>
    <col min="2318" max="2318" width="10" style="1179" customWidth="1"/>
    <col min="2319" max="2320" width="10.5" style="1179" customWidth="1"/>
    <col min="2321" max="2321" width="10" style="1179" customWidth="1"/>
    <col min="2322" max="2322" width="10.125" style="1179" customWidth="1"/>
    <col min="2323" max="2323" width="10" style="1179" customWidth="1"/>
    <col min="2324" max="2324" width="26.125" style="1179" customWidth="1"/>
    <col min="2325" max="2560" width="8.875" style="1179"/>
    <col min="2561" max="2561" width="9.5" style="1179" customWidth="1"/>
    <col min="2562" max="2562" width="8.875" style="1179"/>
    <col min="2563" max="2565" width="12.875" style="1179" customWidth="1"/>
    <col min="2566" max="2566" width="47.5" style="1179" customWidth="1"/>
    <col min="2567" max="2567" width="13" style="1179" customWidth="1"/>
    <col min="2568" max="2569" width="8.875" style="1179"/>
    <col min="2570" max="2570" width="5.75" style="1179" customWidth="1"/>
    <col min="2571" max="2571" width="11.75" style="1179" customWidth="1"/>
    <col min="2572" max="2573" width="10.75" style="1179" customWidth="1"/>
    <col min="2574" max="2574" width="10" style="1179" customWidth="1"/>
    <col min="2575" max="2576" width="10.5" style="1179" customWidth="1"/>
    <col min="2577" max="2577" width="10" style="1179" customWidth="1"/>
    <col min="2578" max="2578" width="10.125" style="1179" customWidth="1"/>
    <col min="2579" max="2579" width="10" style="1179" customWidth="1"/>
    <col min="2580" max="2580" width="26.125" style="1179" customWidth="1"/>
    <col min="2581" max="2816" width="8.875" style="1179"/>
    <col min="2817" max="2817" width="9.5" style="1179" customWidth="1"/>
    <col min="2818" max="2818" width="8.875" style="1179"/>
    <col min="2819" max="2821" width="12.875" style="1179" customWidth="1"/>
    <col min="2822" max="2822" width="47.5" style="1179" customWidth="1"/>
    <col min="2823" max="2823" width="13" style="1179" customWidth="1"/>
    <col min="2824" max="2825" width="8.875" style="1179"/>
    <col min="2826" max="2826" width="5.75" style="1179" customWidth="1"/>
    <col min="2827" max="2827" width="11.75" style="1179" customWidth="1"/>
    <col min="2828" max="2829" width="10.75" style="1179" customWidth="1"/>
    <col min="2830" max="2830" width="10" style="1179" customWidth="1"/>
    <col min="2831" max="2832" width="10.5" style="1179" customWidth="1"/>
    <col min="2833" max="2833" width="10" style="1179" customWidth="1"/>
    <col min="2834" max="2834" width="10.125" style="1179" customWidth="1"/>
    <col min="2835" max="2835" width="10" style="1179" customWidth="1"/>
    <col min="2836" max="2836" width="26.125" style="1179" customWidth="1"/>
    <col min="2837" max="3072" width="8.875" style="1179"/>
    <col min="3073" max="3073" width="9.5" style="1179" customWidth="1"/>
    <col min="3074" max="3074" width="8.875" style="1179"/>
    <col min="3075" max="3077" width="12.875" style="1179" customWidth="1"/>
    <col min="3078" max="3078" width="47.5" style="1179" customWidth="1"/>
    <col min="3079" max="3079" width="13" style="1179" customWidth="1"/>
    <col min="3080" max="3081" width="8.875" style="1179"/>
    <col min="3082" max="3082" width="5.75" style="1179" customWidth="1"/>
    <col min="3083" max="3083" width="11.75" style="1179" customWidth="1"/>
    <col min="3084" max="3085" width="10.75" style="1179" customWidth="1"/>
    <col min="3086" max="3086" width="10" style="1179" customWidth="1"/>
    <col min="3087" max="3088" width="10.5" style="1179" customWidth="1"/>
    <col min="3089" max="3089" width="10" style="1179" customWidth="1"/>
    <col min="3090" max="3090" width="10.125" style="1179" customWidth="1"/>
    <col min="3091" max="3091" width="10" style="1179" customWidth="1"/>
    <col min="3092" max="3092" width="26.125" style="1179" customWidth="1"/>
    <col min="3093" max="3328" width="8.875" style="1179"/>
    <col min="3329" max="3329" width="9.5" style="1179" customWidth="1"/>
    <col min="3330" max="3330" width="8.875" style="1179"/>
    <col min="3331" max="3333" width="12.875" style="1179" customWidth="1"/>
    <col min="3334" max="3334" width="47.5" style="1179" customWidth="1"/>
    <col min="3335" max="3335" width="13" style="1179" customWidth="1"/>
    <col min="3336" max="3337" width="8.875" style="1179"/>
    <col min="3338" max="3338" width="5.75" style="1179" customWidth="1"/>
    <col min="3339" max="3339" width="11.75" style="1179" customWidth="1"/>
    <col min="3340" max="3341" width="10.75" style="1179" customWidth="1"/>
    <col min="3342" max="3342" width="10" style="1179" customWidth="1"/>
    <col min="3343" max="3344" width="10.5" style="1179" customWidth="1"/>
    <col min="3345" max="3345" width="10" style="1179" customWidth="1"/>
    <col min="3346" max="3346" width="10.125" style="1179" customWidth="1"/>
    <col min="3347" max="3347" width="10" style="1179" customWidth="1"/>
    <col min="3348" max="3348" width="26.125" style="1179" customWidth="1"/>
    <col min="3349" max="3584" width="8.875" style="1179"/>
    <col min="3585" max="3585" width="9.5" style="1179" customWidth="1"/>
    <col min="3586" max="3586" width="8.875" style="1179"/>
    <col min="3587" max="3589" width="12.875" style="1179" customWidth="1"/>
    <col min="3590" max="3590" width="47.5" style="1179" customWidth="1"/>
    <col min="3591" max="3591" width="13" style="1179" customWidth="1"/>
    <col min="3592" max="3593" width="8.875" style="1179"/>
    <col min="3594" max="3594" width="5.75" style="1179" customWidth="1"/>
    <col min="3595" max="3595" width="11.75" style="1179" customWidth="1"/>
    <col min="3596" max="3597" width="10.75" style="1179" customWidth="1"/>
    <col min="3598" max="3598" width="10" style="1179" customWidth="1"/>
    <col min="3599" max="3600" width="10.5" style="1179" customWidth="1"/>
    <col min="3601" max="3601" width="10" style="1179" customWidth="1"/>
    <col min="3602" max="3602" width="10.125" style="1179" customWidth="1"/>
    <col min="3603" max="3603" width="10" style="1179" customWidth="1"/>
    <col min="3604" max="3604" width="26.125" style="1179" customWidth="1"/>
    <col min="3605" max="3840" width="8.875" style="1179"/>
    <col min="3841" max="3841" width="9.5" style="1179" customWidth="1"/>
    <col min="3842" max="3842" width="8.875" style="1179"/>
    <col min="3843" max="3845" width="12.875" style="1179" customWidth="1"/>
    <col min="3846" max="3846" width="47.5" style="1179" customWidth="1"/>
    <col min="3847" max="3847" width="13" style="1179" customWidth="1"/>
    <col min="3848" max="3849" width="8.875" style="1179"/>
    <col min="3850" max="3850" width="5.75" style="1179" customWidth="1"/>
    <col min="3851" max="3851" width="11.75" style="1179" customWidth="1"/>
    <col min="3852" max="3853" width="10.75" style="1179" customWidth="1"/>
    <col min="3854" max="3854" width="10" style="1179" customWidth="1"/>
    <col min="3855" max="3856" width="10.5" style="1179" customWidth="1"/>
    <col min="3857" max="3857" width="10" style="1179" customWidth="1"/>
    <col min="3858" max="3858" width="10.125" style="1179" customWidth="1"/>
    <col min="3859" max="3859" width="10" style="1179" customWidth="1"/>
    <col min="3860" max="3860" width="26.125" style="1179" customWidth="1"/>
    <col min="3861" max="4096" width="8.875" style="1179"/>
    <col min="4097" max="4097" width="9.5" style="1179" customWidth="1"/>
    <col min="4098" max="4098" width="8.875" style="1179"/>
    <col min="4099" max="4101" width="12.875" style="1179" customWidth="1"/>
    <col min="4102" max="4102" width="47.5" style="1179" customWidth="1"/>
    <col min="4103" max="4103" width="13" style="1179" customWidth="1"/>
    <col min="4104" max="4105" width="8.875" style="1179"/>
    <col min="4106" max="4106" width="5.75" style="1179" customWidth="1"/>
    <col min="4107" max="4107" width="11.75" style="1179" customWidth="1"/>
    <col min="4108" max="4109" width="10.75" style="1179" customWidth="1"/>
    <col min="4110" max="4110" width="10" style="1179" customWidth="1"/>
    <col min="4111" max="4112" width="10.5" style="1179" customWidth="1"/>
    <col min="4113" max="4113" width="10" style="1179" customWidth="1"/>
    <col min="4114" max="4114" width="10.125" style="1179" customWidth="1"/>
    <col min="4115" max="4115" width="10" style="1179" customWidth="1"/>
    <col min="4116" max="4116" width="26.125" style="1179" customWidth="1"/>
    <col min="4117" max="4352" width="8.875" style="1179"/>
    <col min="4353" max="4353" width="9.5" style="1179" customWidth="1"/>
    <col min="4354" max="4354" width="8.875" style="1179"/>
    <col min="4355" max="4357" width="12.875" style="1179" customWidth="1"/>
    <col min="4358" max="4358" width="47.5" style="1179" customWidth="1"/>
    <col min="4359" max="4359" width="13" style="1179" customWidth="1"/>
    <col min="4360" max="4361" width="8.875" style="1179"/>
    <col min="4362" max="4362" width="5.75" style="1179" customWidth="1"/>
    <col min="4363" max="4363" width="11.75" style="1179" customWidth="1"/>
    <col min="4364" max="4365" width="10.75" style="1179" customWidth="1"/>
    <col min="4366" max="4366" width="10" style="1179" customWidth="1"/>
    <col min="4367" max="4368" width="10.5" style="1179" customWidth="1"/>
    <col min="4369" max="4369" width="10" style="1179" customWidth="1"/>
    <col min="4370" max="4370" width="10.125" style="1179" customWidth="1"/>
    <col min="4371" max="4371" width="10" style="1179" customWidth="1"/>
    <col min="4372" max="4372" width="26.125" style="1179" customWidth="1"/>
    <col min="4373" max="4608" width="8.875" style="1179"/>
    <col min="4609" max="4609" width="9.5" style="1179" customWidth="1"/>
    <col min="4610" max="4610" width="8.875" style="1179"/>
    <col min="4611" max="4613" width="12.875" style="1179" customWidth="1"/>
    <col min="4614" max="4614" width="47.5" style="1179" customWidth="1"/>
    <col min="4615" max="4615" width="13" style="1179" customWidth="1"/>
    <col min="4616" max="4617" width="8.875" style="1179"/>
    <col min="4618" max="4618" width="5.75" style="1179" customWidth="1"/>
    <col min="4619" max="4619" width="11.75" style="1179" customWidth="1"/>
    <col min="4620" max="4621" width="10.75" style="1179" customWidth="1"/>
    <col min="4622" max="4622" width="10" style="1179" customWidth="1"/>
    <col min="4623" max="4624" width="10.5" style="1179" customWidth="1"/>
    <col min="4625" max="4625" width="10" style="1179" customWidth="1"/>
    <col min="4626" max="4626" width="10.125" style="1179" customWidth="1"/>
    <col min="4627" max="4627" width="10" style="1179" customWidth="1"/>
    <col min="4628" max="4628" width="26.125" style="1179" customWidth="1"/>
    <col min="4629" max="4864" width="8.875" style="1179"/>
    <col min="4865" max="4865" width="9.5" style="1179" customWidth="1"/>
    <col min="4866" max="4866" width="8.875" style="1179"/>
    <col min="4867" max="4869" width="12.875" style="1179" customWidth="1"/>
    <col min="4870" max="4870" width="47.5" style="1179" customWidth="1"/>
    <col min="4871" max="4871" width="13" style="1179" customWidth="1"/>
    <col min="4872" max="4873" width="8.875" style="1179"/>
    <col min="4874" max="4874" width="5.75" style="1179" customWidth="1"/>
    <col min="4875" max="4875" width="11.75" style="1179" customWidth="1"/>
    <col min="4876" max="4877" width="10.75" style="1179" customWidth="1"/>
    <col min="4878" max="4878" width="10" style="1179" customWidth="1"/>
    <col min="4879" max="4880" width="10.5" style="1179" customWidth="1"/>
    <col min="4881" max="4881" width="10" style="1179" customWidth="1"/>
    <col min="4882" max="4882" width="10.125" style="1179" customWidth="1"/>
    <col min="4883" max="4883" width="10" style="1179" customWidth="1"/>
    <col min="4884" max="4884" width="26.125" style="1179" customWidth="1"/>
    <col min="4885" max="5120" width="8.875" style="1179"/>
    <col min="5121" max="5121" width="9.5" style="1179" customWidth="1"/>
    <col min="5122" max="5122" width="8.875" style="1179"/>
    <col min="5123" max="5125" width="12.875" style="1179" customWidth="1"/>
    <col min="5126" max="5126" width="47.5" style="1179" customWidth="1"/>
    <col min="5127" max="5127" width="13" style="1179" customWidth="1"/>
    <col min="5128" max="5129" width="8.875" style="1179"/>
    <col min="5130" max="5130" width="5.75" style="1179" customWidth="1"/>
    <col min="5131" max="5131" width="11.75" style="1179" customWidth="1"/>
    <col min="5132" max="5133" width="10.75" style="1179" customWidth="1"/>
    <col min="5134" max="5134" width="10" style="1179" customWidth="1"/>
    <col min="5135" max="5136" width="10.5" style="1179" customWidth="1"/>
    <col min="5137" max="5137" width="10" style="1179" customWidth="1"/>
    <col min="5138" max="5138" width="10.125" style="1179" customWidth="1"/>
    <col min="5139" max="5139" width="10" style="1179" customWidth="1"/>
    <col min="5140" max="5140" width="26.125" style="1179" customWidth="1"/>
    <col min="5141" max="5376" width="8.875" style="1179"/>
    <col min="5377" max="5377" width="9.5" style="1179" customWidth="1"/>
    <col min="5378" max="5378" width="8.875" style="1179"/>
    <col min="5379" max="5381" width="12.875" style="1179" customWidth="1"/>
    <col min="5382" max="5382" width="47.5" style="1179" customWidth="1"/>
    <col min="5383" max="5383" width="13" style="1179" customWidth="1"/>
    <col min="5384" max="5385" width="8.875" style="1179"/>
    <col min="5386" max="5386" width="5.75" style="1179" customWidth="1"/>
    <col min="5387" max="5387" width="11.75" style="1179" customWidth="1"/>
    <col min="5388" max="5389" width="10.75" style="1179" customWidth="1"/>
    <col min="5390" max="5390" width="10" style="1179" customWidth="1"/>
    <col min="5391" max="5392" width="10.5" style="1179" customWidth="1"/>
    <col min="5393" max="5393" width="10" style="1179" customWidth="1"/>
    <col min="5394" max="5394" width="10.125" style="1179" customWidth="1"/>
    <col min="5395" max="5395" width="10" style="1179" customWidth="1"/>
    <col min="5396" max="5396" width="26.125" style="1179" customWidth="1"/>
    <col min="5397" max="5632" width="8.875" style="1179"/>
    <col min="5633" max="5633" width="9.5" style="1179" customWidth="1"/>
    <col min="5634" max="5634" width="8.875" style="1179"/>
    <col min="5635" max="5637" width="12.875" style="1179" customWidth="1"/>
    <col min="5638" max="5638" width="47.5" style="1179" customWidth="1"/>
    <col min="5639" max="5639" width="13" style="1179" customWidth="1"/>
    <col min="5640" max="5641" width="8.875" style="1179"/>
    <col min="5642" max="5642" width="5.75" style="1179" customWidth="1"/>
    <col min="5643" max="5643" width="11.75" style="1179" customWidth="1"/>
    <col min="5644" max="5645" width="10.75" style="1179" customWidth="1"/>
    <col min="5646" max="5646" width="10" style="1179" customWidth="1"/>
    <col min="5647" max="5648" width="10.5" style="1179" customWidth="1"/>
    <col min="5649" max="5649" width="10" style="1179" customWidth="1"/>
    <col min="5650" max="5650" width="10.125" style="1179" customWidth="1"/>
    <col min="5651" max="5651" width="10" style="1179" customWidth="1"/>
    <col min="5652" max="5652" width="26.125" style="1179" customWidth="1"/>
    <col min="5653" max="5888" width="8.875" style="1179"/>
    <col min="5889" max="5889" width="9.5" style="1179" customWidth="1"/>
    <col min="5890" max="5890" width="8.875" style="1179"/>
    <col min="5891" max="5893" width="12.875" style="1179" customWidth="1"/>
    <col min="5894" max="5894" width="47.5" style="1179" customWidth="1"/>
    <col min="5895" max="5895" width="13" style="1179" customWidth="1"/>
    <col min="5896" max="5897" width="8.875" style="1179"/>
    <col min="5898" max="5898" width="5.75" style="1179" customWidth="1"/>
    <col min="5899" max="5899" width="11.75" style="1179" customWidth="1"/>
    <col min="5900" max="5901" width="10.75" style="1179" customWidth="1"/>
    <col min="5902" max="5902" width="10" style="1179" customWidth="1"/>
    <col min="5903" max="5904" width="10.5" style="1179" customWidth="1"/>
    <col min="5905" max="5905" width="10" style="1179" customWidth="1"/>
    <col min="5906" max="5906" width="10.125" style="1179" customWidth="1"/>
    <col min="5907" max="5907" width="10" style="1179" customWidth="1"/>
    <col min="5908" max="5908" width="26.125" style="1179" customWidth="1"/>
    <col min="5909" max="6144" width="8.875" style="1179"/>
    <col min="6145" max="6145" width="9.5" style="1179" customWidth="1"/>
    <col min="6146" max="6146" width="8.875" style="1179"/>
    <col min="6147" max="6149" width="12.875" style="1179" customWidth="1"/>
    <col min="6150" max="6150" width="47.5" style="1179" customWidth="1"/>
    <col min="6151" max="6151" width="13" style="1179" customWidth="1"/>
    <col min="6152" max="6153" width="8.875" style="1179"/>
    <col min="6154" max="6154" width="5.75" style="1179" customWidth="1"/>
    <col min="6155" max="6155" width="11.75" style="1179" customWidth="1"/>
    <col min="6156" max="6157" width="10.75" style="1179" customWidth="1"/>
    <col min="6158" max="6158" width="10" style="1179" customWidth="1"/>
    <col min="6159" max="6160" width="10.5" style="1179" customWidth="1"/>
    <col min="6161" max="6161" width="10" style="1179" customWidth="1"/>
    <col min="6162" max="6162" width="10.125" style="1179" customWidth="1"/>
    <col min="6163" max="6163" width="10" style="1179" customWidth="1"/>
    <col min="6164" max="6164" width="26.125" style="1179" customWidth="1"/>
    <col min="6165" max="6400" width="8.875" style="1179"/>
    <col min="6401" max="6401" width="9.5" style="1179" customWidth="1"/>
    <col min="6402" max="6402" width="8.875" style="1179"/>
    <col min="6403" max="6405" width="12.875" style="1179" customWidth="1"/>
    <col min="6406" max="6406" width="47.5" style="1179" customWidth="1"/>
    <col min="6407" max="6407" width="13" style="1179" customWidth="1"/>
    <col min="6408" max="6409" width="8.875" style="1179"/>
    <col min="6410" max="6410" width="5.75" style="1179" customWidth="1"/>
    <col min="6411" max="6411" width="11.75" style="1179" customWidth="1"/>
    <col min="6412" max="6413" width="10.75" style="1179" customWidth="1"/>
    <col min="6414" max="6414" width="10" style="1179" customWidth="1"/>
    <col min="6415" max="6416" width="10.5" style="1179" customWidth="1"/>
    <col min="6417" max="6417" width="10" style="1179" customWidth="1"/>
    <col min="6418" max="6418" width="10.125" style="1179" customWidth="1"/>
    <col min="6419" max="6419" width="10" style="1179" customWidth="1"/>
    <col min="6420" max="6420" width="26.125" style="1179" customWidth="1"/>
    <col min="6421" max="6656" width="8.875" style="1179"/>
    <col min="6657" max="6657" width="9.5" style="1179" customWidth="1"/>
    <col min="6658" max="6658" width="8.875" style="1179"/>
    <col min="6659" max="6661" width="12.875" style="1179" customWidth="1"/>
    <col min="6662" max="6662" width="47.5" style="1179" customWidth="1"/>
    <col min="6663" max="6663" width="13" style="1179" customWidth="1"/>
    <col min="6664" max="6665" width="8.875" style="1179"/>
    <col min="6666" max="6666" width="5.75" style="1179" customWidth="1"/>
    <col min="6667" max="6667" width="11.75" style="1179" customWidth="1"/>
    <col min="6668" max="6669" width="10.75" style="1179" customWidth="1"/>
    <col min="6670" max="6670" width="10" style="1179" customWidth="1"/>
    <col min="6671" max="6672" width="10.5" style="1179" customWidth="1"/>
    <col min="6673" max="6673" width="10" style="1179" customWidth="1"/>
    <col min="6674" max="6674" width="10.125" style="1179" customWidth="1"/>
    <col min="6675" max="6675" width="10" style="1179" customWidth="1"/>
    <col min="6676" max="6676" width="26.125" style="1179" customWidth="1"/>
    <col min="6677" max="6912" width="8.875" style="1179"/>
    <col min="6913" max="6913" width="9.5" style="1179" customWidth="1"/>
    <col min="6914" max="6914" width="8.875" style="1179"/>
    <col min="6915" max="6917" width="12.875" style="1179" customWidth="1"/>
    <col min="6918" max="6918" width="47.5" style="1179" customWidth="1"/>
    <col min="6919" max="6919" width="13" style="1179" customWidth="1"/>
    <col min="6920" max="6921" width="8.875" style="1179"/>
    <col min="6922" max="6922" width="5.75" style="1179" customWidth="1"/>
    <col min="6923" max="6923" width="11.75" style="1179" customWidth="1"/>
    <col min="6924" max="6925" width="10.75" style="1179" customWidth="1"/>
    <col min="6926" max="6926" width="10" style="1179" customWidth="1"/>
    <col min="6927" max="6928" width="10.5" style="1179" customWidth="1"/>
    <col min="6929" max="6929" width="10" style="1179" customWidth="1"/>
    <col min="6930" max="6930" width="10.125" style="1179" customWidth="1"/>
    <col min="6931" max="6931" width="10" style="1179" customWidth="1"/>
    <col min="6932" max="6932" width="26.125" style="1179" customWidth="1"/>
    <col min="6933" max="7168" width="8.875" style="1179"/>
    <col min="7169" max="7169" width="9.5" style="1179" customWidth="1"/>
    <col min="7170" max="7170" width="8.875" style="1179"/>
    <col min="7171" max="7173" width="12.875" style="1179" customWidth="1"/>
    <col min="7174" max="7174" width="47.5" style="1179" customWidth="1"/>
    <col min="7175" max="7175" width="13" style="1179" customWidth="1"/>
    <col min="7176" max="7177" width="8.875" style="1179"/>
    <col min="7178" max="7178" width="5.75" style="1179" customWidth="1"/>
    <col min="7179" max="7179" width="11.75" style="1179" customWidth="1"/>
    <col min="7180" max="7181" width="10.75" style="1179" customWidth="1"/>
    <col min="7182" max="7182" width="10" style="1179" customWidth="1"/>
    <col min="7183" max="7184" width="10.5" style="1179" customWidth="1"/>
    <col min="7185" max="7185" width="10" style="1179" customWidth="1"/>
    <col min="7186" max="7186" width="10.125" style="1179" customWidth="1"/>
    <col min="7187" max="7187" width="10" style="1179" customWidth="1"/>
    <col min="7188" max="7188" width="26.125" style="1179" customWidth="1"/>
    <col min="7189" max="7424" width="8.875" style="1179"/>
    <col min="7425" max="7425" width="9.5" style="1179" customWidth="1"/>
    <col min="7426" max="7426" width="8.875" style="1179"/>
    <col min="7427" max="7429" width="12.875" style="1179" customWidth="1"/>
    <col min="7430" max="7430" width="47.5" style="1179" customWidth="1"/>
    <col min="7431" max="7431" width="13" style="1179" customWidth="1"/>
    <col min="7432" max="7433" width="8.875" style="1179"/>
    <col min="7434" max="7434" width="5.75" style="1179" customWidth="1"/>
    <col min="7435" max="7435" width="11.75" style="1179" customWidth="1"/>
    <col min="7436" max="7437" width="10.75" style="1179" customWidth="1"/>
    <col min="7438" max="7438" width="10" style="1179" customWidth="1"/>
    <col min="7439" max="7440" width="10.5" style="1179" customWidth="1"/>
    <col min="7441" max="7441" width="10" style="1179" customWidth="1"/>
    <col min="7442" max="7442" width="10.125" style="1179" customWidth="1"/>
    <col min="7443" max="7443" width="10" style="1179" customWidth="1"/>
    <col min="7444" max="7444" width="26.125" style="1179" customWidth="1"/>
    <col min="7445" max="7680" width="8.875" style="1179"/>
    <col min="7681" max="7681" width="9.5" style="1179" customWidth="1"/>
    <col min="7682" max="7682" width="8.875" style="1179"/>
    <col min="7683" max="7685" width="12.875" style="1179" customWidth="1"/>
    <col min="7686" max="7686" width="47.5" style="1179" customWidth="1"/>
    <col min="7687" max="7687" width="13" style="1179" customWidth="1"/>
    <col min="7688" max="7689" width="8.875" style="1179"/>
    <col min="7690" max="7690" width="5.75" style="1179" customWidth="1"/>
    <col min="7691" max="7691" width="11.75" style="1179" customWidth="1"/>
    <col min="7692" max="7693" width="10.75" style="1179" customWidth="1"/>
    <col min="7694" max="7694" width="10" style="1179" customWidth="1"/>
    <col min="7695" max="7696" width="10.5" style="1179" customWidth="1"/>
    <col min="7697" max="7697" width="10" style="1179" customWidth="1"/>
    <col min="7698" max="7698" width="10.125" style="1179" customWidth="1"/>
    <col min="7699" max="7699" width="10" style="1179" customWidth="1"/>
    <col min="7700" max="7700" width="26.125" style="1179" customWidth="1"/>
    <col min="7701" max="7936" width="8.875" style="1179"/>
    <col min="7937" max="7937" width="9.5" style="1179" customWidth="1"/>
    <col min="7938" max="7938" width="8.875" style="1179"/>
    <col min="7939" max="7941" width="12.875" style="1179" customWidth="1"/>
    <col min="7942" max="7942" width="47.5" style="1179" customWidth="1"/>
    <col min="7943" max="7943" width="13" style="1179" customWidth="1"/>
    <col min="7944" max="7945" width="8.875" style="1179"/>
    <col min="7946" max="7946" width="5.75" style="1179" customWidth="1"/>
    <col min="7947" max="7947" width="11.75" style="1179" customWidth="1"/>
    <col min="7948" max="7949" width="10.75" style="1179" customWidth="1"/>
    <col min="7950" max="7950" width="10" style="1179" customWidth="1"/>
    <col min="7951" max="7952" width="10.5" style="1179" customWidth="1"/>
    <col min="7953" max="7953" width="10" style="1179" customWidth="1"/>
    <col min="7954" max="7954" width="10.125" style="1179" customWidth="1"/>
    <col min="7955" max="7955" width="10" style="1179" customWidth="1"/>
    <col min="7956" max="7956" width="26.125" style="1179" customWidth="1"/>
    <col min="7957" max="8192" width="8.875" style="1179"/>
    <col min="8193" max="8193" width="9.5" style="1179" customWidth="1"/>
    <col min="8194" max="8194" width="8.875" style="1179"/>
    <col min="8195" max="8197" width="12.875" style="1179" customWidth="1"/>
    <col min="8198" max="8198" width="47.5" style="1179" customWidth="1"/>
    <col min="8199" max="8199" width="13" style="1179" customWidth="1"/>
    <col min="8200" max="8201" width="8.875" style="1179"/>
    <col min="8202" max="8202" width="5.75" style="1179" customWidth="1"/>
    <col min="8203" max="8203" width="11.75" style="1179" customWidth="1"/>
    <col min="8204" max="8205" width="10.75" style="1179" customWidth="1"/>
    <col min="8206" max="8206" width="10" style="1179" customWidth="1"/>
    <col min="8207" max="8208" width="10.5" style="1179" customWidth="1"/>
    <col min="8209" max="8209" width="10" style="1179" customWidth="1"/>
    <col min="8210" max="8210" width="10.125" style="1179" customWidth="1"/>
    <col min="8211" max="8211" width="10" style="1179" customWidth="1"/>
    <col min="8212" max="8212" width="26.125" style="1179" customWidth="1"/>
    <col min="8213" max="8448" width="8.875" style="1179"/>
    <col min="8449" max="8449" width="9.5" style="1179" customWidth="1"/>
    <col min="8450" max="8450" width="8.875" style="1179"/>
    <col min="8451" max="8453" width="12.875" style="1179" customWidth="1"/>
    <col min="8454" max="8454" width="47.5" style="1179" customWidth="1"/>
    <col min="8455" max="8455" width="13" style="1179" customWidth="1"/>
    <col min="8456" max="8457" width="8.875" style="1179"/>
    <col min="8458" max="8458" width="5.75" style="1179" customWidth="1"/>
    <col min="8459" max="8459" width="11.75" style="1179" customWidth="1"/>
    <col min="8460" max="8461" width="10.75" style="1179" customWidth="1"/>
    <col min="8462" max="8462" width="10" style="1179" customWidth="1"/>
    <col min="8463" max="8464" width="10.5" style="1179" customWidth="1"/>
    <col min="8465" max="8465" width="10" style="1179" customWidth="1"/>
    <col min="8466" max="8466" width="10.125" style="1179" customWidth="1"/>
    <col min="8467" max="8467" width="10" style="1179" customWidth="1"/>
    <col min="8468" max="8468" width="26.125" style="1179" customWidth="1"/>
    <col min="8469" max="8704" width="8.875" style="1179"/>
    <col min="8705" max="8705" width="9.5" style="1179" customWidth="1"/>
    <col min="8706" max="8706" width="8.875" style="1179"/>
    <col min="8707" max="8709" width="12.875" style="1179" customWidth="1"/>
    <col min="8710" max="8710" width="47.5" style="1179" customWidth="1"/>
    <col min="8711" max="8711" width="13" style="1179" customWidth="1"/>
    <col min="8712" max="8713" width="8.875" style="1179"/>
    <col min="8714" max="8714" width="5.75" style="1179" customWidth="1"/>
    <col min="8715" max="8715" width="11.75" style="1179" customWidth="1"/>
    <col min="8716" max="8717" width="10.75" style="1179" customWidth="1"/>
    <col min="8718" max="8718" width="10" style="1179" customWidth="1"/>
    <col min="8719" max="8720" width="10.5" style="1179" customWidth="1"/>
    <col min="8721" max="8721" width="10" style="1179" customWidth="1"/>
    <col min="8722" max="8722" width="10.125" style="1179" customWidth="1"/>
    <col min="8723" max="8723" width="10" style="1179" customWidth="1"/>
    <col min="8724" max="8724" width="26.125" style="1179" customWidth="1"/>
    <col min="8725" max="8960" width="8.875" style="1179"/>
    <col min="8961" max="8961" width="9.5" style="1179" customWidth="1"/>
    <col min="8962" max="8962" width="8.875" style="1179"/>
    <col min="8963" max="8965" width="12.875" style="1179" customWidth="1"/>
    <col min="8966" max="8966" width="47.5" style="1179" customWidth="1"/>
    <col min="8967" max="8967" width="13" style="1179" customWidth="1"/>
    <col min="8968" max="8969" width="8.875" style="1179"/>
    <col min="8970" max="8970" width="5.75" style="1179" customWidth="1"/>
    <col min="8971" max="8971" width="11.75" style="1179" customWidth="1"/>
    <col min="8972" max="8973" width="10.75" style="1179" customWidth="1"/>
    <col min="8974" max="8974" width="10" style="1179" customWidth="1"/>
    <col min="8975" max="8976" width="10.5" style="1179" customWidth="1"/>
    <col min="8977" max="8977" width="10" style="1179" customWidth="1"/>
    <col min="8978" max="8978" width="10.125" style="1179" customWidth="1"/>
    <col min="8979" max="8979" width="10" style="1179" customWidth="1"/>
    <col min="8980" max="8980" width="26.125" style="1179" customWidth="1"/>
    <col min="8981" max="9216" width="8.875" style="1179"/>
    <col min="9217" max="9217" width="9.5" style="1179" customWidth="1"/>
    <col min="9218" max="9218" width="8.875" style="1179"/>
    <col min="9219" max="9221" width="12.875" style="1179" customWidth="1"/>
    <col min="9222" max="9222" width="47.5" style="1179" customWidth="1"/>
    <col min="9223" max="9223" width="13" style="1179" customWidth="1"/>
    <col min="9224" max="9225" width="8.875" style="1179"/>
    <col min="9226" max="9226" width="5.75" style="1179" customWidth="1"/>
    <col min="9227" max="9227" width="11.75" style="1179" customWidth="1"/>
    <col min="9228" max="9229" width="10.75" style="1179" customWidth="1"/>
    <col min="9230" max="9230" width="10" style="1179" customWidth="1"/>
    <col min="9231" max="9232" width="10.5" style="1179" customWidth="1"/>
    <col min="9233" max="9233" width="10" style="1179" customWidth="1"/>
    <col min="9234" max="9234" width="10.125" style="1179" customWidth="1"/>
    <col min="9235" max="9235" width="10" style="1179" customWidth="1"/>
    <col min="9236" max="9236" width="26.125" style="1179" customWidth="1"/>
    <col min="9237" max="9472" width="8.875" style="1179"/>
    <col min="9473" max="9473" width="9.5" style="1179" customWidth="1"/>
    <col min="9474" max="9474" width="8.875" style="1179"/>
    <col min="9475" max="9477" width="12.875" style="1179" customWidth="1"/>
    <col min="9478" max="9478" width="47.5" style="1179" customWidth="1"/>
    <col min="9479" max="9479" width="13" style="1179" customWidth="1"/>
    <col min="9480" max="9481" width="8.875" style="1179"/>
    <col min="9482" max="9482" width="5.75" style="1179" customWidth="1"/>
    <col min="9483" max="9483" width="11.75" style="1179" customWidth="1"/>
    <col min="9484" max="9485" width="10.75" style="1179" customWidth="1"/>
    <col min="9486" max="9486" width="10" style="1179" customWidth="1"/>
    <col min="9487" max="9488" width="10.5" style="1179" customWidth="1"/>
    <col min="9489" max="9489" width="10" style="1179" customWidth="1"/>
    <col min="9490" max="9490" width="10.125" style="1179" customWidth="1"/>
    <col min="9491" max="9491" width="10" style="1179" customWidth="1"/>
    <col min="9492" max="9492" width="26.125" style="1179" customWidth="1"/>
    <col min="9493" max="9728" width="8.875" style="1179"/>
    <col min="9729" max="9729" width="9.5" style="1179" customWidth="1"/>
    <col min="9730" max="9730" width="8.875" style="1179"/>
    <col min="9731" max="9733" width="12.875" style="1179" customWidth="1"/>
    <col min="9734" max="9734" width="47.5" style="1179" customWidth="1"/>
    <col min="9735" max="9735" width="13" style="1179" customWidth="1"/>
    <col min="9736" max="9737" width="8.875" style="1179"/>
    <col min="9738" max="9738" width="5.75" style="1179" customWidth="1"/>
    <col min="9739" max="9739" width="11.75" style="1179" customWidth="1"/>
    <col min="9740" max="9741" width="10.75" style="1179" customWidth="1"/>
    <col min="9742" max="9742" width="10" style="1179" customWidth="1"/>
    <col min="9743" max="9744" width="10.5" style="1179" customWidth="1"/>
    <col min="9745" max="9745" width="10" style="1179" customWidth="1"/>
    <col min="9746" max="9746" width="10.125" style="1179" customWidth="1"/>
    <col min="9747" max="9747" width="10" style="1179" customWidth="1"/>
    <col min="9748" max="9748" width="26.125" style="1179" customWidth="1"/>
    <col min="9749" max="9984" width="8.875" style="1179"/>
    <col min="9985" max="9985" width="9.5" style="1179" customWidth="1"/>
    <col min="9986" max="9986" width="8.875" style="1179"/>
    <col min="9987" max="9989" width="12.875" style="1179" customWidth="1"/>
    <col min="9990" max="9990" width="47.5" style="1179" customWidth="1"/>
    <col min="9991" max="9991" width="13" style="1179" customWidth="1"/>
    <col min="9992" max="9993" width="8.875" style="1179"/>
    <col min="9994" max="9994" width="5.75" style="1179" customWidth="1"/>
    <col min="9995" max="9995" width="11.75" style="1179" customWidth="1"/>
    <col min="9996" max="9997" width="10.75" style="1179" customWidth="1"/>
    <col min="9998" max="9998" width="10" style="1179" customWidth="1"/>
    <col min="9999" max="10000" width="10.5" style="1179" customWidth="1"/>
    <col min="10001" max="10001" width="10" style="1179" customWidth="1"/>
    <col min="10002" max="10002" width="10.125" style="1179" customWidth="1"/>
    <col min="10003" max="10003" width="10" style="1179" customWidth="1"/>
    <col min="10004" max="10004" width="26.125" style="1179" customWidth="1"/>
    <col min="10005" max="10240" width="8.875" style="1179"/>
    <col min="10241" max="10241" width="9.5" style="1179" customWidth="1"/>
    <col min="10242" max="10242" width="8.875" style="1179"/>
    <col min="10243" max="10245" width="12.875" style="1179" customWidth="1"/>
    <col min="10246" max="10246" width="47.5" style="1179" customWidth="1"/>
    <col min="10247" max="10247" width="13" style="1179" customWidth="1"/>
    <col min="10248" max="10249" width="8.875" style="1179"/>
    <col min="10250" max="10250" width="5.75" style="1179" customWidth="1"/>
    <col min="10251" max="10251" width="11.75" style="1179" customWidth="1"/>
    <col min="10252" max="10253" width="10.75" style="1179" customWidth="1"/>
    <col min="10254" max="10254" width="10" style="1179" customWidth="1"/>
    <col min="10255" max="10256" width="10.5" style="1179" customWidth="1"/>
    <col min="10257" max="10257" width="10" style="1179" customWidth="1"/>
    <col min="10258" max="10258" width="10.125" style="1179" customWidth="1"/>
    <col min="10259" max="10259" width="10" style="1179" customWidth="1"/>
    <col min="10260" max="10260" width="26.125" style="1179" customWidth="1"/>
    <col min="10261" max="10496" width="8.875" style="1179"/>
    <col min="10497" max="10497" width="9.5" style="1179" customWidth="1"/>
    <col min="10498" max="10498" width="8.875" style="1179"/>
    <col min="10499" max="10501" width="12.875" style="1179" customWidth="1"/>
    <col min="10502" max="10502" width="47.5" style="1179" customWidth="1"/>
    <col min="10503" max="10503" width="13" style="1179" customWidth="1"/>
    <col min="10504" max="10505" width="8.875" style="1179"/>
    <col min="10506" max="10506" width="5.75" style="1179" customWidth="1"/>
    <col min="10507" max="10507" width="11.75" style="1179" customWidth="1"/>
    <col min="10508" max="10509" width="10.75" style="1179" customWidth="1"/>
    <col min="10510" max="10510" width="10" style="1179" customWidth="1"/>
    <col min="10511" max="10512" width="10.5" style="1179" customWidth="1"/>
    <col min="10513" max="10513" width="10" style="1179" customWidth="1"/>
    <col min="10514" max="10514" width="10.125" style="1179" customWidth="1"/>
    <col min="10515" max="10515" width="10" style="1179" customWidth="1"/>
    <col min="10516" max="10516" width="26.125" style="1179" customWidth="1"/>
    <col min="10517" max="10752" width="8.875" style="1179"/>
    <col min="10753" max="10753" width="9.5" style="1179" customWidth="1"/>
    <col min="10754" max="10754" width="8.875" style="1179"/>
    <col min="10755" max="10757" width="12.875" style="1179" customWidth="1"/>
    <col min="10758" max="10758" width="47.5" style="1179" customWidth="1"/>
    <col min="10759" max="10759" width="13" style="1179" customWidth="1"/>
    <col min="10760" max="10761" width="8.875" style="1179"/>
    <col min="10762" max="10762" width="5.75" style="1179" customWidth="1"/>
    <col min="10763" max="10763" width="11.75" style="1179" customWidth="1"/>
    <col min="10764" max="10765" width="10.75" style="1179" customWidth="1"/>
    <col min="10766" max="10766" width="10" style="1179" customWidth="1"/>
    <col min="10767" max="10768" width="10.5" style="1179" customWidth="1"/>
    <col min="10769" max="10769" width="10" style="1179" customWidth="1"/>
    <col min="10770" max="10770" width="10.125" style="1179" customWidth="1"/>
    <col min="10771" max="10771" width="10" style="1179" customWidth="1"/>
    <col min="10772" max="10772" width="26.125" style="1179" customWidth="1"/>
    <col min="10773" max="11008" width="8.875" style="1179"/>
    <col min="11009" max="11009" width="9.5" style="1179" customWidth="1"/>
    <col min="11010" max="11010" width="8.875" style="1179"/>
    <col min="11011" max="11013" width="12.875" style="1179" customWidth="1"/>
    <col min="11014" max="11014" width="47.5" style="1179" customWidth="1"/>
    <col min="11015" max="11015" width="13" style="1179" customWidth="1"/>
    <col min="11016" max="11017" width="8.875" style="1179"/>
    <col min="11018" max="11018" width="5.75" style="1179" customWidth="1"/>
    <col min="11019" max="11019" width="11.75" style="1179" customWidth="1"/>
    <col min="11020" max="11021" width="10.75" style="1179" customWidth="1"/>
    <col min="11022" max="11022" width="10" style="1179" customWidth="1"/>
    <col min="11023" max="11024" width="10.5" style="1179" customWidth="1"/>
    <col min="11025" max="11025" width="10" style="1179" customWidth="1"/>
    <col min="11026" max="11026" width="10.125" style="1179" customWidth="1"/>
    <col min="11027" max="11027" width="10" style="1179" customWidth="1"/>
    <col min="11028" max="11028" width="26.125" style="1179" customWidth="1"/>
    <col min="11029" max="11264" width="8.875" style="1179"/>
    <col min="11265" max="11265" width="9.5" style="1179" customWidth="1"/>
    <col min="11266" max="11266" width="8.875" style="1179"/>
    <col min="11267" max="11269" width="12.875" style="1179" customWidth="1"/>
    <col min="11270" max="11270" width="47.5" style="1179" customWidth="1"/>
    <col min="11271" max="11271" width="13" style="1179" customWidth="1"/>
    <col min="11272" max="11273" width="8.875" style="1179"/>
    <col min="11274" max="11274" width="5.75" style="1179" customWidth="1"/>
    <col min="11275" max="11275" width="11.75" style="1179" customWidth="1"/>
    <col min="11276" max="11277" width="10.75" style="1179" customWidth="1"/>
    <col min="11278" max="11278" width="10" style="1179" customWidth="1"/>
    <col min="11279" max="11280" width="10.5" style="1179" customWidth="1"/>
    <col min="11281" max="11281" width="10" style="1179" customWidth="1"/>
    <col min="11282" max="11282" width="10.125" style="1179" customWidth="1"/>
    <col min="11283" max="11283" width="10" style="1179" customWidth="1"/>
    <col min="11284" max="11284" width="26.125" style="1179" customWidth="1"/>
    <col min="11285" max="11520" width="8.875" style="1179"/>
    <col min="11521" max="11521" width="9.5" style="1179" customWidth="1"/>
    <col min="11522" max="11522" width="8.875" style="1179"/>
    <col min="11523" max="11525" width="12.875" style="1179" customWidth="1"/>
    <col min="11526" max="11526" width="47.5" style="1179" customWidth="1"/>
    <col min="11527" max="11527" width="13" style="1179" customWidth="1"/>
    <col min="11528" max="11529" width="8.875" style="1179"/>
    <col min="11530" max="11530" width="5.75" style="1179" customWidth="1"/>
    <col min="11531" max="11531" width="11.75" style="1179" customWidth="1"/>
    <col min="11532" max="11533" width="10.75" style="1179" customWidth="1"/>
    <col min="11534" max="11534" width="10" style="1179" customWidth="1"/>
    <col min="11535" max="11536" width="10.5" style="1179" customWidth="1"/>
    <col min="11537" max="11537" width="10" style="1179" customWidth="1"/>
    <col min="11538" max="11538" width="10.125" style="1179" customWidth="1"/>
    <col min="11539" max="11539" width="10" style="1179" customWidth="1"/>
    <col min="11540" max="11540" width="26.125" style="1179" customWidth="1"/>
    <col min="11541" max="11776" width="8.875" style="1179"/>
    <col min="11777" max="11777" width="9.5" style="1179" customWidth="1"/>
    <col min="11778" max="11778" width="8.875" style="1179"/>
    <col min="11779" max="11781" width="12.875" style="1179" customWidth="1"/>
    <col min="11782" max="11782" width="47.5" style="1179" customWidth="1"/>
    <col min="11783" max="11783" width="13" style="1179" customWidth="1"/>
    <col min="11784" max="11785" width="8.875" style="1179"/>
    <col min="11786" max="11786" width="5.75" style="1179" customWidth="1"/>
    <col min="11787" max="11787" width="11.75" style="1179" customWidth="1"/>
    <col min="11788" max="11789" width="10.75" style="1179" customWidth="1"/>
    <col min="11790" max="11790" width="10" style="1179" customWidth="1"/>
    <col min="11791" max="11792" width="10.5" style="1179" customWidth="1"/>
    <col min="11793" max="11793" width="10" style="1179" customWidth="1"/>
    <col min="11794" max="11794" width="10.125" style="1179" customWidth="1"/>
    <col min="11795" max="11795" width="10" style="1179" customWidth="1"/>
    <col min="11796" max="11796" width="26.125" style="1179" customWidth="1"/>
    <col min="11797" max="12032" width="8.875" style="1179"/>
    <col min="12033" max="12033" width="9.5" style="1179" customWidth="1"/>
    <col min="12034" max="12034" width="8.875" style="1179"/>
    <col min="12035" max="12037" width="12.875" style="1179" customWidth="1"/>
    <col min="12038" max="12038" width="47.5" style="1179" customWidth="1"/>
    <col min="12039" max="12039" width="13" style="1179" customWidth="1"/>
    <col min="12040" max="12041" width="8.875" style="1179"/>
    <col min="12042" max="12042" width="5.75" style="1179" customWidth="1"/>
    <col min="12043" max="12043" width="11.75" style="1179" customWidth="1"/>
    <col min="12044" max="12045" width="10.75" style="1179" customWidth="1"/>
    <col min="12046" max="12046" width="10" style="1179" customWidth="1"/>
    <col min="12047" max="12048" width="10.5" style="1179" customWidth="1"/>
    <col min="12049" max="12049" width="10" style="1179" customWidth="1"/>
    <col min="12050" max="12050" width="10.125" style="1179" customWidth="1"/>
    <col min="12051" max="12051" width="10" style="1179" customWidth="1"/>
    <col min="12052" max="12052" width="26.125" style="1179" customWidth="1"/>
    <col min="12053" max="12288" width="8.875" style="1179"/>
    <col min="12289" max="12289" width="9.5" style="1179" customWidth="1"/>
    <col min="12290" max="12290" width="8.875" style="1179"/>
    <col min="12291" max="12293" width="12.875" style="1179" customWidth="1"/>
    <col min="12294" max="12294" width="47.5" style="1179" customWidth="1"/>
    <col min="12295" max="12295" width="13" style="1179" customWidth="1"/>
    <col min="12296" max="12297" width="8.875" style="1179"/>
    <col min="12298" max="12298" width="5.75" style="1179" customWidth="1"/>
    <col min="12299" max="12299" width="11.75" style="1179" customWidth="1"/>
    <col min="12300" max="12301" width="10.75" style="1179" customWidth="1"/>
    <col min="12302" max="12302" width="10" style="1179" customWidth="1"/>
    <col min="12303" max="12304" width="10.5" style="1179" customWidth="1"/>
    <col min="12305" max="12305" width="10" style="1179" customWidth="1"/>
    <col min="12306" max="12306" width="10.125" style="1179" customWidth="1"/>
    <col min="12307" max="12307" width="10" style="1179" customWidth="1"/>
    <col min="12308" max="12308" width="26.125" style="1179" customWidth="1"/>
    <col min="12309" max="12544" width="8.875" style="1179"/>
    <col min="12545" max="12545" width="9.5" style="1179" customWidth="1"/>
    <col min="12546" max="12546" width="8.875" style="1179"/>
    <col min="12547" max="12549" width="12.875" style="1179" customWidth="1"/>
    <col min="12550" max="12550" width="47.5" style="1179" customWidth="1"/>
    <col min="12551" max="12551" width="13" style="1179" customWidth="1"/>
    <col min="12552" max="12553" width="8.875" style="1179"/>
    <col min="12554" max="12554" width="5.75" style="1179" customWidth="1"/>
    <col min="12555" max="12555" width="11.75" style="1179" customWidth="1"/>
    <col min="12556" max="12557" width="10.75" style="1179" customWidth="1"/>
    <col min="12558" max="12558" width="10" style="1179" customWidth="1"/>
    <col min="12559" max="12560" width="10.5" style="1179" customWidth="1"/>
    <col min="12561" max="12561" width="10" style="1179" customWidth="1"/>
    <col min="12562" max="12562" width="10.125" style="1179" customWidth="1"/>
    <col min="12563" max="12563" width="10" style="1179" customWidth="1"/>
    <col min="12564" max="12564" width="26.125" style="1179" customWidth="1"/>
    <col min="12565" max="12800" width="8.875" style="1179"/>
    <col min="12801" max="12801" width="9.5" style="1179" customWidth="1"/>
    <col min="12802" max="12802" width="8.875" style="1179"/>
    <col min="12803" max="12805" width="12.875" style="1179" customWidth="1"/>
    <col min="12806" max="12806" width="47.5" style="1179" customWidth="1"/>
    <col min="12807" max="12807" width="13" style="1179" customWidth="1"/>
    <col min="12808" max="12809" width="8.875" style="1179"/>
    <col min="12810" max="12810" width="5.75" style="1179" customWidth="1"/>
    <col min="12811" max="12811" width="11.75" style="1179" customWidth="1"/>
    <col min="12812" max="12813" width="10.75" style="1179" customWidth="1"/>
    <col min="12814" max="12814" width="10" style="1179" customWidth="1"/>
    <col min="12815" max="12816" width="10.5" style="1179" customWidth="1"/>
    <col min="12817" max="12817" width="10" style="1179" customWidth="1"/>
    <col min="12818" max="12818" width="10.125" style="1179" customWidth="1"/>
    <col min="12819" max="12819" width="10" style="1179" customWidth="1"/>
    <col min="12820" max="12820" width="26.125" style="1179" customWidth="1"/>
    <col min="12821" max="13056" width="8.875" style="1179"/>
    <col min="13057" max="13057" width="9.5" style="1179" customWidth="1"/>
    <col min="13058" max="13058" width="8.875" style="1179"/>
    <col min="13059" max="13061" width="12.875" style="1179" customWidth="1"/>
    <col min="13062" max="13062" width="47.5" style="1179" customWidth="1"/>
    <col min="13063" max="13063" width="13" style="1179" customWidth="1"/>
    <col min="13064" max="13065" width="8.875" style="1179"/>
    <col min="13066" max="13066" width="5.75" style="1179" customWidth="1"/>
    <col min="13067" max="13067" width="11.75" style="1179" customWidth="1"/>
    <col min="13068" max="13069" width="10.75" style="1179" customWidth="1"/>
    <col min="13070" max="13070" width="10" style="1179" customWidth="1"/>
    <col min="13071" max="13072" width="10.5" style="1179" customWidth="1"/>
    <col min="13073" max="13073" width="10" style="1179" customWidth="1"/>
    <col min="13074" max="13074" width="10.125" style="1179" customWidth="1"/>
    <col min="13075" max="13075" width="10" style="1179" customWidth="1"/>
    <col min="13076" max="13076" width="26.125" style="1179" customWidth="1"/>
    <col min="13077" max="13312" width="8.875" style="1179"/>
    <col min="13313" max="13313" width="9.5" style="1179" customWidth="1"/>
    <col min="13314" max="13314" width="8.875" style="1179"/>
    <col min="13315" max="13317" width="12.875" style="1179" customWidth="1"/>
    <col min="13318" max="13318" width="47.5" style="1179" customWidth="1"/>
    <col min="13319" max="13319" width="13" style="1179" customWidth="1"/>
    <col min="13320" max="13321" width="8.875" style="1179"/>
    <col min="13322" max="13322" width="5.75" style="1179" customWidth="1"/>
    <col min="13323" max="13323" width="11.75" style="1179" customWidth="1"/>
    <col min="13324" max="13325" width="10.75" style="1179" customWidth="1"/>
    <col min="13326" max="13326" width="10" style="1179" customWidth="1"/>
    <col min="13327" max="13328" width="10.5" style="1179" customWidth="1"/>
    <col min="13329" max="13329" width="10" style="1179" customWidth="1"/>
    <col min="13330" max="13330" width="10.125" style="1179" customWidth="1"/>
    <col min="13331" max="13331" width="10" style="1179" customWidth="1"/>
    <col min="13332" max="13332" width="26.125" style="1179" customWidth="1"/>
    <col min="13333" max="13568" width="8.875" style="1179"/>
    <col min="13569" max="13569" width="9.5" style="1179" customWidth="1"/>
    <col min="13570" max="13570" width="8.875" style="1179"/>
    <col min="13571" max="13573" width="12.875" style="1179" customWidth="1"/>
    <col min="13574" max="13574" width="47.5" style="1179" customWidth="1"/>
    <col min="13575" max="13575" width="13" style="1179" customWidth="1"/>
    <col min="13576" max="13577" width="8.875" style="1179"/>
    <col min="13578" max="13578" width="5.75" style="1179" customWidth="1"/>
    <col min="13579" max="13579" width="11.75" style="1179" customWidth="1"/>
    <col min="13580" max="13581" width="10.75" style="1179" customWidth="1"/>
    <col min="13582" max="13582" width="10" style="1179" customWidth="1"/>
    <col min="13583" max="13584" width="10.5" style="1179" customWidth="1"/>
    <col min="13585" max="13585" width="10" style="1179" customWidth="1"/>
    <col min="13586" max="13586" width="10.125" style="1179" customWidth="1"/>
    <col min="13587" max="13587" width="10" style="1179" customWidth="1"/>
    <col min="13588" max="13588" width="26.125" style="1179" customWidth="1"/>
    <col min="13589" max="13824" width="8.875" style="1179"/>
    <col min="13825" max="13825" width="9.5" style="1179" customWidth="1"/>
    <col min="13826" max="13826" width="8.875" style="1179"/>
    <col min="13827" max="13829" width="12.875" style="1179" customWidth="1"/>
    <col min="13830" max="13830" width="47.5" style="1179" customWidth="1"/>
    <col min="13831" max="13831" width="13" style="1179" customWidth="1"/>
    <col min="13832" max="13833" width="8.875" style="1179"/>
    <col min="13834" max="13834" width="5.75" style="1179" customWidth="1"/>
    <col min="13835" max="13835" width="11.75" style="1179" customWidth="1"/>
    <col min="13836" max="13837" width="10.75" style="1179" customWidth="1"/>
    <col min="13838" max="13838" width="10" style="1179" customWidth="1"/>
    <col min="13839" max="13840" width="10.5" style="1179" customWidth="1"/>
    <col min="13841" max="13841" width="10" style="1179" customWidth="1"/>
    <col min="13842" max="13842" width="10.125" style="1179" customWidth="1"/>
    <col min="13843" max="13843" width="10" style="1179" customWidth="1"/>
    <col min="13844" max="13844" width="26.125" style="1179" customWidth="1"/>
    <col min="13845" max="14080" width="8.875" style="1179"/>
    <col min="14081" max="14081" width="9.5" style="1179" customWidth="1"/>
    <col min="14082" max="14082" width="8.875" style="1179"/>
    <col min="14083" max="14085" width="12.875" style="1179" customWidth="1"/>
    <col min="14086" max="14086" width="47.5" style="1179" customWidth="1"/>
    <col min="14087" max="14087" width="13" style="1179" customWidth="1"/>
    <col min="14088" max="14089" width="8.875" style="1179"/>
    <col min="14090" max="14090" width="5.75" style="1179" customWidth="1"/>
    <col min="14091" max="14091" width="11.75" style="1179" customWidth="1"/>
    <col min="14092" max="14093" width="10.75" style="1179" customWidth="1"/>
    <col min="14094" max="14094" width="10" style="1179" customWidth="1"/>
    <col min="14095" max="14096" width="10.5" style="1179" customWidth="1"/>
    <col min="14097" max="14097" width="10" style="1179" customWidth="1"/>
    <col min="14098" max="14098" width="10.125" style="1179" customWidth="1"/>
    <col min="14099" max="14099" width="10" style="1179" customWidth="1"/>
    <col min="14100" max="14100" width="26.125" style="1179" customWidth="1"/>
    <col min="14101" max="14336" width="8.875" style="1179"/>
    <col min="14337" max="14337" width="9.5" style="1179" customWidth="1"/>
    <col min="14338" max="14338" width="8.875" style="1179"/>
    <col min="14339" max="14341" width="12.875" style="1179" customWidth="1"/>
    <col min="14342" max="14342" width="47.5" style="1179" customWidth="1"/>
    <col min="14343" max="14343" width="13" style="1179" customWidth="1"/>
    <col min="14344" max="14345" width="8.875" style="1179"/>
    <col min="14346" max="14346" width="5.75" style="1179" customWidth="1"/>
    <col min="14347" max="14347" width="11.75" style="1179" customWidth="1"/>
    <col min="14348" max="14349" width="10.75" style="1179" customWidth="1"/>
    <col min="14350" max="14350" width="10" style="1179" customWidth="1"/>
    <col min="14351" max="14352" width="10.5" style="1179" customWidth="1"/>
    <col min="14353" max="14353" width="10" style="1179" customWidth="1"/>
    <col min="14354" max="14354" width="10.125" style="1179" customWidth="1"/>
    <col min="14355" max="14355" width="10" style="1179" customWidth="1"/>
    <col min="14356" max="14356" width="26.125" style="1179" customWidth="1"/>
    <col min="14357" max="14592" width="8.875" style="1179"/>
    <col min="14593" max="14593" width="9.5" style="1179" customWidth="1"/>
    <col min="14594" max="14594" width="8.875" style="1179"/>
    <col min="14595" max="14597" width="12.875" style="1179" customWidth="1"/>
    <col min="14598" max="14598" width="47.5" style="1179" customWidth="1"/>
    <col min="14599" max="14599" width="13" style="1179" customWidth="1"/>
    <col min="14600" max="14601" width="8.875" style="1179"/>
    <col min="14602" max="14602" width="5.75" style="1179" customWidth="1"/>
    <col min="14603" max="14603" width="11.75" style="1179" customWidth="1"/>
    <col min="14604" max="14605" width="10.75" style="1179" customWidth="1"/>
    <col min="14606" max="14606" width="10" style="1179" customWidth="1"/>
    <col min="14607" max="14608" width="10.5" style="1179" customWidth="1"/>
    <col min="14609" max="14609" width="10" style="1179" customWidth="1"/>
    <col min="14610" max="14610" width="10.125" style="1179" customWidth="1"/>
    <col min="14611" max="14611" width="10" style="1179" customWidth="1"/>
    <col min="14612" max="14612" width="26.125" style="1179" customWidth="1"/>
    <col min="14613" max="14848" width="8.875" style="1179"/>
    <col min="14849" max="14849" width="9.5" style="1179" customWidth="1"/>
    <col min="14850" max="14850" width="8.875" style="1179"/>
    <col min="14851" max="14853" width="12.875" style="1179" customWidth="1"/>
    <col min="14854" max="14854" width="47.5" style="1179" customWidth="1"/>
    <col min="14855" max="14855" width="13" style="1179" customWidth="1"/>
    <col min="14856" max="14857" width="8.875" style="1179"/>
    <col min="14858" max="14858" width="5.75" style="1179" customWidth="1"/>
    <col min="14859" max="14859" width="11.75" style="1179" customWidth="1"/>
    <col min="14860" max="14861" width="10.75" style="1179" customWidth="1"/>
    <col min="14862" max="14862" width="10" style="1179" customWidth="1"/>
    <col min="14863" max="14864" width="10.5" style="1179" customWidth="1"/>
    <col min="14865" max="14865" width="10" style="1179" customWidth="1"/>
    <col min="14866" max="14866" width="10.125" style="1179" customWidth="1"/>
    <col min="14867" max="14867" width="10" style="1179" customWidth="1"/>
    <col min="14868" max="14868" width="26.125" style="1179" customWidth="1"/>
    <col min="14869" max="15104" width="8.875" style="1179"/>
    <col min="15105" max="15105" width="9.5" style="1179" customWidth="1"/>
    <col min="15106" max="15106" width="8.875" style="1179"/>
    <col min="15107" max="15109" width="12.875" style="1179" customWidth="1"/>
    <col min="15110" max="15110" width="47.5" style="1179" customWidth="1"/>
    <col min="15111" max="15111" width="13" style="1179" customWidth="1"/>
    <col min="15112" max="15113" width="8.875" style="1179"/>
    <col min="15114" max="15114" width="5.75" style="1179" customWidth="1"/>
    <col min="15115" max="15115" width="11.75" style="1179" customWidth="1"/>
    <col min="15116" max="15117" width="10.75" style="1179" customWidth="1"/>
    <col min="15118" max="15118" width="10" style="1179" customWidth="1"/>
    <col min="15119" max="15120" width="10.5" style="1179" customWidth="1"/>
    <col min="15121" max="15121" width="10" style="1179" customWidth="1"/>
    <col min="15122" max="15122" width="10.125" style="1179" customWidth="1"/>
    <col min="15123" max="15123" width="10" style="1179" customWidth="1"/>
    <col min="15124" max="15124" width="26.125" style="1179" customWidth="1"/>
    <col min="15125" max="15360" width="8.875" style="1179"/>
    <col min="15361" max="15361" width="9.5" style="1179" customWidth="1"/>
    <col min="15362" max="15362" width="8.875" style="1179"/>
    <col min="15363" max="15365" width="12.875" style="1179" customWidth="1"/>
    <col min="15366" max="15366" width="47.5" style="1179" customWidth="1"/>
    <col min="15367" max="15367" width="13" style="1179" customWidth="1"/>
    <col min="15368" max="15369" width="8.875" style="1179"/>
    <col min="15370" max="15370" width="5.75" style="1179" customWidth="1"/>
    <col min="15371" max="15371" width="11.75" style="1179" customWidth="1"/>
    <col min="15372" max="15373" width="10.75" style="1179" customWidth="1"/>
    <col min="15374" max="15374" width="10" style="1179" customWidth="1"/>
    <col min="15375" max="15376" width="10.5" style="1179" customWidth="1"/>
    <col min="15377" max="15377" width="10" style="1179" customWidth="1"/>
    <col min="15378" max="15378" width="10.125" style="1179" customWidth="1"/>
    <col min="15379" max="15379" width="10" style="1179" customWidth="1"/>
    <col min="15380" max="15380" width="26.125" style="1179" customWidth="1"/>
    <col min="15381" max="15616" width="8.875" style="1179"/>
    <col min="15617" max="15617" width="9.5" style="1179" customWidth="1"/>
    <col min="15618" max="15618" width="8.875" style="1179"/>
    <col min="15619" max="15621" width="12.875" style="1179" customWidth="1"/>
    <col min="15622" max="15622" width="47.5" style="1179" customWidth="1"/>
    <col min="15623" max="15623" width="13" style="1179" customWidth="1"/>
    <col min="15624" max="15625" width="8.875" style="1179"/>
    <col min="15626" max="15626" width="5.75" style="1179" customWidth="1"/>
    <col min="15627" max="15627" width="11.75" style="1179" customWidth="1"/>
    <col min="15628" max="15629" width="10.75" style="1179" customWidth="1"/>
    <col min="15630" max="15630" width="10" style="1179" customWidth="1"/>
    <col min="15631" max="15632" width="10.5" style="1179" customWidth="1"/>
    <col min="15633" max="15633" width="10" style="1179" customWidth="1"/>
    <col min="15634" max="15634" width="10.125" style="1179" customWidth="1"/>
    <col min="15635" max="15635" width="10" style="1179" customWidth="1"/>
    <col min="15636" max="15636" width="26.125" style="1179" customWidth="1"/>
    <col min="15637" max="15872" width="8.875" style="1179"/>
    <col min="15873" max="15873" width="9.5" style="1179" customWidth="1"/>
    <col min="15874" max="15874" width="8.875" style="1179"/>
    <col min="15875" max="15877" width="12.875" style="1179" customWidth="1"/>
    <col min="15878" max="15878" width="47.5" style="1179" customWidth="1"/>
    <col min="15879" max="15879" width="13" style="1179" customWidth="1"/>
    <col min="15880" max="15881" width="8.875" style="1179"/>
    <col min="15882" max="15882" width="5.75" style="1179" customWidth="1"/>
    <col min="15883" max="15883" width="11.75" style="1179" customWidth="1"/>
    <col min="15884" max="15885" width="10.75" style="1179" customWidth="1"/>
    <col min="15886" max="15886" width="10" style="1179" customWidth="1"/>
    <col min="15887" max="15888" width="10.5" style="1179" customWidth="1"/>
    <col min="15889" max="15889" width="10" style="1179" customWidth="1"/>
    <col min="15890" max="15890" width="10.125" style="1179" customWidth="1"/>
    <col min="15891" max="15891" width="10" style="1179" customWidth="1"/>
    <col min="15892" max="15892" width="26.125" style="1179" customWidth="1"/>
    <col min="15893" max="16128" width="8.875" style="1179"/>
    <col min="16129" max="16129" width="9.5" style="1179" customWidth="1"/>
    <col min="16130" max="16130" width="8.875" style="1179"/>
    <col min="16131" max="16133" width="12.875" style="1179" customWidth="1"/>
    <col min="16134" max="16134" width="47.5" style="1179" customWidth="1"/>
    <col min="16135" max="16135" width="13" style="1179" customWidth="1"/>
    <col min="16136" max="16137" width="8.875" style="1179"/>
    <col min="16138" max="16138" width="5.75" style="1179" customWidth="1"/>
    <col min="16139" max="16139" width="11.75" style="1179" customWidth="1"/>
    <col min="16140" max="16141" width="10.75" style="1179" customWidth="1"/>
    <col min="16142" max="16142" width="10" style="1179" customWidth="1"/>
    <col min="16143" max="16144" width="10.5" style="1179" customWidth="1"/>
    <col min="16145" max="16145" width="10" style="1179" customWidth="1"/>
    <col min="16146" max="16146" width="10.125" style="1179" customWidth="1"/>
    <col min="16147" max="16147" width="10" style="1179" customWidth="1"/>
    <col min="16148" max="16148" width="26.125" style="1179" customWidth="1"/>
    <col min="16149" max="16384" width="8.875" style="1179"/>
  </cols>
  <sheetData>
    <row r="1" spans="1:22" ht="21" customHeight="1">
      <c r="A1" s="1184" t="s">
        <v>2195</v>
      </c>
      <c r="B1" s="1185"/>
      <c r="C1" s="1186"/>
      <c r="D1" s="1186"/>
      <c r="E1" s="1187"/>
      <c r="F1" s="1188"/>
      <c r="G1" s="1189"/>
      <c r="J1" s="1289" t="s">
        <v>2196</v>
      </c>
      <c r="K1" s="1290"/>
      <c r="L1" s="1290"/>
      <c r="M1" s="1290"/>
      <c r="N1" s="1290"/>
      <c r="O1" s="1290"/>
      <c r="P1" s="1290"/>
      <c r="Q1" s="1290"/>
      <c r="R1" s="1329"/>
      <c r="S1" s="1330"/>
      <c r="T1" s="1330"/>
      <c r="U1" s="1330"/>
    </row>
    <row r="2" spans="1:22" s="1177" customFormat="1" ht="13.15" customHeight="1">
      <c r="A2" s="1190" t="s">
        <v>2197</v>
      </c>
      <c r="B2" s="1191" t="e">
        <f>C40</f>
        <v>#DIV/0!</v>
      </c>
      <c r="C2" s="1186" t="s">
        <v>2198</v>
      </c>
      <c r="D2" s="1186"/>
      <c r="E2" s="1192"/>
      <c r="F2" s="1193"/>
      <c r="G2" s="1194"/>
      <c r="H2" s="1195"/>
      <c r="I2" s="1291"/>
      <c r="J2" s="3952" t="s">
        <v>2199</v>
      </c>
      <c r="K2" s="3953"/>
      <c r="L2" s="1292" t="s">
        <v>2200</v>
      </c>
      <c r="M2" s="1292" t="s">
        <v>2201</v>
      </c>
      <c r="N2" s="1292" t="s">
        <v>2202</v>
      </c>
      <c r="O2" s="1292" t="s">
        <v>2203</v>
      </c>
      <c r="P2" s="1292" t="s">
        <v>2204</v>
      </c>
      <c r="Q2" s="1331" t="s">
        <v>2205</v>
      </c>
      <c r="R2" s="1332" t="s">
        <v>2206</v>
      </c>
      <c r="S2" s="1330"/>
      <c r="T2" s="1330"/>
      <c r="U2" s="1330"/>
      <c r="V2" s="1291"/>
    </row>
    <row r="3" spans="1:22" s="1177" customFormat="1" ht="13.15" customHeight="1">
      <c r="A3" s="1196" t="s">
        <v>2207</v>
      </c>
      <c r="B3" s="1197" t="e">
        <f>ROUND(B2*10000/B4,0)</f>
        <v>#DIV/0!</v>
      </c>
      <c r="C3" s="1186" t="s">
        <v>2208</v>
      </c>
      <c r="D3" s="1186"/>
      <c r="E3" s="1192"/>
      <c r="F3" s="1193"/>
      <c r="G3" s="1194"/>
      <c r="H3" s="1195"/>
      <c r="I3" s="1291"/>
      <c r="J3" s="3954" t="s">
        <v>2209</v>
      </c>
      <c r="K3" s="3955"/>
      <c r="L3" s="1293"/>
      <c r="M3" s="1293"/>
      <c r="N3" s="1293"/>
      <c r="O3" s="1293"/>
      <c r="P3" s="1293"/>
      <c r="Q3" s="1333"/>
      <c r="R3" s="1334">
        <f>SUM(L3:Q3)</f>
        <v>0</v>
      </c>
      <c r="S3" s="1330"/>
      <c r="T3" s="1330"/>
      <c r="U3" s="1330"/>
      <c r="V3" s="1291"/>
    </row>
    <row r="4" spans="1:22" s="1177" customFormat="1" ht="13.15" customHeight="1">
      <c r="A4" s="1198" t="s">
        <v>444</v>
      </c>
      <c r="B4" s="1199"/>
      <c r="C4" s="1186"/>
      <c r="D4" s="1186"/>
      <c r="E4" s="1192"/>
      <c r="F4" s="1193"/>
      <c r="G4" s="1194"/>
      <c r="H4" s="1195"/>
      <c r="I4" s="1291"/>
      <c r="J4" s="3954" t="s">
        <v>2210</v>
      </c>
      <c r="K4" s="3955"/>
      <c r="L4" s="1294"/>
      <c r="M4" s="1294"/>
      <c r="N4" s="1294"/>
      <c r="O4" s="1294"/>
      <c r="P4" s="1294"/>
      <c r="Q4" s="1335"/>
      <c r="R4" s="1336">
        <f>SUM(L4:Q4)</f>
        <v>0</v>
      </c>
      <c r="S4" s="1330"/>
      <c r="T4" s="1330"/>
      <c r="U4" s="1330"/>
      <c r="V4" s="1291"/>
    </row>
    <row r="5" spans="1:22" s="1177" customFormat="1" ht="13.15" customHeight="1">
      <c r="A5" s="1200" t="s">
        <v>447</v>
      </c>
      <c r="B5" s="1201"/>
      <c r="C5" s="1186"/>
      <c r="D5" s="1202"/>
      <c r="E5" s="1193"/>
      <c r="F5" s="1193"/>
      <c r="G5" s="1194"/>
      <c r="H5" s="1195"/>
      <c r="I5" s="1291"/>
      <c r="J5" s="1295" t="s">
        <v>2211</v>
      </c>
      <c r="K5" s="1296"/>
      <c r="L5" s="1296"/>
      <c r="M5" s="1297"/>
      <c r="N5" s="1297"/>
      <c r="O5" s="1297"/>
      <c r="P5" s="1297"/>
      <c r="Q5" s="1297"/>
      <c r="R5" s="1332">
        <f>SUM(R14,R19,R24,R25,R27,R28)</f>
        <v>0</v>
      </c>
      <c r="S5" s="1330"/>
      <c r="T5" s="1330" t="s">
        <v>2212</v>
      </c>
      <c r="U5" s="1330" t="e">
        <f>ROUND(R5*10000/365/R3,1)</f>
        <v>#DIV/0!</v>
      </c>
      <c r="V5" s="1291"/>
    </row>
    <row r="6" spans="1:22" s="1177" customFormat="1" ht="13.15" customHeight="1">
      <c r="A6" s="3956" t="s">
        <v>2213</v>
      </c>
      <c r="B6" s="3957"/>
      <c r="C6" s="3958"/>
      <c r="D6" s="1203"/>
      <c r="E6" s="1204"/>
      <c r="F6" s="1205"/>
      <c r="G6" s="1206"/>
      <c r="H6" s="1195"/>
      <c r="I6" s="1291"/>
      <c r="J6" s="3965">
        <v>1</v>
      </c>
      <c r="K6" s="3968" t="s">
        <v>2214</v>
      </c>
      <c r="L6" s="1299" t="s">
        <v>2215</v>
      </c>
      <c r="M6" s="1300" t="s">
        <v>2216</v>
      </c>
      <c r="N6" s="1300" t="s">
        <v>2217</v>
      </c>
      <c r="O6" s="1300" t="s">
        <v>2218</v>
      </c>
      <c r="P6" s="1300" t="s">
        <v>2219</v>
      </c>
      <c r="Q6" s="1300" t="s">
        <v>2220</v>
      </c>
      <c r="R6" s="1334" t="s">
        <v>2221</v>
      </c>
      <c r="S6" s="1330"/>
      <c r="T6" s="1330" t="s">
        <v>2222</v>
      </c>
      <c r="U6" s="1330"/>
      <c r="V6" s="1291"/>
    </row>
    <row r="7" spans="1:22" s="1177" customFormat="1" ht="13.15" customHeight="1">
      <c r="A7" s="1207" t="s">
        <v>2223</v>
      </c>
      <c r="B7" s="1208"/>
      <c r="C7" s="1209"/>
      <c r="D7" s="1210">
        <f>SUM(D9,D10,D11,D17,0)</f>
        <v>0</v>
      </c>
      <c r="E7" s="1211" t="e">
        <f>E9+E10+E11+E17</f>
        <v>#DIV/0!</v>
      </c>
      <c r="F7" s="1212"/>
      <c r="G7" s="1213"/>
      <c r="H7" s="1195"/>
      <c r="I7" s="1291"/>
      <c r="J7" s="3965"/>
      <c r="K7" s="3969"/>
      <c r="L7" s="1301" t="s">
        <v>2224</v>
      </c>
      <c r="M7" s="1302"/>
      <c r="N7" s="1199"/>
      <c r="O7" s="1303"/>
      <c r="P7" s="1303"/>
      <c r="Q7" s="1232">
        <v>365</v>
      </c>
      <c r="R7" s="1337">
        <f>ROUND(M7*N7*O7*P7*Q7/10000,0)</f>
        <v>0</v>
      </c>
      <c r="S7" s="1330"/>
      <c r="T7" s="1330" t="s">
        <v>2225</v>
      </c>
      <c r="U7" s="1330"/>
      <c r="V7" s="1291"/>
    </row>
    <row r="8" spans="1:22" s="1177" customFormat="1" ht="13.15" customHeight="1">
      <c r="A8" s="1214" t="s">
        <v>2226</v>
      </c>
      <c r="B8" s="3959" t="s">
        <v>2227</v>
      </c>
      <c r="C8" s="3960"/>
      <c r="D8" s="1217" t="s">
        <v>2228</v>
      </c>
      <c r="E8" s="1218" t="s">
        <v>2229</v>
      </c>
      <c r="F8" s="1219" t="s">
        <v>2230</v>
      </c>
      <c r="G8" s="1220"/>
      <c r="H8" s="1195"/>
      <c r="I8" s="1291"/>
      <c r="J8" s="3965"/>
      <c r="K8" s="3969"/>
      <c r="L8" s="1301" t="s">
        <v>2231</v>
      </c>
      <c r="M8" s="1302"/>
      <c r="N8" s="1199"/>
      <c r="O8" s="1303"/>
      <c r="P8" s="1303"/>
      <c r="Q8" s="1232">
        <v>365</v>
      </c>
      <c r="R8" s="1337">
        <f t="shared" ref="R8:R13" si="0">ROUND(M8*N8*O8*P8*Q8/10000,0)</f>
        <v>0</v>
      </c>
      <c r="S8" s="1330"/>
      <c r="T8" s="1330" t="s">
        <v>2232</v>
      </c>
      <c r="U8" s="1330"/>
      <c r="V8" s="1291"/>
    </row>
    <row r="9" spans="1:22" s="1177" customFormat="1" ht="13.15" customHeight="1">
      <c r="A9" s="1214">
        <v>1</v>
      </c>
      <c r="B9" s="3959" t="s">
        <v>2233</v>
      </c>
      <c r="C9" s="3960"/>
      <c r="D9" s="1217">
        <f>ROUND(D6*E9,0)</f>
        <v>0</v>
      </c>
      <c r="E9" s="1221"/>
      <c r="F9" s="1222" t="s">
        <v>2234</v>
      </c>
      <c r="G9" s="1206"/>
      <c r="H9" s="1195"/>
      <c r="I9" s="1291"/>
      <c r="J9" s="3965"/>
      <c r="K9" s="3969"/>
      <c r="L9" s="1301" t="s">
        <v>2235</v>
      </c>
      <c r="M9" s="1302"/>
      <c r="N9" s="1199"/>
      <c r="O9" s="1303"/>
      <c r="P9" s="1303"/>
      <c r="Q9" s="1232">
        <v>365</v>
      </c>
      <c r="R9" s="1337">
        <f t="shared" si="0"/>
        <v>0</v>
      </c>
      <c r="S9" s="1330"/>
      <c r="T9" s="1330"/>
      <c r="U9" s="1330"/>
      <c r="V9" s="1291"/>
    </row>
    <row r="10" spans="1:22" s="1177" customFormat="1" ht="13.15" customHeight="1">
      <c r="A10" s="1214">
        <v>2</v>
      </c>
      <c r="B10" s="3959" t="s">
        <v>2236</v>
      </c>
      <c r="C10" s="3960"/>
      <c r="D10" s="1217">
        <f>ROUND(D6*E10,0)</f>
        <v>0</v>
      </c>
      <c r="E10" s="1221"/>
      <c r="F10" s="1222" t="s">
        <v>2237</v>
      </c>
      <c r="G10" s="1206"/>
      <c r="H10" s="1195"/>
      <c r="I10" s="1291"/>
      <c r="J10" s="3965"/>
      <c r="K10" s="3969"/>
      <c r="L10" s="1301" t="s">
        <v>2238</v>
      </c>
      <c r="M10" s="1302"/>
      <c r="N10" s="1199"/>
      <c r="O10" s="1303"/>
      <c r="P10" s="1303"/>
      <c r="Q10" s="1232">
        <v>365</v>
      </c>
      <c r="R10" s="1337">
        <f t="shared" si="0"/>
        <v>0</v>
      </c>
      <c r="S10" s="1330"/>
      <c r="T10" s="1330"/>
      <c r="U10" s="1330"/>
      <c r="V10" s="1291"/>
    </row>
    <row r="11" spans="1:22" s="1177" customFormat="1" ht="13.15" customHeight="1">
      <c r="A11" s="1214">
        <v>3</v>
      </c>
      <c r="B11" s="3959" t="s">
        <v>2239</v>
      </c>
      <c r="C11" s="3960"/>
      <c r="D11" s="1217">
        <f>D12+D14+D15+D16</f>
        <v>0</v>
      </c>
      <c r="E11" s="1223" t="e">
        <f>D11/D6</f>
        <v>#DIV/0!</v>
      </c>
      <c r="F11" s="1219"/>
      <c r="G11" s="1220"/>
      <c r="H11" s="1195"/>
      <c r="I11" s="1291"/>
      <c r="J11" s="3965"/>
      <c r="K11" s="3969"/>
      <c r="L11" s="1301" t="s">
        <v>2240</v>
      </c>
      <c r="M11" s="1302"/>
      <c r="N11" s="1199"/>
      <c r="O11" s="1303"/>
      <c r="P11" s="1303"/>
      <c r="Q11" s="1232">
        <v>365</v>
      </c>
      <c r="R11" s="1337">
        <f t="shared" si="0"/>
        <v>0</v>
      </c>
      <c r="S11" s="1330"/>
      <c r="T11" s="1330"/>
      <c r="U11" s="1330"/>
      <c r="V11" s="1291"/>
    </row>
    <row r="12" spans="1:22" s="1177" customFormat="1" ht="13.15" customHeight="1">
      <c r="A12" s="1224" t="s">
        <v>2241</v>
      </c>
      <c r="B12" s="3961" t="s">
        <v>2242</v>
      </c>
      <c r="C12" s="3962"/>
      <c r="D12" s="1227">
        <f>ROUND(D13*1.2%*(1-30%),0)</f>
        <v>0</v>
      </c>
      <c r="E12" s="1228">
        <v>1.2E-2</v>
      </c>
      <c r="F12" s="1219" t="s">
        <v>2243</v>
      </c>
      <c r="G12" s="1220"/>
      <c r="H12" s="1195"/>
      <c r="I12" s="1291"/>
      <c r="J12" s="3965"/>
      <c r="K12" s="3969"/>
      <c r="L12" s="1301" t="s">
        <v>2244</v>
      </c>
      <c r="M12" s="1302"/>
      <c r="N12" s="1199"/>
      <c r="O12" s="1303"/>
      <c r="P12" s="1303"/>
      <c r="Q12" s="1232">
        <v>365</v>
      </c>
      <c r="R12" s="1337">
        <f t="shared" si="0"/>
        <v>0</v>
      </c>
      <c r="S12" s="1330"/>
      <c r="T12" s="1330"/>
      <c r="U12" s="1330"/>
      <c r="V12" s="1291"/>
    </row>
    <row r="13" spans="1:22" s="1177" customFormat="1" ht="13.15" customHeight="1">
      <c r="A13" s="1224"/>
      <c r="B13" s="1225"/>
      <c r="C13" s="1229" t="s">
        <v>2245</v>
      </c>
      <c r="D13" s="1230"/>
      <c r="E13" s="1231"/>
      <c r="F13" s="1219"/>
      <c r="G13" s="1220"/>
      <c r="H13" s="1195"/>
      <c r="I13" s="1291"/>
      <c r="J13" s="3965"/>
      <c r="K13" s="3969"/>
      <c r="L13" s="1301" t="s">
        <v>2246</v>
      </c>
      <c r="M13" s="1302"/>
      <c r="N13" s="1199"/>
      <c r="O13" s="1303"/>
      <c r="P13" s="1303"/>
      <c r="Q13" s="1232">
        <v>365</v>
      </c>
      <c r="R13" s="1337">
        <f t="shared" si="0"/>
        <v>0</v>
      </c>
      <c r="S13" s="1330"/>
      <c r="T13" s="1330"/>
      <c r="U13" s="1330"/>
      <c r="V13" s="1291"/>
    </row>
    <row r="14" spans="1:22" s="1177" customFormat="1" ht="13.15" customHeight="1">
      <c r="A14" s="1224" t="s">
        <v>2247</v>
      </c>
      <c r="B14" s="3961" t="s">
        <v>2248</v>
      </c>
      <c r="C14" s="3962"/>
      <c r="D14" s="1227">
        <f>ROUND(E14*B5/10000,0)</f>
        <v>0</v>
      </c>
      <c r="E14" s="1232"/>
      <c r="F14" s="1219" t="s">
        <v>2249</v>
      </c>
      <c r="G14" s="1220"/>
      <c r="H14" s="1195"/>
      <c r="I14" s="1291"/>
      <c r="J14" s="3965"/>
      <c r="K14" s="3970"/>
      <c r="L14" s="1304" t="s">
        <v>2250</v>
      </c>
      <c r="M14" s="1305">
        <f>SUM(M7:M13)</f>
        <v>0</v>
      </c>
      <c r="N14" s="1305" t="e">
        <f>ROUND((N7*M7+N8*M8+N9*M9+N10*M10+N11*M11+N12*M12+N13*M13)/M14,0)</f>
        <v>#DIV/0!</v>
      </c>
      <c r="O14" s="1306"/>
      <c r="P14" s="1306"/>
      <c r="Q14" s="1338"/>
      <c r="R14" s="1332">
        <f>SUM(R7:R13)</f>
        <v>0</v>
      </c>
      <c r="S14" s="1330"/>
      <c r="T14" s="1330"/>
      <c r="U14" s="1330"/>
      <c r="V14" s="1291"/>
    </row>
    <row r="15" spans="1:22" s="1177" customFormat="1" ht="13.15" customHeight="1">
      <c r="A15" s="1224" t="s">
        <v>2251</v>
      </c>
      <c r="B15" s="3961" t="s">
        <v>2252</v>
      </c>
      <c r="C15" s="3962"/>
      <c r="D15" s="1227">
        <f>ROUND(D6*E15,0)</f>
        <v>0</v>
      </c>
      <c r="E15" s="1228">
        <v>5.5E-2</v>
      </c>
      <c r="F15" s="1219" t="s">
        <v>2253</v>
      </c>
      <c r="G15" s="1206"/>
      <c r="H15" s="1195"/>
      <c r="I15" s="1291"/>
      <c r="J15" s="3965">
        <v>2</v>
      </c>
      <c r="K15" s="3968" t="s">
        <v>2254</v>
      </c>
      <c r="L15" s="1301" t="s">
        <v>2255</v>
      </c>
      <c r="M15" s="1302" t="s">
        <v>2256</v>
      </c>
      <c r="N15" s="1302" t="s">
        <v>2257</v>
      </c>
      <c r="O15" s="1303" t="s">
        <v>2258</v>
      </c>
      <c r="P15" s="1303" t="s">
        <v>2220</v>
      </c>
      <c r="Q15" s="1199" t="s">
        <v>138</v>
      </c>
      <c r="R15" s="1339" t="s">
        <v>2221</v>
      </c>
      <c r="S15" s="1330"/>
      <c r="T15" s="1330"/>
      <c r="U15" s="1330"/>
      <c r="V15" s="1291"/>
    </row>
    <row r="16" spans="1:22" s="1177" customFormat="1" ht="13.15" customHeight="1">
      <c r="A16" s="1224" t="s">
        <v>2259</v>
      </c>
      <c r="B16" s="3961" t="s">
        <v>2260</v>
      </c>
      <c r="C16" s="3962"/>
      <c r="D16" s="1233">
        <f>D6*E16</f>
        <v>0</v>
      </c>
      <c r="E16" s="1234"/>
      <c r="F16" s="1222" t="s">
        <v>2261</v>
      </c>
      <c r="G16" s="1206"/>
      <c r="H16" s="1195"/>
      <c r="I16" s="1291"/>
      <c r="J16" s="3965"/>
      <c r="K16" s="3969"/>
      <c r="L16" s="1301" t="s">
        <v>2262</v>
      </c>
      <c r="M16" s="1302"/>
      <c r="N16" s="1302"/>
      <c r="O16" s="1303"/>
      <c r="P16" s="1232">
        <v>365</v>
      </c>
      <c r="Q16" s="1199"/>
      <c r="R16" s="1339">
        <f>ROUND(M16*N16*O16*P16/10000,0)</f>
        <v>0</v>
      </c>
      <c r="S16" s="1330"/>
      <c r="T16" s="1330"/>
      <c r="U16" s="1330"/>
      <c r="V16" s="1291"/>
    </row>
    <row r="17" spans="1:22" s="1177" customFormat="1" ht="13.15" customHeight="1">
      <c r="A17" s="1235">
        <v>4</v>
      </c>
      <c r="B17" s="3963" t="s">
        <v>2263</v>
      </c>
      <c r="C17" s="3964"/>
      <c r="D17" s="1236">
        <f>ROUND(D6*E17,0)</f>
        <v>0</v>
      </c>
      <c r="E17" s="1237"/>
      <c r="F17" s="1238" t="s">
        <v>2264</v>
      </c>
      <c r="G17" s="1206"/>
      <c r="H17" s="1195"/>
      <c r="I17" s="1291"/>
      <c r="J17" s="3965"/>
      <c r="K17" s="3969"/>
      <c r="L17" s="1301" t="s">
        <v>2265</v>
      </c>
      <c r="M17" s="1302"/>
      <c r="N17" s="1302"/>
      <c r="O17" s="1303"/>
      <c r="P17" s="1232">
        <v>365</v>
      </c>
      <c r="Q17" s="1199"/>
      <c r="R17" s="1339">
        <f>ROUND(M17*N17*O17*P17/10000,0)</f>
        <v>0</v>
      </c>
      <c r="S17" s="1330"/>
      <c r="T17" s="1330"/>
      <c r="U17" s="1330"/>
      <c r="V17" s="1291"/>
    </row>
    <row r="18" spans="1:22" s="1177" customFormat="1" ht="13.15" customHeight="1">
      <c r="A18" s="1207" t="s">
        <v>2266</v>
      </c>
      <c r="B18" s="1208"/>
      <c r="C18" s="1208"/>
      <c r="D18" s="1239">
        <f>ROUND(D6*E18,0)</f>
        <v>0</v>
      </c>
      <c r="E18" s="1240"/>
      <c r="F18" s="1241" t="s">
        <v>2267</v>
      </c>
      <c r="G18" s="1206"/>
      <c r="H18" s="1195"/>
      <c r="I18" s="1291"/>
      <c r="J18" s="3965"/>
      <c r="K18" s="3969"/>
      <c r="L18" s="1301" t="s">
        <v>2268</v>
      </c>
      <c r="M18" s="1302"/>
      <c r="N18" s="1302"/>
      <c r="O18" s="1303"/>
      <c r="P18" s="1232">
        <v>365</v>
      </c>
      <c r="Q18" s="1199"/>
      <c r="R18" s="1339">
        <f>ROUND(M18*N18*O18*P18/10000,0)</f>
        <v>0</v>
      </c>
      <c r="S18" s="1330"/>
      <c r="T18" s="1330"/>
      <c r="U18" s="1330"/>
      <c r="V18" s="1291"/>
    </row>
    <row r="19" spans="1:22" s="1177" customFormat="1" ht="13.15" customHeight="1">
      <c r="A19" s="1242" t="s">
        <v>2269</v>
      </c>
      <c r="B19" s="1204"/>
      <c r="C19" s="1204"/>
      <c r="D19" s="1204"/>
      <c r="E19" s="1204"/>
      <c r="F19" s="1205"/>
      <c r="G19" s="1220"/>
      <c r="H19" s="1195"/>
      <c r="I19" s="1291"/>
      <c r="J19" s="3965"/>
      <c r="K19" s="3970"/>
      <c r="L19" s="1304" t="s">
        <v>2250</v>
      </c>
      <c r="M19" s="1305"/>
      <c r="N19" s="1305">
        <f>SUM(N16:N18)</f>
        <v>0</v>
      </c>
      <c r="O19" s="1306"/>
      <c r="P19" s="1307" t="s">
        <v>2270</v>
      </c>
      <c r="Q19" s="1303"/>
      <c r="R19" s="1340">
        <f>ROUND(IF(P19="按比例",R14*Q19,SUM(R16:R18)),0)</f>
        <v>0</v>
      </c>
      <c r="S19" s="1330"/>
      <c r="T19" s="1330"/>
      <c r="U19" s="1330"/>
      <c r="V19" s="1291"/>
    </row>
    <row r="20" spans="1:22" s="1177" customFormat="1" ht="13.15" customHeight="1">
      <c r="A20" s="1207"/>
      <c r="B20" s="1208"/>
      <c r="C20" s="1208"/>
      <c r="D20" s="1208"/>
      <c r="E20" s="1208"/>
      <c r="F20" s="1243"/>
      <c r="G20" s="1220"/>
      <c r="H20" s="1195"/>
      <c r="I20" s="1291"/>
      <c r="J20" s="3965">
        <v>3</v>
      </c>
      <c r="K20" s="3968" t="s">
        <v>2271</v>
      </c>
      <c r="L20" s="1301" t="s">
        <v>2272</v>
      </c>
      <c r="M20" s="1302" t="s">
        <v>2273</v>
      </c>
      <c r="N20" s="1308" t="s">
        <v>2274</v>
      </c>
      <c r="O20" s="1303" t="s">
        <v>2275</v>
      </c>
      <c r="P20" s="1232" t="s">
        <v>2220</v>
      </c>
      <c r="Q20" s="1199" t="s">
        <v>138</v>
      </c>
      <c r="R20" s="1339" t="s">
        <v>2221</v>
      </c>
      <c r="S20" s="1327"/>
      <c r="T20" s="1327"/>
      <c r="U20" s="1327"/>
      <c r="V20" s="1291"/>
    </row>
    <row r="21" spans="1:22" s="1177" customFormat="1" ht="13.15" customHeight="1">
      <c r="A21" s="1207"/>
      <c r="B21" s="1208"/>
      <c r="C21" s="1215" t="s">
        <v>2276</v>
      </c>
      <c r="D21" s="1244" t="s">
        <v>2277</v>
      </c>
      <c r="E21" s="1216" t="s">
        <v>2278</v>
      </c>
      <c r="F21" s="1243"/>
      <c r="G21" s="1220"/>
      <c r="H21" s="1195"/>
      <c r="I21" s="1291"/>
      <c r="J21" s="3965"/>
      <c r="K21" s="3969"/>
      <c r="L21" s="1301" t="s">
        <v>2279</v>
      </c>
      <c r="M21" s="1302"/>
      <c r="N21" s="1302"/>
      <c r="O21" s="1303"/>
      <c r="P21" s="1232">
        <v>365</v>
      </c>
      <c r="Q21" s="1199"/>
      <c r="R21" s="1341">
        <f>ROUND(M21*N21*O21*P21/10000,0)</f>
        <v>0</v>
      </c>
      <c r="S21" s="1327"/>
      <c r="T21" s="1327"/>
      <c r="U21" s="1327"/>
      <c r="V21" s="1291"/>
    </row>
    <row r="22" spans="1:22" s="1177" customFormat="1" ht="13.15" customHeight="1">
      <c r="A22" s="1207"/>
      <c r="B22" s="1208"/>
      <c r="C22" s="1245" t="s">
        <v>2280</v>
      </c>
      <c r="D22" s="1246" t="s">
        <v>2281</v>
      </c>
      <c r="E22" s="1247" t="s">
        <v>2282</v>
      </c>
      <c r="F22" s="1243"/>
      <c r="G22" s="1248"/>
      <c r="H22" s="1195"/>
      <c r="I22" s="1291"/>
      <c r="J22" s="3965"/>
      <c r="K22" s="3969"/>
      <c r="L22" s="1301" t="s">
        <v>2283</v>
      </c>
      <c r="M22" s="1302"/>
      <c r="N22" s="1302"/>
      <c r="O22" s="1303"/>
      <c r="P22" s="1232">
        <v>365</v>
      </c>
      <c r="Q22" s="1199"/>
      <c r="R22" s="1341">
        <f>ROUND(M22*N22*O22*P22/10000,0)</f>
        <v>0</v>
      </c>
      <c r="S22" s="1327"/>
      <c r="T22" s="1327"/>
      <c r="U22" s="1327"/>
      <c r="V22" s="1291"/>
    </row>
    <row r="23" spans="1:22" s="1177" customFormat="1" ht="13.15" customHeight="1">
      <c r="A23" s="1249">
        <v>1</v>
      </c>
      <c r="B23" s="1250" t="s">
        <v>2284</v>
      </c>
      <c r="C23" s="1251">
        <f>D6</f>
        <v>0</v>
      </c>
      <c r="D23" s="1252">
        <f>C23*(1+D24)</f>
        <v>0</v>
      </c>
      <c r="E23" s="1253">
        <f>D23*(1+E24)</f>
        <v>0</v>
      </c>
      <c r="F23" s="1254"/>
      <c r="G23" s="1255"/>
      <c r="H23" s="1195"/>
      <c r="I23" s="1291"/>
      <c r="J23" s="3965"/>
      <c r="K23" s="3969"/>
      <c r="L23" s="1301" t="s">
        <v>2285</v>
      </c>
      <c r="M23" s="1302"/>
      <c r="N23" s="1302"/>
      <c r="O23" s="1303"/>
      <c r="P23" s="1232">
        <v>365</v>
      </c>
      <c r="Q23" s="1199"/>
      <c r="R23" s="1341">
        <f>ROUND(M23*N23*O23*P23/10000,0)</f>
        <v>0</v>
      </c>
      <c r="S23" s="1330"/>
      <c r="T23" s="1330"/>
      <c r="U23" s="1330"/>
      <c r="V23" s="1291"/>
    </row>
    <row r="24" spans="1:22" s="1177" customFormat="1" ht="13.15" customHeight="1">
      <c r="A24" s="1256"/>
      <c r="B24" s="1257" t="s">
        <v>2286</v>
      </c>
      <c r="C24" s="1258"/>
      <c r="D24" s="1259"/>
      <c r="E24" s="1260"/>
      <c r="F24" s="1261"/>
      <c r="G24" s="1255"/>
      <c r="H24" s="1195"/>
      <c r="I24" s="1291"/>
      <c r="J24" s="3965"/>
      <c r="K24" s="3970"/>
      <c r="L24" s="1304" t="s">
        <v>2250</v>
      </c>
      <c r="M24" s="1305">
        <f>SUM(M21:M23)</f>
        <v>0</v>
      </c>
      <c r="N24" s="1305"/>
      <c r="O24" s="1306"/>
      <c r="P24" s="1307" t="s">
        <v>2270</v>
      </c>
      <c r="Q24" s="1303"/>
      <c r="R24" s="1340">
        <f>ROUND(IF(P24="按比例",R14*Q24,SUM(R21:R23)),0)</f>
        <v>0</v>
      </c>
      <c r="S24" s="1330"/>
      <c r="T24" s="1330"/>
      <c r="U24" s="1330"/>
      <c r="V24" s="1291"/>
    </row>
    <row r="25" spans="1:22" s="1178" customFormat="1" ht="13.15" customHeight="1">
      <c r="A25" s="1256"/>
      <c r="B25" s="1257"/>
      <c r="C25" s="1258"/>
      <c r="D25" s="1259"/>
      <c r="E25" s="1260"/>
      <c r="F25" s="1261"/>
      <c r="G25" s="1248"/>
      <c r="H25" s="1195"/>
      <c r="I25" s="1291"/>
      <c r="J25" s="1298">
        <v>4</v>
      </c>
      <c r="K25" s="1309" t="s">
        <v>2287</v>
      </c>
      <c r="L25" s="1310"/>
      <c r="M25" s="1310"/>
      <c r="N25" s="1310"/>
      <c r="O25" s="1310"/>
      <c r="P25" s="1311"/>
      <c r="Q25" s="1342"/>
      <c r="R25" s="1340">
        <f>ROUND(R14*Q25,0)</f>
        <v>0</v>
      </c>
      <c r="S25" s="1330"/>
      <c r="T25" s="1330"/>
      <c r="U25" s="1330"/>
      <c r="V25" s="1317"/>
    </row>
    <row r="26" spans="1:22" s="1178" customFormat="1" ht="13.15" customHeight="1">
      <c r="A26" s="1249">
        <v>2</v>
      </c>
      <c r="B26" s="1250" t="s">
        <v>2288</v>
      </c>
      <c r="C26" s="1251">
        <f>D7</f>
        <v>0</v>
      </c>
      <c r="D26" s="1252">
        <f>D23*D27</f>
        <v>0</v>
      </c>
      <c r="E26" s="1253">
        <f>E23*E27</f>
        <v>0</v>
      </c>
      <c r="F26" s="1254"/>
      <c r="G26" s="1255"/>
      <c r="H26" s="1195"/>
      <c r="I26" s="1291"/>
      <c r="J26" s="3966">
        <v>5</v>
      </c>
      <c r="K26" s="1312" t="s">
        <v>2289</v>
      </c>
      <c r="L26" s="1313"/>
      <c r="M26" s="1314"/>
      <c r="N26" s="1315" t="s">
        <v>2290</v>
      </c>
      <c r="O26" s="1315" t="s">
        <v>2291</v>
      </c>
      <c r="P26" s="1316" t="s">
        <v>2292</v>
      </c>
      <c r="Q26" s="1316" t="s">
        <v>2293</v>
      </c>
      <c r="R26" s="1334" t="s">
        <v>2221</v>
      </c>
      <c r="S26" s="1343"/>
      <c r="T26" s="1343"/>
      <c r="U26" s="1343"/>
      <c r="V26" s="1317"/>
    </row>
    <row r="27" spans="1:22" s="1177" customFormat="1" ht="13.15" customHeight="1">
      <c r="A27" s="1256"/>
      <c r="B27" s="1257" t="s">
        <v>2294</v>
      </c>
      <c r="C27" s="1262" t="e">
        <f>E7</f>
        <v>#DIV/0!</v>
      </c>
      <c r="D27" s="1259"/>
      <c r="E27" s="1260"/>
      <c r="F27" s="1261"/>
      <c r="G27" s="1255"/>
      <c r="H27" s="1263"/>
      <c r="I27" s="1317"/>
      <c r="J27" s="3967"/>
      <c r="K27" s="1318"/>
      <c r="L27" s="1319"/>
      <c r="M27" s="1320"/>
      <c r="N27" s="1321"/>
      <c r="O27" s="1321"/>
      <c r="P27" s="1321"/>
      <c r="Q27" s="1344"/>
      <c r="R27" s="1340">
        <f>ROUND(O27*N27*P27*(1-Q27)/10000,0)</f>
        <v>0</v>
      </c>
      <c r="S27" s="1330"/>
      <c r="T27" s="1330"/>
      <c r="U27" s="1330"/>
      <c r="V27" s="1291"/>
    </row>
    <row r="28" spans="1:22" s="1178" customFormat="1" ht="13.15" customHeight="1">
      <c r="A28" s="1256"/>
      <c r="B28" s="1257"/>
      <c r="C28" s="1262"/>
      <c r="D28" s="1259"/>
      <c r="E28" s="1260" t="s">
        <v>2012</v>
      </c>
      <c r="F28" s="1261"/>
      <c r="G28" s="1248"/>
      <c r="H28" s="1263"/>
      <c r="I28" s="1317"/>
      <c r="J28" s="1322">
        <v>6</v>
      </c>
      <c r="K28" s="1323" t="s">
        <v>2034</v>
      </c>
      <c r="L28" s="1324" t="s">
        <v>2295</v>
      </c>
      <c r="M28" s="1325"/>
      <c r="N28" s="1324" t="s">
        <v>2036</v>
      </c>
      <c r="O28" s="1326"/>
      <c r="P28" s="1324" t="s">
        <v>2296</v>
      </c>
      <c r="Q28" s="1345">
        <v>1.4999999999999999E-2</v>
      </c>
      <c r="R28" s="1346"/>
      <c r="S28" s="1327"/>
      <c r="T28" s="1327"/>
      <c r="U28" s="1327"/>
      <c r="V28" s="1317"/>
    </row>
    <row r="29" spans="1:22" s="1178" customFormat="1" ht="13.15" customHeight="1">
      <c r="A29" s="1249">
        <v>3</v>
      </c>
      <c r="B29" s="1250" t="s">
        <v>2297</v>
      </c>
      <c r="C29" s="1251">
        <f>C23*C30</f>
        <v>0</v>
      </c>
      <c r="D29" s="1252">
        <f>D23*C30</f>
        <v>0</v>
      </c>
      <c r="E29" s="1253">
        <f>E23*C30</f>
        <v>0</v>
      </c>
      <c r="F29" s="1254"/>
      <c r="G29" s="1255"/>
      <c r="H29" s="1195"/>
      <c r="I29" s="1291"/>
      <c r="J29" s="1327"/>
      <c r="K29" s="1327"/>
      <c r="L29" s="1327"/>
      <c r="M29" s="1327"/>
      <c r="N29" s="1327"/>
      <c r="O29" s="1327"/>
      <c r="P29" s="1327"/>
      <c r="Q29" s="1327"/>
      <c r="R29" s="1327"/>
      <c r="S29" s="1327"/>
      <c r="T29" s="1327"/>
      <c r="U29" s="1327"/>
      <c r="V29" s="1317"/>
    </row>
    <row r="30" spans="1:22" s="1177" customFormat="1" ht="13.15" customHeight="1">
      <c r="A30" s="1256"/>
      <c r="B30" s="1257" t="s">
        <v>2294</v>
      </c>
      <c r="C30" s="1262">
        <f>E18</f>
        <v>0</v>
      </c>
      <c r="D30" s="1264"/>
      <c r="E30" s="1231"/>
      <c r="F30" s="1261"/>
      <c r="G30" s="1255"/>
      <c r="H30" s="1263"/>
      <c r="I30" s="1317"/>
      <c r="J30" s="1327"/>
      <c r="K30" s="1327"/>
      <c r="L30" s="1327"/>
      <c r="M30" s="1327"/>
      <c r="N30" s="1327"/>
      <c r="O30" s="1327"/>
      <c r="P30" s="1327"/>
      <c r="Q30" s="1327"/>
      <c r="R30" s="1327"/>
      <c r="S30" s="1327"/>
      <c r="T30" s="1327"/>
      <c r="U30" s="1330"/>
      <c r="V30" s="1291"/>
    </row>
    <row r="31" spans="1:22" s="1178" customFormat="1" ht="13.15" customHeight="1">
      <c r="A31" s="1256"/>
      <c r="B31" s="1257"/>
      <c r="C31" s="1265"/>
      <c r="D31" s="1264"/>
      <c r="E31" s="1231"/>
      <c r="F31" s="1261"/>
      <c r="G31" s="1248"/>
      <c r="H31" s="1263"/>
      <c r="I31" s="1317"/>
      <c r="J31" s="1289" t="s">
        <v>2298</v>
      </c>
      <c r="K31" s="1290"/>
      <c r="L31" s="1290"/>
      <c r="M31" s="1290"/>
      <c r="N31" s="1290"/>
      <c r="O31" s="1290"/>
      <c r="P31" s="1290"/>
      <c r="Q31" s="1290"/>
      <c r="R31" s="1329"/>
      <c r="S31" s="1327"/>
      <c r="T31" s="1330"/>
      <c r="U31" s="1330"/>
      <c r="V31" s="1317"/>
    </row>
    <row r="32" spans="1:22" s="1178" customFormat="1" ht="13.15" customHeight="1">
      <c r="A32" s="1249">
        <v>4</v>
      </c>
      <c r="B32" s="1250" t="s">
        <v>2299</v>
      </c>
      <c r="C32" s="1251">
        <f>C23-C26-C29</f>
        <v>0</v>
      </c>
      <c r="D32" s="1252">
        <f>D23-D26-D29</f>
        <v>0</v>
      </c>
      <c r="E32" s="1253">
        <f>E23-E26-E29</f>
        <v>0</v>
      </c>
      <c r="F32" s="1254"/>
      <c r="G32" s="1248"/>
      <c r="H32" s="1195"/>
      <c r="I32" s="1291"/>
      <c r="J32" s="3952" t="s">
        <v>2199</v>
      </c>
      <c r="K32" s="3953"/>
      <c r="L32" s="1292" t="s">
        <v>2200</v>
      </c>
      <c r="M32" s="1292" t="s">
        <v>2201</v>
      </c>
      <c r="N32" s="1292" t="s">
        <v>2202</v>
      </c>
      <c r="O32" s="1292" t="s">
        <v>2203</v>
      </c>
      <c r="P32" s="1292" t="s">
        <v>2204</v>
      </c>
      <c r="Q32" s="1331" t="s">
        <v>2205</v>
      </c>
      <c r="R32" s="1347" t="s">
        <v>2206</v>
      </c>
      <c r="S32" s="1327"/>
      <c r="T32" s="1330"/>
      <c r="U32" s="1330"/>
      <c r="V32" s="1317"/>
    </row>
    <row r="33" spans="1:23" s="1177" customFormat="1" ht="13.15" customHeight="1">
      <c r="A33" s="1249"/>
      <c r="B33" s="1250"/>
      <c r="C33" s="1251"/>
      <c r="D33" s="1266"/>
      <c r="E33" s="1226"/>
      <c r="F33" s="1254"/>
      <c r="G33" s="1248"/>
      <c r="H33" s="1263"/>
      <c r="I33" s="1317"/>
      <c r="J33" s="3954" t="s">
        <v>2209</v>
      </c>
      <c r="K33" s="3955"/>
      <c r="L33" s="1293"/>
      <c r="M33" s="1293"/>
      <c r="N33" s="1293"/>
      <c r="O33" s="1293"/>
      <c r="P33" s="1293"/>
      <c r="Q33" s="1333"/>
      <c r="R33" s="1348">
        <f>SUM(L33:Q33)</f>
        <v>0</v>
      </c>
      <c r="S33" s="1327"/>
      <c r="T33" s="1330"/>
      <c r="U33" s="1330"/>
      <c r="V33" s="1291"/>
    </row>
    <row r="34" spans="1:23" s="1177" customFormat="1" ht="13.15" customHeight="1">
      <c r="A34" s="1249">
        <v>5</v>
      </c>
      <c r="B34" s="1250" t="s">
        <v>2300</v>
      </c>
      <c r="C34" s="1267"/>
      <c r="D34" s="1268"/>
      <c r="E34" s="1269"/>
      <c r="F34" s="1254"/>
      <c r="G34" s="1248"/>
      <c r="H34" s="1263"/>
      <c r="I34" s="1317"/>
      <c r="J34" s="3954" t="s">
        <v>2210</v>
      </c>
      <c r="K34" s="3955"/>
      <c r="L34" s="1294"/>
      <c r="M34" s="1294"/>
      <c r="N34" s="1294"/>
      <c r="O34" s="1294"/>
      <c r="P34" s="1294"/>
      <c r="Q34" s="1335"/>
      <c r="R34" s="1349">
        <f>SUM(L34:Q34)</f>
        <v>0</v>
      </c>
      <c r="S34" s="1327"/>
      <c r="T34" s="1330"/>
      <c r="U34" s="1330" t="e">
        <f>ROUND(R35*10000/365/R33,1)</f>
        <v>#DIV/0!</v>
      </c>
      <c r="V34" s="1291"/>
    </row>
    <row r="35" spans="1:23" s="1177" customFormat="1" ht="13.15" customHeight="1">
      <c r="A35" s="1249">
        <v>6</v>
      </c>
      <c r="B35" s="1250" t="s">
        <v>2301</v>
      </c>
      <c r="C35" s="1270"/>
      <c r="D35" s="1271"/>
      <c r="E35" s="1272"/>
      <c r="F35" s="1254"/>
      <c r="G35" s="1273"/>
      <c r="H35" s="1195"/>
      <c r="I35" s="1317"/>
      <c r="J35" s="1295" t="s">
        <v>2211</v>
      </c>
      <c r="K35" s="1296"/>
      <c r="L35" s="1296"/>
      <c r="M35" s="1297"/>
      <c r="N35" s="1297"/>
      <c r="O35" s="1297"/>
      <c r="P35" s="1297"/>
      <c r="Q35" s="1297"/>
      <c r="R35" s="1350">
        <f>R40+R41+R43</f>
        <v>0</v>
      </c>
      <c r="S35" s="1327"/>
      <c r="T35" s="1330" t="s">
        <v>2212</v>
      </c>
      <c r="U35" s="1330"/>
      <c r="V35" s="1291"/>
    </row>
    <row r="36" spans="1:23" s="1177" customFormat="1" ht="13.15" customHeight="1">
      <c r="A36" s="1249">
        <v>7</v>
      </c>
      <c r="B36" s="1274" t="s">
        <v>2302</v>
      </c>
      <c r="C36" s="1275"/>
      <c r="D36" s="1276"/>
      <c r="E36" s="1277"/>
      <c r="F36" s="1278">
        <f>C36+D36+E36</f>
        <v>0</v>
      </c>
      <c r="G36" s="1248"/>
      <c r="H36" s="1195"/>
      <c r="I36" s="1291"/>
      <c r="J36" s="3965">
        <v>1</v>
      </c>
      <c r="K36" s="3968" t="s">
        <v>2303</v>
      </c>
      <c r="L36" s="1299"/>
      <c r="M36" s="1300"/>
      <c r="N36" s="1300"/>
      <c r="O36" s="1300"/>
      <c r="P36" s="1300"/>
      <c r="Q36" s="1300"/>
      <c r="R36" s="1334" t="s">
        <v>2221</v>
      </c>
      <c r="S36" s="1327"/>
      <c r="T36" s="1330" t="s">
        <v>2222</v>
      </c>
      <c r="U36" s="1330"/>
      <c r="V36" s="1291"/>
    </row>
    <row r="37" spans="1:23" s="1177" customFormat="1" ht="13.15" customHeight="1">
      <c r="A37" s="1249"/>
      <c r="B37" s="1250"/>
      <c r="C37" s="1250"/>
      <c r="D37" s="1250"/>
      <c r="E37" s="1250"/>
      <c r="F37" s="1254"/>
      <c r="G37" s="1248"/>
      <c r="H37" s="1195"/>
      <c r="I37" s="1291"/>
      <c r="J37" s="3965"/>
      <c r="K37" s="3969"/>
      <c r="L37" s="1301"/>
      <c r="M37" s="1302"/>
      <c r="N37" s="1199"/>
      <c r="O37" s="1303"/>
      <c r="P37" s="1303"/>
      <c r="Q37" s="1232"/>
      <c r="R37" s="1337"/>
      <c r="S37" s="1327"/>
      <c r="T37" s="1330" t="s">
        <v>2225</v>
      </c>
      <c r="U37" s="1330"/>
      <c r="V37" s="1291"/>
    </row>
    <row r="38" spans="1:23" s="1177" customFormat="1" ht="13.15" customHeight="1">
      <c r="A38" s="1249">
        <v>8</v>
      </c>
      <c r="B38" s="1250"/>
      <c r="C38" s="1217" t="e">
        <f>ROUND(C32*(1-((1+C35)/(1+C34))^C36)/(C34-C35),0)</f>
        <v>#DIV/0!</v>
      </c>
      <c r="D38" s="1217">
        <f>IF(D23=0,0,ROUND(D32*(1-((1+D35)/(1+D34))^D36)/(D34-D35),0))</f>
        <v>0</v>
      </c>
      <c r="E38" s="1217">
        <f>IF(E23=0,0,ROUND(E32*(1-((1+E35)/(1+E34))^E36)/(E34-E35),0))</f>
        <v>0</v>
      </c>
      <c r="F38" s="1254"/>
      <c r="G38" s="1248"/>
      <c r="H38" s="1195"/>
      <c r="I38" s="1291"/>
      <c r="J38" s="3965"/>
      <c r="K38" s="3969"/>
      <c r="L38" s="1301"/>
      <c r="M38" s="1302"/>
      <c r="N38" s="1199"/>
      <c r="O38" s="1303"/>
      <c r="P38" s="1303"/>
      <c r="Q38" s="1232"/>
      <c r="R38" s="1337"/>
      <c r="S38" s="1327"/>
      <c r="T38" s="1330" t="s">
        <v>2232</v>
      </c>
      <c r="U38" s="1330"/>
      <c r="V38" s="1291"/>
    </row>
    <row r="39" spans="1:23" s="1177" customFormat="1" ht="13.15" customHeight="1">
      <c r="A39" s="1249">
        <v>9</v>
      </c>
      <c r="B39" s="1250" t="s">
        <v>2304</v>
      </c>
      <c r="C39" s="1227" t="e">
        <f>C38</f>
        <v>#DIV/0!</v>
      </c>
      <c r="D39" s="1250">
        <f>D38/(1+D34)^C36</f>
        <v>0</v>
      </c>
      <c r="E39" s="1250">
        <f>E38/(1+E34)^(C36+D36)</f>
        <v>0</v>
      </c>
      <c r="F39" s="1254"/>
      <c r="G39" s="1279"/>
      <c r="H39" s="1195"/>
      <c r="I39" s="1291"/>
      <c r="J39" s="3965"/>
      <c r="K39" s="3969"/>
      <c r="L39" s="1301"/>
      <c r="M39" s="1302"/>
      <c r="N39" s="1199"/>
      <c r="O39" s="1303"/>
      <c r="P39" s="1303"/>
      <c r="Q39" s="1232"/>
      <c r="R39" s="1337"/>
      <c r="S39" s="1327"/>
      <c r="T39" s="1330"/>
      <c r="U39" s="1330"/>
      <c r="V39" s="1291"/>
    </row>
    <row r="40" spans="1:23" s="1177" customFormat="1" ht="13.15" customHeight="1">
      <c r="A40" s="1280">
        <v>10</v>
      </c>
      <c r="B40" s="1250" t="s">
        <v>2305</v>
      </c>
      <c r="C40" s="1281" t="e">
        <f>C39+D39+E39</f>
        <v>#DIV/0!</v>
      </c>
      <c r="D40" s="1282"/>
      <c r="E40" s="1282"/>
      <c r="F40" s="1283"/>
      <c r="G40" s="1248"/>
      <c r="H40" s="1195"/>
      <c r="I40" s="1291"/>
      <c r="J40" s="3965"/>
      <c r="K40" s="3970"/>
      <c r="L40" s="1304" t="s">
        <v>2250</v>
      </c>
      <c r="M40" s="1305"/>
      <c r="N40" s="1305"/>
      <c r="O40" s="1306"/>
      <c r="P40" s="1306"/>
      <c r="Q40" s="1338"/>
      <c r="R40" s="1332">
        <f>SUM(R37:R39)</f>
        <v>0</v>
      </c>
      <c r="S40" s="1327"/>
      <c r="T40" s="1330"/>
      <c r="U40" s="1330"/>
      <c r="V40" s="1291"/>
    </row>
    <row r="41" spans="1:23" s="1177" customFormat="1" ht="13.15" customHeight="1">
      <c r="A41" s="1284">
        <v>11</v>
      </c>
      <c r="B41" s="1285" t="s">
        <v>2306</v>
      </c>
      <c r="C41" s="1285" t="e">
        <f>ROUND(C40*10000/B4,0)</f>
        <v>#DIV/0!</v>
      </c>
      <c r="D41" s="1286"/>
      <c r="E41" s="1286"/>
      <c r="F41" s="1287"/>
      <c r="G41" s="1288"/>
      <c r="H41" s="1195"/>
      <c r="I41" s="1291"/>
      <c r="J41" s="1298">
        <v>2</v>
      </c>
      <c r="K41" s="1309" t="s">
        <v>2287</v>
      </c>
      <c r="L41" s="1310"/>
      <c r="M41" s="1310"/>
      <c r="N41" s="1310"/>
      <c r="O41" s="1310"/>
      <c r="P41" s="1311"/>
      <c r="Q41" s="1342"/>
      <c r="R41" s="1340">
        <f>ROUND(R40*Q41,0)</f>
        <v>0</v>
      </c>
      <c r="S41" s="1327"/>
      <c r="T41" s="1330"/>
      <c r="U41" s="1343"/>
      <c r="V41" s="1291"/>
    </row>
    <row r="42" spans="1:23" s="1177" customFormat="1" ht="13.15" customHeight="1">
      <c r="G42" s="1288"/>
      <c r="H42" s="1195"/>
      <c r="I42" s="1291"/>
      <c r="J42" s="3966">
        <v>3</v>
      </c>
      <c r="K42" s="1312" t="s">
        <v>2289</v>
      </c>
      <c r="L42" s="1313"/>
      <c r="M42" s="1314"/>
      <c r="N42" s="1315" t="s">
        <v>2290</v>
      </c>
      <c r="O42" s="1315" t="s">
        <v>2291</v>
      </c>
      <c r="P42" s="1316" t="s">
        <v>2292</v>
      </c>
      <c r="Q42" s="1316" t="s">
        <v>2293</v>
      </c>
      <c r="R42" s="1334" t="s">
        <v>2221</v>
      </c>
      <c r="S42" s="1343"/>
      <c r="T42" s="1343"/>
      <c r="U42" s="1330"/>
      <c r="V42" s="1291"/>
    </row>
    <row r="43" spans="1:23" ht="13.15" customHeight="1">
      <c r="A43" s="1177"/>
      <c r="B43" s="1177"/>
      <c r="C43" s="1177"/>
      <c r="D43" s="1177"/>
      <c r="E43" s="1177"/>
      <c r="F43" s="1177"/>
      <c r="I43" s="1181"/>
      <c r="J43" s="3967"/>
      <c r="K43" s="1318"/>
      <c r="L43" s="1319"/>
      <c r="M43" s="1320"/>
      <c r="N43" s="1302"/>
      <c r="O43" s="1302"/>
      <c r="P43" s="1302"/>
      <c r="Q43" s="1342"/>
      <c r="R43" s="1340">
        <f>ROUND(O43*N43*P43*(1-Q43)/10000,0)</f>
        <v>0</v>
      </c>
      <c r="S43" s="1327"/>
      <c r="T43" s="1330"/>
      <c r="V43" s="1183"/>
      <c r="W43" s="1351"/>
    </row>
    <row r="44" spans="1:23" ht="13.15" customHeight="1">
      <c r="J44" s="1322">
        <v>6</v>
      </c>
      <c r="K44" s="1323" t="s">
        <v>2034</v>
      </c>
      <c r="L44" s="1328" t="s">
        <v>2295</v>
      </c>
      <c r="M44" s="1325"/>
      <c r="N44" s="1328" t="s">
        <v>2036</v>
      </c>
      <c r="O44" s="1325"/>
      <c r="P44" s="1328" t="s">
        <v>2296</v>
      </c>
      <c r="Q44" s="1345">
        <v>1.4999999999999999E-2</v>
      </c>
      <c r="R44" s="13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1120" customWidth="1"/>
    <col min="2" max="2" width="26.625" style="1121" customWidth="1"/>
    <col min="3" max="3" width="11.125" style="1121" customWidth="1"/>
    <col min="4" max="5" width="11.125" style="1122" customWidth="1"/>
    <col min="6" max="6" width="9.5" style="1121" customWidth="1"/>
    <col min="7" max="7" width="31.875" style="1121" customWidth="1"/>
    <col min="8" max="25" width="9" style="1123" customWidth="1"/>
    <col min="26" max="254" width="9" style="1121" customWidth="1"/>
    <col min="255" max="16384" width="8.375" style="1121"/>
  </cols>
  <sheetData>
    <row r="1" spans="1:25" s="623" customFormat="1" ht="20.25">
      <c r="A1" s="1124" t="s">
        <v>2307</v>
      </c>
      <c r="B1" s="1125"/>
      <c r="C1" s="1126"/>
      <c r="D1" s="1126"/>
      <c r="E1" s="1126"/>
      <c r="F1" s="1126"/>
      <c r="G1" s="1127"/>
    </row>
    <row r="2" spans="1:25" s="623" customFormat="1" ht="18" customHeight="1">
      <c r="A2" s="214" t="s">
        <v>942</v>
      </c>
      <c r="B2" s="1128">
        <f ca="1">C23</f>
        <v>0</v>
      </c>
      <c r="C2" s="1129"/>
      <c r="D2" s="1129"/>
      <c r="E2" s="1129"/>
      <c r="F2" s="1129"/>
      <c r="G2" s="1129"/>
    </row>
    <row r="3" spans="1:25" s="623" customFormat="1" ht="18" customHeight="1">
      <c r="A3" s="1130" t="s">
        <v>943</v>
      </c>
      <c r="B3" s="1128">
        <f ca="1">ROUND(B2*10000/'数据-汇总表'!E3,0)</f>
        <v>0</v>
      </c>
      <c r="C3" s="1129"/>
      <c r="D3" s="1129"/>
      <c r="E3" s="1129"/>
      <c r="F3" s="1129"/>
      <c r="G3" s="1129"/>
    </row>
    <row r="4" spans="1:25" s="623" customFormat="1" ht="18" customHeight="1">
      <c r="A4" s="997" t="s">
        <v>944</v>
      </c>
      <c r="B4" s="998">
        <f ca="1">ROUND(B2*10000/'数据-汇总表'!D3,0)</f>
        <v>0</v>
      </c>
      <c r="C4" s="1131"/>
      <c r="D4" s="1129"/>
      <c r="E4" s="1129"/>
      <c r="F4" s="1129"/>
      <c r="G4" s="1129"/>
    </row>
    <row r="5" spans="1:25" s="623" customFormat="1" ht="18" customHeight="1">
      <c r="A5" s="1001"/>
      <c r="B5" s="1002">
        <f ca="1">ROUND(B2/('数据-汇总表'!D3/666.67),0)</f>
        <v>0</v>
      </c>
      <c r="C5" s="1003" t="s">
        <v>945</v>
      </c>
      <c r="D5" s="1129"/>
      <c r="E5" s="1129"/>
      <c r="F5" s="1129"/>
      <c r="G5" s="1129"/>
    </row>
    <row r="6" spans="1:25" s="1117" customFormat="1" ht="13.5" customHeight="1">
      <c r="A6" s="1132"/>
      <c r="B6" s="1133" t="s">
        <v>874</v>
      </c>
      <c r="C6" s="1134" t="s">
        <v>2308</v>
      </c>
      <c r="D6" s="1134" t="s">
        <v>2309</v>
      </c>
      <c r="E6" s="1135" t="s">
        <v>2310</v>
      </c>
      <c r="F6" s="1135" t="s">
        <v>875</v>
      </c>
      <c r="G6" s="1136" t="s">
        <v>2311</v>
      </c>
    </row>
    <row r="7" spans="1:25" s="1117" customFormat="1" ht="13.5" customHeight="1">
      <c r="A7" s="1137">
        <v>1</v>
      </c>
      <c r="B7" s="1138" t="s">
        <v>2312</v>
      </c>
      <c r="C7" s="1139">
        <f>C8+C9</f>
        <v>0</v>
      </c>
      <c r="D7" s="1139"/>
      <c r="E7" s="1140"/>
      <c r="F7" s="1140"/>
      <c r="G7" s="1141"/>
    </row>
    <row r="8" spans="1:25" s="1117" customFormat="1" ht="13.5" customHeight="1">
      <c r="A8" s="1137" t="s">
        <v>2313</v>
      </c>
      <c r="B8" s="1142" t="s">
        <v>2314</v>
      </c>
      <c r="C8" s="1143">
        <f>ROUND(D8*E8/10000,0)</f>
        <v>0</v>
      </c>
      <c r="D8" s="1143">
        <v>0</v>
      </c>
      <c r="E8" s="1144">
        <v>0</v>
      </c>
      <c r="F8" s="1140"/>
      <c r="G8" s="1145"/>
    </row>
    <row r="9" spans="1:25" s="1117" customFormat="1" ht="13.5" customHeight="1">
      <c r="A9" s="1137" t="s">
        <v>2315</v>
      </c>
      <c r="B9" s="1142" t="s">
        <v>2316</v>
      </c>
      <c r="C9" s="1143">
        <f>ROUND(D9*E9/10000,0)</f>
        <v>0</v>
      </c>
      <c r="D9" s="1143">
        <v>0</v>
      </c>
      <c r="E9" s="1144">
        <v>0</v>
      </c>
      <c r="F9" s="1140"/>
      <c r="G9" s="1145"/>
    </row>
    <row r="10" spans="1:25" s="1117" customFormat="1" ht="36">
      <c r="A10" s="1137">
        <v>2</v>
      </c>
      <c r="B10" s="1138" t="s">
        <v>2317</v>
      </c>
      <c r="C10" s="1139">
        <f>C11+C14+C15</f>
        <v>0</v>
      </c>
      <c r="D10" s="1146"/>
      <c r="E10" s="1139"/>
      <c r="F10" s="1147"/>
      <c r="G10" s="1148" t="s">
        <v>2318</v>
      </c>
    </row>
    <row r="11" spans="1:25" s="1117" customFormat="1" ht="13.5" customHeight="1">
      <c r="A11" s="1137" t="s">
        <v>2313</v>
      </c>
      <c r="B11" s="1149" t="s">
        <v>2319</v>
      </c>
      <c r="C11" s="1150">
        <f>'数据-取费表'!B29</f>
        <v>0</v>
      </c>
      <c r="D11" s="1151"/>
      <c r="E11" s="1150"/>
      <c r="F11" s="1152"/>
      <c r="G11" s="1153" t="s">
        <v>2320</v>
      </c>
    </row>
    <row r="12" spans="1:25" s="1117" customFormat="1" ht="13.5" customHeight="1">
      <c r="A12" s="1154" t="s">
        <v>2321</v>
      </c>
      <c r="B12" s="1155" t="s">
        <v>2322</v>
      </c>
      <c r="C12" s="1156">
        <f>ROUND(D12*E12/10000,0)</f>
        <v>1788</v>
      </c>
      <c r="D12" s="1143">
        <f>'数据-汇总表'!E5</f>
        <v>119188.85</v>
      </c>
      <c r="E12" s="1143">
        <f>'数据-取费表'!B27</f>
        <v>150</v>
      </c>
      <c r="F12" s="1152"/>
      <c r="G12" s="1148"/>
    </row>
    <row r="13" spans="1:25" s="1117" customFormat="1" ht="13.5" customHeight="1">
      <c r="A13" s="1154" t="s">
        <v>2323</v>
      </c>
      <c r="B13" s="1155" t="s">
        <v>2324</v>
      </c>
      <c r="C13" s="1156">
        <f>ROUND(D13*E13/10000,0)</f>
        <v>1038</v>
      </c>
      <c r="D13" s="1143">
        <f>'数据-汇总表'!E6</f>
        <v>54638.27999999997</v>
      </c>
      <c r="E13" s="1143">
        <f>'数据-取费表'!B28</f>
        <v>190</v>
      </c>
      <c r="F13" s="1152"/>
      <c r="G13" s="1148"/>
    </row>
    <row r="14" spans="1:25" s="1117" customFormat="1" ht="13.5" customHeight="1">
      <c r="A14" s="1137" t="s">
        <v>2315</v>
      </c>
      <c r="B14" s="1157" t="s">
        <v>2325</v>
      </c>
      <c r="C14" s="1158">
        <f>ROUND(D14*E14/10000,0)</f>
        <v>0</v>
      </c>
      <c r="D14" s="1143">
        <v>0</v>
      </c>
      <c r="E14" s="1144">
        <v>0</v>
      </c>
      <c r="F14" s="1159"/>
      <c r="G14" s="1160" t="s">
        <v>2326</v>
      </c>
    </row>
    <row r="15" spans="1:25" s="1117" customFormat="1" ht="13.5" customHeight="1">
      <c r="A15" s="1137" t="s">
        <v>2327</v>
      </c>
      <c r="B15" s="1157" t="s">
        <v>2328</v>
      </c>
      <c r="C15" s="1158">
        <f>ROUND(D15*E15/10000,0)</f>
        <v>0</v>
      </c>
      <c r="D15" s="1143">
        <v>0</v>
      </c>
      <c r="E15" s="1144">
        <v>0</v>
      </c>
      <c r="F15" s="1159"/>
      <c r="G15" s="1160" t="s">
        <v>2329</v>
      </c>
    </row>
    <row r="16" spans="1:25" s="1118" customFormat="1" ht="48">
      <c r="A16" s="1137">
        <v>3</v>
      </c>
      <c r="B16" s="1138" t="s">
        <v>2330</v>
      </c>
      <c r="C16" s="1158">
        <f>ROUND(D16*E16/10000,0)</f>
        <v>0</v>
      </c>
      <c r="D16" s="1143">
        <v>0</v>
      </c>
      <c r="E16" s="1144">
        <v>0</v>
      </c>
      <c r="F16" s="1147"/>
      <c r="G16" s="1148" t="s">
        <v>2331</v>
      </c>
      <c r="H16" s="1117"/>
      <c r="I16" s="1117"/>
      <c r="J16" s="1117"/>
      <c r="K16" s="1117"/>
      <c r="L16" s="1117"/>
      <c r="M16" s="1117"/>
      <c r="N16" s="1117"/>
      <c r="O16" s="1117"/>
      <c r="P16" s="1117"/>
      <c r="Q16" s="1117"/>
      <c r="R16" s="1117"/>
      <c r="S16" s="1117"/>
      <c r="T16" s="1117"/>
      <c r="U16" s="1117"/>
      <c r="V16" s="1117"/>
      <c r="W16" s="1117"/>
      <c r="X16" s="1117"/>
      <c r="Y16" s="1117"/>
    </row>
    <row r="17" spans="1:25" s="1118" customFormat="1" ht="25.5">
      <c r="A17" s="1161">
        <v>4</v>
      </c>
      <c r="B17" s="1138" t="s">
        <v>2332</v>
      </c>
      <c r="C17" s="1162">
        <f ca="1">ROUND(IF('数据-取费表'!B19&lt;=1,((C7+C16)*'数据-取费表'!B19+C10*'数据-取费表'!B19/2)*F17,((C7+C16)*(POWER((1+F17),'数据-取费表'!B19)-1)+C10*(POWER((1+F17),'数据-取费表'!B19/2)-1))),0)</f>
        <v>0</v>
      </c>
      <c r="D17" s="1163"/>
      <c r="E17" s="1164"/>
      <c r="F17" s="1165">
        <f ca="1">存贷款利率!E3</f>
        <v>0</v>
      </c>
      <c r="G17" s="1166" t="str">
        <f>IF('数据-取费表'!B19&lt;=1,"((１＋３)×土地开发期+２×(土地开发期÷２))×利率","((１＋３)×((1+利率)^土地开发期-1)+２×((1+利率)^(土地开发期÷２)-1)")</f>
        <v>((１＋３)×土地开发期+２×(土地开发期÷２))×利率</v>
      </c>
      <c r="H17" s="1167"/>
      <c r="I17" s="1117"/>
      <c r="J17" s="1117"/>
      <c r="K17" s="1117"/>
      <c r="L17" s="1117"/>
      <c r="M17" s="1117"/>
      <c r="N17" s="1117"/>
      <c r="O17" s="1117"/>
      <c r="P17" s="1117"/>
      <c r="Q17" s="1117"/>
      <c r="R17" s="1117"/>
      <c r="S17" s="1117"/>
      <c r="T17" s="1117"/>
      <c r="U17" s="1117"/>
      <c r="V17" s="1117"/>
      <c r="W17" s="1117"/>
      <c r="X17" s="1117"/>
      <c r="Y17" s="1117"/>
    </row>
    <row r="18" spans="1:25" s="1118" customFormat="1" ht="13.5" customHeight="1">
      <c r="A18" s="1161">
        <v>5</v>
      </c>
      <c r="B18" s="1138" t="s">
        <v>2333</v>
      </c>
      <c r="C18" s="1139">
        <f>ROUND((C7+C10+C16)*F18,0)</f>
        <v>0</v>
      </c>
      <c r="D18" s="1163"/>
      <c r="E18" s="1164"/>
      <c r="F18" s="1168"/>
      <c r="G18" s="1166" t="s">
        <v>2334</v>
      </c>
      <c r="H18" s="1117"/>
      <c r="I18" s="1117"/>
      <c r="J18" s="1117"/>
      <c r="K18" s="1117"/>
      <c r="L18" s="1117"/>
      <c r="M18" s="1117"/>
      <c r="N18" s="1117"/>
      <c r="O18" s="1117"/>
      <c r="P18" s="1117"/>
      <c r="Q18" s="1117"/>
      <c r="R18" s="1117"/>
      <c r="S18" s="1117"/>
      <c r="T18" s="1117"/>
      <c r="U18" s="1117"/>
      <c r="V18" s="1117"/>
      <c r="W18" s="1117"/>
      <c r="X18" s="1117"/>
      <c r="Y18" s="1117"/>
    </row>
    <row r="19" spans="1:25" s="1118" customFormat="1" ht="13.5" customHeight="1">
      <c r="A19" s="1137">
        <v>6</v>
      </c>
      <c r="B19" s="1138" t="s">
        <v>2335</v>
      </c>
      <c r="C19" s="1139">
        <f ca="1">C7+C10+C16+C17+C18</f>
        <v>0</v>
      </c>
      <c r="D19" s="1146"/>
      <c r="E19" s="1139"/>
      <c r="F19" s="1147"/>
      <c r="G19" s="1166" t="s">
        <v>2336</v>
      </c>
      <c r="H19" s="1117"/>
      <c r="I19" s="1117"/>
      <c r="J19" s="1117"/>
      <c r="K19" s="1117"/>
      <c r="L19" s="1117"/>
      <c r="M19" s="1117"/>
      <c r="N19" s="1117"/>
      <c r="O19" s="1117"/>
      <c r="P19" s="1117"/>
      <c r="Q19" s="1117"/>
      <c r="R19" s="1117"/>
      <c r="S19" s="1117"/>
      <c r="T19" s="1117"/>
      <c r="U19" s="1117"/>
      <c r="V19" s="1117"/>
      <c r="W19" s="1117"/>
      <c r="X19" s="1117"/>
      <c r="Y19" s="1117"/>
    </row>
    <row r="20" spans="1:25" s="1118" customFormat="1" ht="24.75">
      <c r="A20" s="1137">
        <v>7</v>
      </c>
      <c r="B20" s="1138" t="s">
        <v>2337</v>
      </c>
      <c r="C20" s="1139">
        <f ca="1">ROUND(C19*F20,0)</f>
        <v>0</v>
      </c>
      <c r="D20" s="1146"/>
      <c r="E20" s="1139"/>
      <c r="F20" s="1168"/>
      <c r="G20" s="1166" t="s">
        <v>2338</v>
      </c>
      <c r="H20" s="1117"/>
      <c r="I20" s="1117"/>
      <c r="J20" s="1117"/>
      <c r="K20" s="1117"/>
      <c r="L20" s="1117"/>
      <c r="M20" s="1117"/>
      <c r="N20" s="1117"/>
      <c r="O20" s="1117"/>
      <c r="P20" s="1117"/>
      <c r="Q20" s="1117"/>
      <c r="R20" s="1117"/>
      <c r="S20" s="1117"/>
      <c r="T20" s="1117"/>
      <c r="U20" s="1117"/>
      <c r="V20" s="1117"/>
      <c r="W20" s="1117"/>
      <c r="X20" s="1117"/>
      <c r="Y20" s="1117"/>
    </row>
    <row r="21" spans="1:25" s="1118" customFormat="1">
      <c r="A21" s="1137">
        <v>8</v>
      </c>
      <c r="B21" s="1138" t="s">
        <v>2339</v>
      </c>
      <c r="C21" s="1139">
        <f ca="1">C19+C20</f>
        <v>0</v>
      </c>
      <c r="D21" s="1146"/>
      <c r="E21" s="1139"/>
      <c r="F21" s="1147"/>
      <c r="G21" s="1166" t="s">
        <v>2340</v>
      </c>
      <c r="H21" s="1117"/>
      <c r="I21" s="1117"/>
      <c r="J21" s="1117"/>
      <c r="K21" s="1117"/>
      <c r="L21" s="1117"/>
      <c r="M21" s="1117"/>
      <c r="N21" s="1117"/>
      <c r="O21" s="1117"/>
      <c r="P21" s="1117"/>
      <c r="Q21" s="1117"/>
      <c r="R21" s="1117"/>
      <c r="S21" s="1117"/>
      <c r="T21" s="1117"/>
      <c r="U21" s="1117"/>
      <c r="V21" s="1117"/>
      <c r="W21" s="1117"/>
      <c r="X21" s="1117"/>
      <c r="Y21" s="1117"/>
    </row>
    <row r="22" spans="1:25" s="1118" customFormat="1" ht="13.5" customHeight="1">
      <c r="A22" s="1137">
        <v>9</v>
      </c>
      <c r="B22" s="1138" t="s">
        <v>2341</v>
      </c>
      <c r="C22" s="1139">
        <f ca="1">ROUND(C21*F22,0)</f>
        <v>0</v>
      </c>
      <c r="D22" s="1146"/>
      <c r="E22" s="1139"/>
      <c r="F22" s="1169">
        <f>'数据-取费表'!AP16</f>
        <v>0.91900000000000004</v>
      </c>
      <c r="G22" s="1166" t="s">
        <v>2342</v>
      </c>
      <c r="H22" s="1117"/>
      <c r="I22" s="1117"/>
      <c r="J22" s="1117"/>
      <c r="K22" s="1117"/>
      <c r="L22" s="1117"/>
      <c r="M22" s="1117"/>
      <c r="N22" s="1117"/>
      <c r="O22" s="1117"/>
      <c r="P22" s="1117"/>
      <c r="Q22" s="1117"/>
      <c r="R22" s="1117"/>
      <c r="S22" s="1117"/>
      <c r="T22" s="1117"/>
      <c r="U22" s="1117"/>
      <c r="V22" s="1117"/>
      <c r="W22" s="1117"/>
      <c r="X22" s="1117"/>
      <c r="Y22" s="1117"/>
    </row>
    <row r="23" spans="1:25" s="1118" customFormat="1" ht="13.15" customHeight="1">
      <c r="A23" s="1170">
        <v>10</v>
      </c>
      <c r="B23" s="1171" t="s">
        <v>2343</v>
      </c>
      <c r="C23" s="1172">
        <f ca="1">C22</f>
        <v>0</v>
      </c>
      <c r="D23" s="1173"/>
      <c r="E23" s="1172"/>
      <c r="F23" s="1174"/>
      <c r="G23" s="1175"/>
      <c r="H23" s="1117"/>
      <c r="I23" s="1117"/>
      <c r="J23" s="1117"/>
      <c r="K23" s="1117"/>
      <c r="L23" s="1117"/>
      <c r="M23" s="1117"/>
      <c r="N23" s="1117"/>
      <c r="O23" s="1117"/>
      <c r="P23" s="1117"/>
      <c r="Q23" s="1117"/>
      <c r="R23" s="1117"/>
      <c r="S23" s="1117"/>
      <c r="T23" s="1117"/>
      <c r="U23" s="1117"/>
      <c r="V23" s="1117"/>
      <c r="W23" s="1117"/>
      <c r="X23" s="1117"/>
      <c r="Y23" s="1117"/>
    </row>
    <row r="24" spans="1:25" s="1119" customFormat="1">
      <c r="A24" s="1176"/>
      <c r="D24" s="76"/>
      <c r="E24" s="76"/>
    </row>
    <row r="25" spans="1:25" s="1119" customFormat="1">
      <c r="A25" s="1176"/>
      <c r="D25" s="76"/>
      <c r="E25" s="76"/>
    </row>
    <row r="26" spans="1:25" s="1119" customFormat="1">
      <c r="A26" s="1176"/>
      <c r="D26" s="76"/>
      <c r="E26" s="76"/>
    </row>
    <row r="27" spans="1:25" s="1119" customFormat="1">
      <c r="A27" s="1176"/>
      <c r="D27" s="76"/>
      <c r="E27" s="76"/>
    </row>
    <row r="28" spans="1:25" s="1119" customFormat="1">
      <c r="A28" s="1176"/>
      <c r="D28" s="76"/>
      <c r="E28" s="76"/>
    </row>
    <row r="29" spans="1:25" s="1119" customFormat="1">
      <c r="A29" s="1176"/>
      <c r="D29" s="76"/>
      <c r="E29" s="76"/>
    </row>
    <row r="30" spans="1:25" s="1119" customFormat="1">
      <c r="A30" s="1176"/>
      <c r="D30" s="76"/>
      <c r="E30" s="76"/>
    </row>
    <row r="31" spans="1:25" s="1119" customFormat="1">
      <c r="A31" s="1176"/>
      <c r="D31" s="76"/>
      <c r="E31" s="76"/>
    </row>
    <row r="32" spans="1:25" s="1119" customFormat="1">
      <c r="A32" s="1176"/>
      <c r="D32" s="76"/>
      <c r="E32" s="76"/>
    </row>
    <row r="33" spans="1:5" s="1119" customFormat="1">
      <c r="A33" s="1176"/>
      <c r="D33" s="76"/>
      <c r="E33" s="76"/>
    </row>
    <row r="34" spans="1:5" s="1119" customFormat="1">
      <c r="A34" s="1176"/>
      <c r="D34" s="76"/>
      <c r="E34" s="76"/>
    </row>
    <row r="35" spans="1:5" s="1119" customFormat="1">
      <c r="A35" s="1176"/>
      <c r="D35" s="76"/>
      <c r="E35" s="76"/>
    </row>
    <row r="36" spans="1:5" s="1119" customFormat="1">
      <c r="A36" s="1176"/>
      <c r="D36" s="76"/>
      <c r="E36" s="76"/>
    </row>
    <row r="37" spans="1:5" s="1119" customFormat="1">
      <c r="A37" s="1176"/>
      <c r="D37" s="76"/>
      <c r="E37" s="76"/>
    </row>
    <row r="38" spans="1:5" s="1119" customFormat="1">
      <c r="A38" s="1176"/>
      <c r="D38" s="76"/>
      <c r="E38" s="76"/>
    </row>
    <row r="39" spans="1:5" s="1119" customFormat="1">
      <c r="A39" s="1176"/>
      <c r="D39" s="76"/>
      <c r="E39" s="76"/>
    </row>
    <row r="40" spans="1:5" s="1119" customFormat="1">
      <c r="A40" s="1176"/>
      <c r="D40" s="76"/>
      <c r="E40" s="76"/>
    </row>
    <row r="41" spans="1:5" s="1119" customFormat="1">
      <c r="A41" s="1176"/>
      <c r="D41" s="76"/>
      <c r="E41" s="76"/>
    </row>
    <row r="42" spans="1:5" s="1119" customFormat="1">
      <c r="A42" s="1176"/>
      <c r="D42" s="76"/>
      <c r="E42" s="76"/>
    </row>
    <row r="43" spans="1:5" s="1119" customFormat="1">
      <c r="A43" s="1176"/>
      <c r="D43" s="76"/>
      <c r="E43" s="76"/>
    </row>
    <row r="44" spans="1:5" s="1119" customFormat="1">
      <c r="A44" s="1176"/>
      <c r="D44" s="76"/>
      <c r="E44" s="76"/>
    </row>
    <row r="45" spans="1:5" s="1119" customFormat="1">
      <c r="A45" s="1176"/>
      <c r="D45" s="76"/>
      <c r="E45" s="76"/>
    </row>
    <row r="46" spans="1:5" s="1119" customFormat="1">
      <c r="A46" s="1176"/>
      <c r="D46" s="76"/>
      <c r="E46" s="76"/>
    </row>
    <row r="47" spans="1:5" s="1119" customFormat="1">
      <c r="A47" s="1176"/>
      <c r="D47" s="76"/>
      <c r="E47" s="76"/>
    </row>
    <row r="48" spans="1:5" s="1119" customFormat="1">
      <c r="A48" s="1176"/>
      <c r="D48" s="76"/>
      <c r="E48" s="76"/>
    </row>
    <row r="49" spans="1:5" s="1119" customFormat="1">
      <c r="A49" s="1176"/>
      <c r="D49" s="76"/>
      <c r="E49" s="76"/>
    </row>
    <row r="50" spans="1:5" s="1119" customFormat="1">
      <c r="A50" s="1176"/>
      <c r="D50" s="76"/>
      <c r="E50" s="76"/>
    </row>
    <row r="51" spans="1:5" s="1119" customFormat="1">
      <c r="A51" s="1176"/>
      <c r="D51" s="76"/>
      <c r="E51" s="76"/>
    </row>
    <row r="52" spans="1:5" s="1119" customFormat="1">
      <c r="A52" s="1176"/>
      <c r="D52" s="76"/>
      <c r="E52" s="76"/>
    </row>
    <row r="53" spans="1:5" s="1119" customFormat="1">
      <c r="A53" s="1176"/>
      <c r="D53" s="76"/>
      <c r="E53" s="76"/>
    </row>
    <row r="54" spans="1:5" s="1119" customFormat="1">
      <c r="A54" s="1176"/>
      <c r="D54" s="76"/>
      <c r="E54" s="76"/>
    </row>
    <row r="55" spans="1:5" s="1119" customFormat="1">
      <c r="A55" s="1176"/>
      <c r="D55" s="76"/>
      <c r="E55" s="76"/>
    </row>
    <row r="56" spans="1:5" s="1119" customFormat="1">
      <c r="A56" s="1176"/>
      <c r="D56" s="76"/>
      <c r="E56" s="76"/>
    </row>
    <row r="57" spans="1:5" s="1119" customFormat="1">
      <c r="A57" s="1176"/>
      <c r="D57" s="76"/>
      <c r="E57" s="76"/>
    </row>
    <row r="58" spans="1:5" s="1119" customFormat="1">
      <c r="A58" s="1176"/>
      <c r="D58" s="76"/>
      <c r="E58" s="76"/>
    </row>
    <row r="59" spans="1:5" s="1119" customFormat="1">
      <c r="A59" s="1176"/>
      <c r="D59" s="76"/>
      <c r="E59" s="76"/>
    </row>
    <row r="60" spans="1:5" s="1119" customFormat="1">
      <c r="A60" s="1176"/>
      <c r="D60" s="76"/>
      <c r="E60" s="76"/>
    </row>
    <row r="61" spans="1:5" s="1119" customFormat="1">
      <c r="A61" s="1176"/>
      <c r="D61" s="76"/>
      <c r="E61" s="76"/>
    </row>
    <row r="62" spans="1:5" s="1119" customFormat="1">
      <c r="A62" s="1176"/>
      <c r="D62" s="76"/>
      <c r="E62" s="76"/>
    </row>
    <row r="63" spans="1:5" s="1119" customFormat="1">
      <c r="A63" s="1176"/>
      <c r="D63" s="76"/>
      <c r="E63" s="76"/>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
  <sheetViews>
    <sheetView topLeftCell="P1" zoomScaleNormal="100" workbookViewId="0">
      <selection activeCell="A7" sqref="A7:XFD7"/>
    </sheetView>
  </sheetViews>
  <sheetFormatPr defaultColWidth="9" defaultRowHeight="14.25"/>
  <cols>
    <col min="1" max="1" width="27.625" style="1112" customWidth="1"/>
    <col min="2" max="2" width="7.25" style="1112" customWidth="1"/>
    <col min="3" max="3" width="20" style="1112" customWidth="1"/>
    <col min="4" max="4" width="10.625" style="1112" customWidth="1"/>
    <col min="5" max="5" width="11.5" style="1112" customWidth="1"/>
    <col min="6" max="6" width="10.375" style="1112" customWidth="1"/>
    <col min="7" max="7" width="8.375" style="1112" customWidth="1"/>
    <col min="8" max="8" width="8.25" style="1112" customWidth="1"/>
    <col min="9" max="9" width="15.5" style="1112" customWidth="1"/>
    <col min="10" max="10" width="12.125" style="1112" customWidth="1"/>
    <col min="11" max="11" width="10.875" style="1112" customWidth="1"/>
    <col min="12" max="12" width="9.375" style="1112" customWidth="1"/>
    <col min="13" max="13" width="10.625" style="1112" customWidth="1"/>
    <col min="14" max="14" width="7.625" style="1112" customWidth="1"/>
    <col min="15" max="15" width="20" style="1112" customWidth="1"/>
    <col min="16" max="16" width="7.5" style="1112" customWidth="1"/>
    <col min="17" max="17" width="7.875" style="1112" customWidth="1"/>
    <col min="18" max="18" width="14.75" style="1112" customWidth="1"/>
    <col min="19" max="19" width="8.75" style="1112" customWidth="1"/>
    <col min="20" max="20" width="9.875" style="1112" customWidth="1"/>
    <col min="21" max="21" width="7.375" style="1112" customWidth="1"/>
    <col min="22" max="22" width="5.5" style="1112" customWidth="1"/>
    <col min="23" max="23" width="20" style="1112" customWidth="1"/>
    <col min="24" max="25" width="7.75" style="1112" customWidth="1"/>
    <col min="26" max="26" width="7.875" style="1112" customWidth="1"/>
    <col min="27" max="27" width="8" style="1112" customWidth="1"/>
    <col min="28" max="28" width="10.75" style="1112" customWidth="1"/>
    <col min="29" max="29" width="20" style="1112" customWidth="1"/>
    <col min="30" max="16384" width="9" style="1112"/>
  </cols>
  <sheetData>
    <row r="1" spans="1:57">
      <c r="A1" s="1112" t="s">
        <v>2344</v>
      </c>
      <c r="B1" s="1112" t="s">
        <v>2345</v>
      </c>
      <c r="C1" s="1112" t="s">
        <v>482</v>
      </c>
      <c r="D1" s="1112" t="s">
        <v>2346</v>
      </c>
      <c r="E1" s="1112" t="s">
        <v>2347</v>
      </c>
      <c r="F1" s="1112" t="s">
        <v>2348</v>
      </c>
      <c r="G1" s="1112" t="s">
        <v>105</v>
      </c>
      <c r="H1" s="1112" t="s">
        <v>2349</v>
      </c>
      <c r="I1" s="1112" t="s">
        <v>2350</v>
      </c>
      <c r="J1" s="1112" t="s">
        <v>2351</v>
      </c>
      <c r="K1" s="1112" t="s">
        <v>2352</v>
      </c>
      <c r="L1" s="1112" t="s">
        <v>2353</v>
      </c>
      <c r="M1" s="1112" t="s">
        <v>2354</v>
      </c>
      <c r="N1" s="1112" t="s">
        <v>2355</v>
      </c>
      <c r="O1" s="1112" t="s">
        <v>2356</v>
      </c>
      <c r="P1" s="1112" t="s">
        <v>2357</v>
      </c>
      <c r="Q1" s="1112" t="s">
        <v>2358</v>
      </c>
      <c r="R1" s="1112" t="s">
        <v>2359</v>
      </c>
      <c r="S1" s="1112" t="s">
        <v>2360</v>
      </c>
      <c r="T1" s="1112" t="s">
        <v>2361</v>
      </c>
      <c r="U1" s="1112" t="s">
        <v>2362</v>
      </c>
      <c r="V1" s="1112" t="s">
        <v>2363</v>
      </c>
      <c r="W1" s="1112" t="s">
        <v>2364</v>
      </c>
      <c r="X1" s="1112" t="s">
        <v>2365</v>
      </c>
      <c r="Y1" s="1112" t="s">
        <v>2366</v>
      </c>
      <c r="Z1" s="1112" t="s">
        <v>2367</v>
      </c>
      <c r="AA1" s="1112" t="s">
        <v>2368</v>
      </c>
      <c r="AB1" s="1112" t="s">
        <v>2369</v>
      </c>
    </row>
    <row r="2" spans="1:57" s="1109" customFormat="1">
      <c r="A2" s="1109" t="s">
        <v>2370</v>
      </c>
      <c r="B2" s="1109" t="s">
        <v>425</v>
      </c>
      <c r="C2" s="1109" t="s">
        <v>2371</v>
      </c>
      <c r="D2" s="1109" t="s">
        <v>2372</v>
      </c>
      <c r="E2" s="1109">
        <v>133625.32999999999</v>
      </c>
      <c r="F2" s="1109">
        <v>146200</v>
      </c>
      <c r="G2" s="1109" t="s">
        <v>2373</v>
      </c>
      <c r="H2" s="1109" t="s">
        <v>2374</v>
      </c>
      <c r="I2" s="1109" t="s">
        <v>2375</v>
      </c>
      <c r="J2" s="1109" t="s">
        <v>2376</v>
      </c>
      <c r="K2" s="1109" t="s">
        <v>2377</v>
      </c>
      <c r="L2" s="1113">
        <v>45231.0004976852</v>
      </c>
      <c r="M2" s="1113">
        <v>45231.0004976852</v>
      </c>
      <c r="N2" s="1109" t="s">
        <v>2378</v>
      </c>
      <c r="O2" s="1109" t="s">
        <v>2379</v>
      </c>
      <c r="P2" s="1109">
        <v>241000</v>
      </c>
      <c r="Q2" s="1109">
        <v>50000</v>
      </c>
      <c r="R2" s="1109" t="s">
        <v>2380</v>
      </c>
      <c r="S2" s="1109">
        <v>241000</v>
      </c>
      <c r="T2" s="1109">
        <v>1202.3699999999999</v>
      </c>
      <c r="U2" s="1109">
        <v>16484</v>
      </c>
      <c r="V2" s="1109">
        <v>0</v>
      </c>
      <c r="W2" s="1109" t="s">
        <v>2381</v>
      </c>
      <c r="X2" s="1109">
        <v>253050</v>
      </c>
      <c r="Y2" s="1109" t="s">
        <v>2382</v>
      </c>
      <c r="Z2" s="1109" t="s">
        <v>2377</v>
      </c>
      <c r="AA2" s="1109">
        <v>17308</v>
      </c>
      <c r="AB2" s="1109">
        <v>42000</v>
      </c>
    </row>
    <row r="3" spans="1:57">
      <c r="A3" s="1112" t="s">
        <v>2383</v>
      </c>
      <c r="B3" s="1112" t="s">
        <v>425</v>
      </c>
      <c r="C3" s="1112" t="s">
        <v>2384</v>
      </c>
      <c r="D3" s="1112" t="s">
        <v>2372</v>
      </c>
      <c r="E3" s="1112">
        <v>30880.23</v>
      </c>
      <c r="F3" s="1112">
        <v>55584.41</v>
      </c>
      <c r="G3" s="1112">
        <v>1.8</v>
      </c>
      <c r="H3" s="1112" t="s">
        <v>2374</v>
      </c>
      <c r="I3" s="1112" t="s">
        <v>2385</v>
      </c>
      <c r="J3" s="1112" t="s">
        <v>2376</v>
      </c>
      <c r="K3" s="1112" t="s">
        <v>2377</v>
      </c>
      <c r="L3" s="1114">
        <v>45209.0004976852</v>
      </c>
      <c r="M3" s="1114">
        <v>45209.0004976852</v>
      </c>
      <c r="N3" s="1112" t="s">
        <v>2378</v>
      </c>
      <c r="O3" s="1112" t="s">
        <v>2386</v>
      </c>
      <c r="P3" s="1112">
        <v>49000</v>
      </c>
      <c r="Q3" s="1112">
        <v>10000</v>
      </c>
      <c r="R3" s="1112" t="s">
        <v>2387</v>
      </c>
      <c r="S3" s="1112">
        <v>49000</v>
      </c>
      <c r="T3" s="1112">
        <v>1057.8499999999999</v>
      </c>
      <c r="U3" s="1112">
        <v>8815</v>
      </c>
      <c r="V3" s="1112">
        <v>0</v>
      </c>
      <c r="W3" s="1112" t="s">
        <v>2388</v>
      </c>
      <c r="X3" s="1112">
        <v>56350</v>
      </c>
      <c r="Y3" s="1112" t="s">
        <v>2382</v>
      </c>
      <c r="Z3" s="1112" t="s">
        <v>2377</v>
      </c>
      <c r="AA3" s="1112">
        <v>10138</v>
      </c>
      <c r="AB3" s="1112" t="s">
        <v>2389</v>
      </c>
    </row>
    <row r="4" spans="1:57" s="1110" customFormat="1">
      <c r="A4" s="1110" t="s">
        <v>2390</v>
      </c>
      <c r="B4" s="1110" t="s">
        <v>425</v>
      </c>
      <c r="C4" s="1110" t="s">
        <v>2391</v>
      </c>
      <c r="D4" s="1110" t="s">
        <v>2372</v>
      </c>
      <c r="E4" s="1110">
        <v>55570.2</v>
      </c>
      <c r="F4" s="1110">
        <v>122254.44</v>
      </c>
      <c r="G4" s="1110">
        <v>2.2000000000000002</v>
      </c>
      <c r="H4" s="1110" t="s">
        <v>2374</v>
      </c>
      <c r="I4" s="1110" t="s">
        <v>2392</v>
      </c>
      <c r="J4" s="1110" t="s">
        <v>2393</v>
      </c>
      <c r="K4" s="1110" t="s">
        <v>2377</v>
      </c>
      <c r="L4" s="1115">
        <v>44826.0004976852</v>
      </c>
      <c r="M4" s="1115">
        <v>44826.0004976852</v>
      </c>
      <c r="N4" s="1110" t="s">
        <v>2378</v>
      </c>
      <c r="O4" s="1110" t="s">
        <v>2394</v>
      </c>
      <c r="P4" s="1110">
        <v>152000</v>
      </c>
      <c r="Q4" s="1110">
        <v>31000</v>
      </c>
      <c r="R4" s="1110" t="s">
        <v>2395</v>
      </c>
      <c r="S4" s="1110">
        <v>152000</v>
      </c>
      <c r="T4" s="1110">
        <v>1823.52</v>
      </c>
      <c r="U4" s="1110">
        <v>12433</v>
      </c>
      <c r="V4" s="1110">
        <v>0</v>
      </c>
      <c r="W4" s="1110" t="s">
        <v>2396</v>
      </c>
      <c r="X4" s="1110">
        <v>174800</v>
      </c>
      <c r="Y4" s="1110" t="s">
        <v>2382</v>
      </c>
      <c r="Z4" s="1110" t="s">
        <v>2377</v>
      </c>
      <c r="AA4" s="1110">
        <v>14298</v>
      </c>
      <c r="AB4" s="1110">
        <v>30000</v>
      </c>
    </row>
    <row r="5" spans="1:57">
      <c r="A5" s="1112" t="s">
        <v>2397</v>
      </c>
      <c r="B5" s="1112" t="s">
        <v>425</v>
      </c>
      <c r="C5" s="1112" t="s">
        <v>2398</v>
      </c>
      <c r="D5" s="1112" t="s">
        <v>2372</v>
      </c>
      <c r="E5" s="1112">
        <v>9953.99</v>
      </c>
      <c r="F5" s="1112">
        <v>19907.98</v>
      </c>
      <c r="G5" s="1112">
        <v>2</v>
      </c>
      <c r="H5" s="1112" t="s">
        <v>2374</v>
      </c>
      <c r="I5" s="1112" t="s">
        <v>2392</v>
      </c>
      <c r="J5" s="1112" t="s">
        <v>2393</v>
      </c>
      <c r="K5" s="1112" t="s">
        <v>2377</v>
      </c>
      <c r="L5" s="1114">
        <v>44826.0004976852</v>
      </c>
      <c r="M5" s="1114">
        <v>44826.0004976852</v>
      </c>
      <c r="N5" s="1112" t="s">
        <v>2378</v>
      </c>
      <c r="O5" s="1112" t="s">
        <v>2399</v>
      </c>
      <c r="P5" s="1112">
        <v>18000</v>
      </c>
      <c r="Q5" s="1112">
        <v>4000</v>
      </c>
      <c r="R5" s="1112" t="s">
        <v>2395</v>
      </c>
      <c r="S5" s="1112">
        <v>18000</v>
      </c>
      <c r="T5" s="1112">
        <v>1205.55</v>
      </c>
      <c r="U5" s="1112">
        <v>9042</v>
      </c>
      <c r="V5" s="1112">
        <v>0</v>
      </c>
      <c r="W5" s="1112" t="s">
        <v>2396</v>
      </c>
      <c r="X5" s="1112">
        <v>20700</v>
      </c>
      <c r="Y5" s="1112" t="s">
        <v>2382</v>
      </c>
      <c r="Z5" s="1112" t="s">
        <v>2377</v>
      </c>
      <c r="AA5" s="1112">
        <v>10398</v>
      </c>
      <c r="AB5" s="1112">
        <v>31000</v>
      </c>
    </row>
    <row r="6" spans="1:57">
      <c r="A6" s="1112" t="s">
        <v>2400</v>
      </c>
      <c r="B6" s="1112" t="s">
        <v>425</v>
      </c>
      <c r="C6" s="1112" t="s">
        <v>2401</v>
      </c>
      <c r="D6" s="1112" t="s">
        <v>2402</v>
      </c>
      <c r="E6" s="1112">
        <v>81740.06</v>
      </c>
      <c r="F6" s="1112">
        <v>112700</v>
      </c>
      <c r="G6" s="1112" t="s">
        <v>2403</v>
      </c>
      <c r="H6" s="1112" t="s">
        <v>2374</v>
      </c>
      <c r="I6" s="1112" t="s">
        <v>2404</v>
      </c>
      <c r="J6" s="1112" t="s">
        <v>2405</v>
      </c>
      <c r="K6" s="1112" t="s">
        <v>2377</v>
      </c>
      <c r="L6" s="1114">
        <v>44608.0004976852</v>
      </c>
      <c r="M6" s="1114">
        <v>44608.0004976852</v>
      </c>
      <c r="N6" s="1112" t="s">
        <v>2378</v>
      </c>
      <c r="O6" s="1112" t="s">
        <v>2406</v>
      </c>
      <c r="P6" s="1112">
        <v>121000</v>
      </c>
      <c r="Q6" s="1112">
        <v>25000</v>
      </c>
      <c r="R6" s="1112" t="s">
        <v>2407</v>
      </c>
      <c r="S6" s="1112">
        <v>121000</v>
      </c>
      <c r="T6" s="1112">
        <v>986.87</v>
      </c>
      <c r="U6" s="1112">
        <v>10736</v>
      </c>
      <c r="V6" s="1112">
        <v>0</v>
      </c>
      <c r="W6" s="1112" t="s">
        <v>2408</v>
      </c>
      <c r="X6" s="1112">
        <v>139150</v>
      </c>
      <c r="Y6" s="1112" t="s">
        <v>2382</v>
      </c>
      <c r="Z6" s="1112">
        <v>37000</v>
      </c>
      <c r="AA6" s="1112">
        <v>12347</v>
      </c>
      <c r="AB6" s="1112">
        <v>37000</v>
      </c>
    </row>
    <row r="7" spans="1:57" s="1111" customFormat="1">
      <c r="A7" s="1111" t="s">
        <v>2409</v>
      </c>
      <c r="B7" s="1111" t="s">
        <v>425</v>
      </c>
      <c r="C7" s="1111" t="s">
        <v>2410</v>
      </c>
      <c r="D7" s="1111" t="s">
        <v>2372</v>
      </c>
      <c r="E7" s="1111">
        <v>103325.51</v>
      </c>
      <c r="F7" s="1111">
        <v>200222.03</v>
      </c>
      <c r="G7" s="1111">
        <v>2</v>
      </c>
      <c r="H7" s="1111" t="s">
        <v>2374</v>
      </c>
      <c r="I7" s="1111" t="s">
        <v>2392</v>
      </c>
      <c r="J7" s="1111" t="s">
        <v>2411</v>
      </c>
      <c r="K7" s="1111" t="s">
        <v>2377</v>
      </c>
      <c r="L7" s="1116">
        <v>44554.0004976852</v>
      </c>
      <c r="M7" s="1116">
        <v>44554.0004976852</v>
      </c>
      <c r="N7" s="1111" t="s">
        <v>2378</v>
      </c>
      <c r="O7" s="1111" t="s">
        <v>2412</v>
      </c>
      <c r="P7" s="1111">
        <v>207000</v>
      </c>
      <c r="Q7" s="1111">
        <v>42000</v>
      </c>
      <c r="R7" s="1111" t="s">
        <v>2413</v>
      </c>
      <c r="S7" s="1111">
        <v>207000</v>
      </c>
      <c r="T7" s="1111">
        <v>1335.58</v>
      </c>
      <c r="U7" s="1111">
        <v>10339</v>
      </c>
      <c r="V7" s="1111">
        <v>0</v>
      </c>
      <c r="W7" s="1111" t="s">
        <v>2414</v>
      </c>
      <c r="X7" s="1111">
        <v>238050</v>
      </c>
      <c r="Y7" s="1111" t="s">
        <v>2382</v>
      </c>
      <c r="Z7" s="1111">
        <v>30000</v>
      </c>
      <c r="AA7" s="1111">
        <v>11889</v>
      </c>
      <c r="AB7" s="1111">
        <v>30000</v>
      </c>
    </row>
    <row r="8" spans="1:57" s="1111" customFormat="1">
      <c r="A8" s="1111" t="s">
        <v>2415</v>
      </c>
      <c r="B8" s="1111" t="s">
        <v>425</v>
      </c>
      <c r="C8" s="1111" t="s">
        <v>2416</v>
      </c>
      <c r="D8" s="1111" t="s">
        <v>2372</v>
      </c>
      <c r="E8" s="1111">
        <v>58351.58</v>
      </c>
      <c r="F8" s="1111">
        <v>116703</v>
      </c>
      <c r="G8" s="1111" t="s">
        <v>2417</v>
      </c>
      <c r="H8" s="1111" t="s">
        <v>2374</v>
      </c>
      <c r="I8" s="1111" t="s">
        <v>2392</v>
      </c>
      <c r="J8" s="1111" t="s">
        <v>2418</v>
      </c>
      <c r="K8" s="1111" t="s">
        <v>2377</v>
      </c>
      <c r="L8" s="1116">
        <v>44324.0004976852</v>
      </c>
      <c r="M8" s="1116">
        <v>44341.0004976852</v>
      </c>
      <c r="N8" s="1111" t="s">
        <v>2378</v>
      </c>
      <c r="O8" s="1111" t="s">
        <v>2419</v>
      </c>
      <c r="P8" s="1111">
        <v>151200</v>
      </c>
      <c r="Q8" s="1111">
        <v>31000</v>
      </c>
      <c r="R8" s="1111" t="s">
        <v>2420</v>
      </c>
      <c r="S8" s="1111">
        <v>173800</v>
      </c>
      <c r="T8" s="1111">
        <v>1985.66</v>
      </c>
      <c r="U8" s="1111">
        <v>14893</v>
      </c>
      <c r="V8" s="1111">
        <v>14.95</v>
      </c>
      <c r="W8" s="1111" t="s">
        <v>2421</v>
      </c>
      <c r="X8" s="1111">
        <v>173800</v>
      </c>
      <c r="Y8" s="1111" t="s">
        <v>2422</v>
      </c>
      <c r="Z8" s="1111" t="s">
        <v>2377</v>
      </c>
      <c r="AA8" s="1111">
        <v>14893</v>
      </c>
      <c r="AB8" s="1111" t="s">
        <v>2389</v>
      </c>
    </row>
    <row r="9" spans="1:57">
      <c r="A9" s="1112" t="s">
        <v>2423</v>
      </c>
      <c r="B9" s="1112" t="s">
        <v>425</v>
      </c>
      <c r="C9" s="1112" t="s">
        <v>2424</v>
      </c>
      <c r="D9" s="1112" t="s">
        <v>2402</v>
      </c>
      <c r="E9" s="1112">
        <v>115536.75</v>
      </c>
      <c r="F9" s="1112">
        <v>211725</v>
      </c>
      <c r="G9" s="1112" t="s">
        <v>2425</v>
      </c>
      <c r="H9" s="1112" t="s">
        <v>2374</v>
      </c>
      <c r="I9" s="1112" t="s">
        <v>2426</v>
      </c>
      <c r="J9" s="1112" t="s">
        <v>2418</v>
      </c>
      <c r="K9" s="1112" t="s">
        <v>2377</v>
      </c>
      <c r="L9" s="1114">
        <v>44324.0004976852</v>
      </c>
      <c r="M9" s="1114">
        <v>44324.0004976852</v>
      </c>
      <c r="N9" s="1112" t="s">
        <v>2378</v>
      </c>
      <c r="O9" s="1112" t="s">
        <v>2427</v>
      </c>
      <c r="P9" s="1112">
        <v>457000</v>
      </c>
      <c r="Q9" s="1112">
        <v>92000</v>
      </c>
      <c r="R9" s="1112" t="s">
        <v>2420</v>
      </c>
      <c r="S9" s="1112">
        <v>457000</v>
      </c>
      <c r="T9" s="1112">
        <v>2636.97</v>
      </c>
      <c r="U9" s="1112">
        <v>21585</v>
      </c>
      <c r="V9" s="1112">
        <v>0</v>
      </c>
      <c r="W9" s="1112" t="s">
        <v>2421</v>
      </c>
      <c r="X9" s="1112">
        <v>502700</v>
      </c>
      <c r="Y9" s="1112" t="s">
        <v>2382</v>
      </c>
      <c r="Z9" s="1112" t="s">
        <v>2377</v>
      </c>
      <c r="AA9" s="1112">
        <v>23743</v>
      </c>
      <c r="AB9" s="1112" t="s">
        <v>2389</v>
      </c>
    </row>
    <row r="11" spans="1:57" s="3646" customFormat="1" ht="13.5">
      <c r="A11" s="3646" t="s">
        <v>2344</v>
      </c>
      <c r="B11" s="3646" t="s">
        <v>2345</v>
      </c>
      <c r="C11" s="3646" t="s">
        <v>482</v>
      </c>
      <c r="D11" s="3646" t="s">
        <v>2621</v>
      </c>
      <c r="E11" s="3646" t="s">
        <v>1355</v>
      </c>
      <c r="F11" s="3646" t="s">
        <v>2622</v>
      </c>
      <c r="G11" s="3646" t="s">
        <v>2623</v>
      </c>
      <c r="H11" s="3646" t="s">
        <v>2346</v>
      </c>
      <c r="I11" s="3646" t="s">
        <v>2347</v>
      </c>
      <c r="J11" s="3646" t="s">
        <v>2348</v>
      </c>
      <c r="K11" s="3646" t="s">
        <v>105</v>
      </c>
      <c r="L11" s="3646" t="s">
        <v>2624</v>
      </c>
      <c r="M11" s="3646" t="s">
        <v>2349</v>
      </c>
      <c r="N11" s="3646" t="s">
        <v>2350</v>
      </c>
      <c r="O11" s="3646" t="s">
        <v>2351</v>
      </c>
      <c r="P11" s="3646" t="s">
        <v>2352</v>
      </c>
      <c r="Q11" s="3646" t="s">
        <v>2625</v>
      </c>
      <c r="R11" s="3646" t="s">
        <v>2626</v>
      </c>
      <c r="S11" s="3646" t="s">
        <v>2627</v>
      </c>
      <c r="T11" s="3646" t="s">
        <v>2628</v>
      </c>
      <c r="U11" s="3646" t="s">
        <v>2629</v>
      </c>
      <c r="V11" s="3646" t="s">
        <v>2630</v>
      </c>
      <c r="W11" s="3646" t="s">
        <v>2631</v>
      </c>
      <c r="X11" s="3646" t="s">
        <v>2632</v>
      </c>
      <c r="Y11" s="3646" t="s">
        <v>2633</v>
      </c>
      <c r="Z11" s="3646" t="s">
        <v>2634</v>
      </c>
      <c r="AA11" s="3646" t="s">
        <v>2635</v>
      </c>
      <c r="AB11" s="3646" t="s">
        <v>2636</v>
      </c>
      <c r="AC11" s="3646" t="s">
        <v>2353</v>
      </c>
      <c r="AD11" s="3646" t="s">
        <v>2354</v>
      </c>
      <c r="AE11" s="3646" t="s">
        <v>2637</v>
      </c>
      <c r="AF11" s="3646" t="s">
        <v>2355</v>
      </c>
      <c r="AG11" s="3646" t="s">
        <v>2356</v>
      </c>
      <c r="AH11" s="3646" t="s">
        <v>2638</v>
      </c>
      <c r="AI11" s="3646" t="s">
        <v>2639</v>
      </c>
      <c r="AJ11" s="3646" t="s">
        <v>2357</v>
      </c>
      <c r="AK11" s="3646" t="s">
        <v>2358</v>
      </c>
      <c r="AL11" s="3646" t="s">
        <v>2359</v>
      </c>
      <c r="AM11" s="3646" t="s">
        <v>2360</v>
      </c>
      <c r="AN11" s="3646" t="s">
        <v>2640</v>
      </c>
      <c r="AO11" s="3646" t="s">
        <v>2641</v>
      </c>
      <c r="AP11" s="3646" t="s">
        <v>2642</v>
      </c>
      <c r="AQ11" s="3646" t="s">
        <v>2361</v>
      </c>
      <c r="AR11" s="3646" t="s">
        <v>2643</v>
      </c>
      <c r="AS11" s="3646" t="s">
        <v>2362</v>
      </c>
      <c r="AT11" s="3646" t="s">
        <v>2644</v>
      </c>
      <c r="AU11" s="3646" t="s">
        <v>2645</v>
      </c>
      <c r="AV11" s="3646" t="s">
        <v>2363</v>
      </c>
      <c r="AW11" s="3646" t="s">
        <v>2364</v>
      </c>
      <c r="AX11" s="3646" t="s">
        <v>2365</v>
      </c>
      <c r="AY11" s="3646" t="s">
        <v>2366</v>
      </c>
      <c r="AZ11" s="3646" t="s">
        <v>2367</v>
      </c>
      <c r="BA11" s="3646" t="s">
        <v>2368</v>
      </c>
      <c r="BB11" s="3646" t="s">
        <v>2646</v>
      </c>
      <c r="BC11" s="3646" t="s">
        <v>2647</v>
      </c>
      <c r="BD11" s="3646" t="s">
        <v>2369</v>
      </c>
      <c r="BE11" s="3646" t="s">
        <v>2648</v>
      </c>
    </row>
    <row r="12" spans="1:57" s="3646" customFormat="1" ht="13.5">
      <c r="A12" s="3646" t="s">
        <v>2383</v>
      </c>
      <c r="B12" s="3646" t="s">
        <v>425</v>
      </c>
      <c r="C12" s="3646" t="s">
        <v>2384</v>
      </c>
      <c r="D12" s="3646" t="s">
        <v>2649</v>
      </c>
      <c r="E12" s="3646" t="s">
        <v>2650</v>
      </c>
      <c r="F12" s="3646" t="s">
        <v>2651</v>
      </c>
      <c r="G12" s="3646" t="s">
        <v>2652</v>
      </c>
      <c r="H12" s="3646" t="s">
        <v>2372</v>
      </c>
      <c r="I12" s="3646">
        <v>30880.23</v>
      </c>
      <c r="J12" s="3646">
        <v>55584.41</v>
      </c>
      <c r="K12" s="3646">
        <v>1.8</v>
      </c>
      <c r="L12" s="3646">
        <v>1.8</v>
      </c>
      <c r="M12" s="3646" t="s">
        <v>2374</v>
      </c>
      <c r="N12" s="3646" t="s">
        <v>2385</v>
      </c>
      <c r="O12" s="3646" t="s">
        <v>2376</v>
      </c>
      <c r="P12" s="3646" t="s">
        <v>2377</v>
      </c>
      <c r="Q12" s="3646" t="s">
        <v>2389</v>
      </c>
      <c r="R12" s="3646" t="s">
        <v>2653</v>
      </c>
      <c r="S12" s="3646" t="s">
        <v>2654</v>
      </c>
      <c r="T12" s="3646" t="s">
        <v>2389</v>
      </c>
      <c r="U12" s="3646" t="s">
        <v>2389</v>
      </c>
      <c r="V12" s="3646" t="s">
        <v>2389</v>
      </c>
      <c r="W12" s="3646" t="s">
        <v>2389</v>
      </c>
      <c r="X12" s="3646" t="s">
        <v>2389</v>
      </c>
      <c r="Y12" s="3646">
        <v>0</v>
      </c>
      <c r="Z12" s="3646">
        <v>0</v>
      </c>
      <c r="AA12" s="3647">
        <v>45169.000497685185</v>
      </c>
      <c r="AB12" s="3647">
        <v>45189.000497685185</v>
      </c>
      <c r="AC12" s="3647">
        <v>45209.000497685185</v>
      </c>
      <c r="AD12" s="3647">
        <v>45209.000497685185</v>
      </c>
      <c r="AE12" s="3646" t="s">
        <v>2655</v>
      </c>
      <c r="AF12" s="3646" t="s">
        <v>2378</v>
      </c>
      <c r="AG12" s="3646" t="s">
        <v>2386</v>
      </c>
      <c r="AH12" s="3646" t="s">
        <v>2656</v>
      </c>
      <c r="AI12" s="3646" t="s">
        <v>2657</v>
      </c>
      <c r="AJ12" s="3646">
        <v>49000</v>
      </c>
      <c r="AK12" s="3646">
        <v>10000</v>
      </c>
      <c r="AL12" s="3646" t="s">
        <v>2387</v>
      </c>
      <c r="AM12" s="3646">
        <v>49000</v>
      </c>
      <c r="AN12" s="3646">
        <v>15867.75</v>
      </c>
      <c r="AO12" s="3646">
        <v>15867.75</v>
      </c>
      <c r="AP12" s="3646">
        <v>1057.8499999999999</v>
      </c>
      <c r="AQ12" s="3646">
        <v>1057.8499999999999</v>
      </c>
      <c r="AR12" s="3646">
        <v>8815</v>
      </c>
      <c r="AS12" s="3646">
        <v>8815</v>
      </c>
      <c r="AT12" s="3646" t="s">
        <v>2389</v>
      </c>
      <c r="AU12" s="3646" t="s">
        <v>2389</v>
      </c>
      <c r="AV12" s="3646">
        <v>0</v>
      </c>
      <c r="AW12" s="3646" t="s">
        <v>2388</v>
      </c>
      <c r="AX12" s="3646">
        <v>56350</v>
      </c>
      <c r="AY12" s="3646" t="s">
        <v>2382</v>
      </c>
      <c r="AZ12" s="3646" t="s">
        <v>2377</v>
      </c>
      <c r="BA12" s="3646">
        <v>10138</v>
      </c>
      <c r="BB12" s="3646">
        <v>15</v>
      </c>
      <c r="BC12" s="3646" t="s">
        <v>2389</v>
      </c>
      <c r="BD12" s="3646" t="s">
        <v>2389</v>
      </c>
      <c r="BE12" s="3646" t="s">
        <v>2658</v>
      </c>
    </row>
    <row r="13" spans="1:57" s="3648" customFormat="1" ht="13.5">
      <c r="A13" s="3648" t="s">
        <v>2659</v>
      </c>
      <c r="B13" s="3648" t="s">
        <v>425</v>
      </c>
      <c r="C13" s="3648" t="s">
        <v>2660</v>
      </c>
      <c r="D13" s="3648" t="s">
        <v>2649</v>
      </c>
      <c r="E13" s="3648" t="s">
        <v>2661</v>
      </c>
      <c r="F13" s="3648" t="s">
        <v>2662</v>
      </c>
      <c r="G13" s="3648" t="s">
        <v>2663</v>
      </c>
      <c r="H13" s="3648" t="s">
        <v>2372</v>
      </c>
      <c r="I13" s="3648">
        <v>25569.01</v>
      </c>
      <c r="J13" s="3648">
        <v>40910.42</v>
      </c>
      <c r="K13" s="3648">
        <v>1.6</v>
      </c>
      <c r="L13" s="3648">
        <v>1.6</v>
      </c>
      <c r="M13" s="3648" t="s">
        <v>2374</v>
      </c>
      <c r="N13" s="3648" t="s">
        <v>2392</v>
      </c>
      <c r="O13" s="3648" t="s">
        <v>2376</v>
      </c>
      <c r="P13" s="3648" t="s">
        <v>2377</v>
      </c>
      <c r="Q13" s="3648" t="s">
        <v>2389</v>
      </c>
      <c r="R13" s="3648">
        <v>24</v>
      </c>
      <c r="S13" s="3648" t="s">
        <v>2664</v>
      </c>
      <c r="T13" s="3648" t="s">
        <v>2665</v>
      </c>
      <c r="U13" s="3648" t="s">
        <v>2389</v>
      </c>
      <c r="V13" s="3648" t="s">
        <v>2389</v>
      </c>
      <c r="W13" s="3648" t="s">
        <v>2389</v>
      </c>
      <c r="X13" s="3648" t="s">
        <v>2389</v>
      </c>
      <c r="Y13" s="3648">
        <v>0</v>
      </c>
      <c r="Z13" s="3648">
        <v>0</v>
      </c>
      <c r="AA13" s="3649">
        <v>45113.000497685185</v>
      </c>
      <c r="AB13" s="3649">
        <v>45133.000497685185</v>
      </c>
      <c r="AC13" s="3649">
        <v>45147.000497685185</v>
      </c>
      <c r="AD13" s="3649">
        <v>45147.000497685185</v>
      </c>
      <c r="AE13" s="3648" t="s">
        <v>2666</v>
      </c>
      <c r="AF13" s="3648" t="s">
        <v>2378</v>
      </c>
      <c r="AG13" s="3648" t="s">
        <v>2667</v>
      </c>
      <c r="AH13" s="3648" t="s">
        <v>2656</v>
      </c>
      <c r="AI13" s="3648" t="s">
        <v>2657</v>
      </c>
      <c r="AJ13" s="3648">
        <v>52000</v>
      </c>
      <c r="AK13" s="3648">
        <v>11000</v>
      </c>
      <c r="AL13" s="3648" t="s">
        <v>2668</v>
      </c>
      <c r="AM13" s="3648">
        <v>52000</v>
      </c>
      <c r="AN13" s="3648">
        <v>20337.12</v>
      </c>
      <c r="AO13" s="3648">
        <v>20337.12</v>
      </c>
      <c r="AP13" s="3648">
        <v>1355.81</v>
      </c>
      <c r="AQ13" s="3648">
        <v>1355.81</v>
      </c>
      <c r="AR13" s="3648">
        <v>12711</v>
      </c>
      <c r="AS13" s="3648">
        <v>12711</v>
      </c>
      <c r="AT13" s="3648" t="s">
        <v>2389</v>
      </c>
      <c r="AU13" s="3648" t="s">
        <v>2389</v>
      </c>
      <c r="AV13" s="3648">
        <v>0</v>
      </c>
      <c r="AW13" s="3648" t="s">
        <v>2381</v>
      </c>
      <c r="AX13" s="3648">
        <v>59800</v>
      </c>
      <c r="AY13" s="3648" t="s">
        <v>2382</v>
      </c>
      <c r="AZ13" s="3648">
        <v>30000</v>
      </c>
      <c r="BA13" s="3648">
        <v>14617</v>
      </c>
      <c r="BB13" s="3648">
        <v>15</v>
      </c>
      <c r="BC13" s="3648">
        <v>17289</v>
      </c>
      <c r="BD13" s="3648">
        <v>30000</v>
      </c>
      <c r="BE13" s="3648" t="s">
        <v>2658</v>
      </c>
    </row>
  </sheetData>
  <phoneticPr fontId="248"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987" customWidth="1"/>
    <col min="2" max="2" width="25.75" style="988" customWidth="1"/>
    <col min="3" max="3" width="10.375" style="989" customWidth="1"/>
    <col min="4" max="4" width="12" style="988" customWidth="1"/>
    <col min="5" max="5" width="9.5" style="987" customWidth="1"/>
    <col min="6" max="6" width="10.125" style="988" customWidth="1"/>
    <col min="7" max="7" width="11.62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31" s="161" customFormat="1" ht="20.25">
      <c r="A1" s="990"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31" s="161" customFormat="1" ht="18" customHeight="1">
      <c r="A2" s="993" t="s">
        <v>942</v>
      </c>
      <c r="B2" s="994">
        <f ca="1">C36</f>
        <v>155960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31" s="161" customFormat="1" ht="18" customHeight="1">
      <c r="A3" s="995" t="s">
        <v>943</v>
      </c>
      <c r="B3" s="996">
        <f ca="1">ROUND(B2*10000/IF(B1="",'数据-汇总表'!E3,INDIRECT("'数据-取费表'!K"&amp;$K$1)),0)</f>
        <v>8972</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31" s="161" customFormat="1" ht="18" customHeight="1">
      <c r="A4" s="997" t="s">
        <v>944</v>
      </c>
      <c r="B4" s="998">
        <f ca="1">ROUND(B2*10000/IF(B1="",'数据-汇总表'!D3,INDIRECT("'数据-取费表'!R"&amp;$K$1)),0)</f>
        <v>30242</v>
      </c>
      <c r="C4" s="999"/>
      <c r="D4" s="1000"/>
      <c r="E4" s="1000"/>
      <c r="F4" s="1000"/>
      <c r="G4" s="1000"/>
      <c r="H4" s="1000"/>
      <c r="I4" s="1000"/>
      <c r="J4" s="1000"/>
      <c r="K4" s="1000"/>
      <c r="L4" s="1087"/>
      <c r="M4" s="1087"/>
      <c r="N4" s="1087"/>
      <c r="O4" s="1087"/>
      <c r="P4" s="1087"/>
      <c r="Q4" s="1087"/>
      <c r="R4" s="1087"/>
      <c r="S4" s="1087"/>
      <c r="T4" s="1087"/>
      <c r="U4" s="1087"/>
      <c r="V4" s="1087"/>
      <c r="W4" s="1087"/>
      <c r="X4" s="1087"/>
      <c r="Y4" s="1087"/>
      <c r="Z4" s="1087"/>
    </row>
    <row r="5" spans="1:31" s="161" customFormat="1" ht="18" customHeight="1">
      <c r="A5" s="1001"/>
      <c r="B5" s="1002">
        <f ca="1">ROUND(B2/(IF(B1="",'数据-汇总表'!D3,INDIRECT("'数据-取费表'!R"&amp;$K$1))/666.67),0)</f>
        <v>2016</v>
      </c>
      <c r="C5" s="1003" t="s">
        <v>945</v>
      </c>
      <c r="D5" s="1000"/>
      <c r="E5" s="1000"/>
      <c r="F5" s="1000"/>
      <c r="G5" s="1000"/>
      <c r="H5" s="1000"/>
      <c r="I5" s="1000"/>
      <c r="J5" s="1000"/>
      <c r="K5" s="1000"/>
      <c r="L5" s="1087"/>
      <c r="M5" s="1087"/>
      <c r="N5" s="1087"/>
      <c r="O5" s="1087"/>
      <c r="P5" s="1087"/>
      <c r="Q5" s="1087"/>
      <c r="R5" s="1087"/>
      <c r="S5" s="1087"/>
      <c r="T5" s="1087"/>
      <c r="U5" s="1087"/>
      <c r="V5" s="1087"/>
      <c r="W5" s="1087"/>
      <c r="X5" s="1087"/>
      <c r="Y5" s="1087"/>
      <c r="Z5" s="1087"/>
    </row>
    <row r="6" spans="1:31" s="976" customFormat="1" ht="16.5" customHeight="1">
      <c r="A6" s="1004" t="s">
        <v>2428</v>
      </c>
      <c r="B6" s="1005"/>
      <c r="C6" s="1006">
        <f>SUM(C10:K10)</f>
        <v>329169</v>
      </c>
      <c r="D6" s="1005"/>
      <c r="E6" s="1005"/>
      <c r="F6" s="1005"/>
      <c r="G6" s="1005"/>
      <c r="H6" s="1005"/>
      <c r="I6" s="1005"/>
      <c r="J6" s="1005"/>
      <c r="K6" s="1088"/>
      <c r="L6" s="1089"/>
      <c r="M6" s="1089"/>
      <c r="N6" s="1089"/>
      <c r="O6" s="1089"/>
      <c r="P6" s="1089"/>
      <c r="Q6" s="1089"/>
      <c r="R6" s="1089"/>
      <c r="S6" s="1089"/>
      <c r="T6" s="1089"/>
      <c r="U6" s="1089"/>
      <c r="V6" s="1089"/>
      <c r="W6" s="1089"/>
      <c r="X6" s="1089"/>
      <c r="Y6" s="1089"/>
      <c r="Z6" s="1089"/>
    </row>
    <row r="7" spans="1:31" s="977" customFormat="1" ht="15">
      <c r="A7" s="1007" t="s">
        <v>947</v>
      </c>
      <c r="B7" s="1008" t="s">
        <v>948</v>
      </c>
      <c r="C7" s="1009" t="s">
        <v>402</v>
      </c>
      <c r="D7" s="1009" t="s">
        <v>437</v>
      </c>
      <c r="E7" s="1009"/>
      <c r="F7" s="1009"/>
      <c r="G7" s="1009"/>
      <c r="H7" s="1009"/>
      <c r="I7" s="1009"/>
      <c r="J7" s="1009"/>
      <c r="K7" s="1090"/>
      <c r="AA7" s="1108"/>
      <c r="AB7" s="1108"/>
      <c r="AC7" s="1108"/>
      <c r="AD7" s="1108"/>
      <c r="AE7" s="1108"/>
    </row>
    <row r="8" spans="1:31" s="978" customFormat="1" ht="13.5" customHeight="1">
      <c r="A8" s="1010" t="s">
        <v>879</v>
      </c>
      <c r="B8" s="702" t="s">
        <v>949</v>
      </c>
      <c r="C8" s="1011">
        <f>'不动产比较法-住宅'!C48</f>
        <v>26243</v>
      </c>
      <c r="D8" s="1011">
        <f>'不动产比较法-车位'!B3</f>
        <v>3523</v>
      </c>
      <c r="E8" s="1011"/>
      <c r="F8" s="1011"/>
      <c r="G8" s="1011"/>
      <c r="H8" s="1011"/>
      <c r="I8" s="1011"/>
      <c r="J8" s="1011"/>
      <c r="K8" s="1091"/>
      <c r="AA8" s="988"/>
      <c r="AB8" s="988"/>
      <c r="AC8" s="988"/>
      <c r="AD8" s="988"/>
      <c r="AE8" s="988"/>
    </row>
    <row r="9" spans="1:31" s="978" customFormat="1" ht="13.5" customHeight="1">
      <c r="A9" s="1010" t="s">
        <v>881</v>
      </c>
      <c r="B9" s="702" t="s">
        <v>503</v>
      </c>
      <c r="C9" s="1012">
        <f>SUMIF('数据-汇总表'!$C19:$C33,'剩余法-待开发'!C7,'数据-汇总表'!$E19:$E33)</f>
        <v>119188.85</v>
      </c>
      <c r="D9" s="1012">
        <f>SUMIF('数据-汇总表'!$C19:$C33,'剩余法-待开发'!D7,'数据-汇总表'!$E19:$E33)</f>
        <v>46502.98</v>
      </c>
      <c r="E9" s="1012">
        <f>SUMIF('数据-汇总表'!$C19:$C33,'剩余法-待开发'!E7,'数据-汇总表'!$E19:$E33)</f>
        <v>0</v>
      </c>
      <c r="F9" s="1012">
        <f>SUMIF('数据-汇总表'!$C19:$C33,'剩余法-待开发'!F7,'数据-汇总表'!$E19:$E33)</f>
        <v>0</v>
      </c>
      <c r="G9" s="1012">
        <f>SUMIF('数据-汇总表'!$C19:$C33,'剩余法-待开发'!G7,'数据-汇总表'!$E19:$E33)</f>
        <v>0</v>
      </c>
      <c r="H9" s="1012">
        <f>SUMIF('数据-汇总表'!$C19:$C33,'剩余法-待开发'!H7,'数据-汇总表'!$E19:$E33)</f>
        <v>0</v>
      </c>
      <c r="I9" s="1012">
        <f>SUMIF('数据-汇总表'!$C19:$C33,'剩余法-待开发'!I7,'数据-汇总表'!$E19:$E33)</f>
        <v>0</v>
      </c>
      <c r="J9" s="1012">
        <f>SUMIF('数据-汇总表'!$C19:$C33,'剩余法-待开发'!J7,'数据-汇总表'!$E19:$E33)</f>
        <v>0</v>
      </c>
      <c r="K9" s="1092">
        <f>SUMIF('数据-汇总表'!$C19:$C33,'剩余法-待开发'!K7,'数据-汇总表'!$E19:$E33)</f>
        <v>0</v>
      </c>
      <c r="AA9" s="988"/>
      <c r="AB9" s="988"/>
      <c r="AC9" s="988"/>
      <c r="AD9" s="988"/>
      <c r="AE9" s="988"/>
    </row>
    <row r="10" spans="1:31" s="978" customFormat="1" ht="13.5" customHeight="1">
      <c r="A10" s="1013" t="s">
        <v>950</v>
      </c>
      <c r="B10" s="1014" t="s">
        <v>951</v>
      </c>
      <c r="C10" s="1015">
        <f>ROUND(C8*C9/10000,0)</f>
        <v>312787</v>
      </c>
      <c r="D10" s="1015">
        <f>'不动产比较法-车位'!B2</f>
        <v>16382</v>
      </c>
      <c r="E10" s="1015"/>
      <c r="F10" s="1016"/>
      <c r="G10" s="1016"/>
      <c r="H10" s="1016"/>
      <c r="I10" s="1016"/>
      <c r="J10" s="1016"/>
      <c r="K10" s="1093"/>
      <c r="AA10" s="988"/>
      <c r="AB10" s="988"/>
      <c r="AC10" s="988"/>
      <c r="AD10" s="988"/>
      <c r="AE10" s="988"/>
    </row>
    <row r="11" spans="1:31" s="976" customFormat="1" ht="16.5" customHeight="1">
      <c r="A11" s="1017" t="s">
        <v>2429</v>
      </c>
      <c r="B11" s="1005"/>
      <c r="C11" s="1005"/>
      <c r="D11" s="1005"/>
      <c r="E11" s="1005"/>
      <c r="F11" s="1005"/>
      <c r="G11" s="1005"/>
      <c r="H11" s="1005"/>
      <c r="I11" s="1005"/>
      <c r="J11" s="1005"/>
      <c r="K11" s="1088"/>
      <c r="L11" s="1089"/>
      <c r="M11" s="1089"/>
      <c r="N11" s="1089"/>
      <c r="O11" s="1089"/>
      <c r="P11" s="1089"/>
      <c r="Q11" s="1089"/>
      <c r="R11" s="1089"/>
      <c r="S11" s="1089"/>
      <c r="T11" s="1089"/>
      <c r="U11" s="1089"/>
      <c r="V11" s="1089"/>
      <c r="W11" s="1089"/>
      <c r="X11" s="1089"/>
      <c r="Y11" s="1089"/>
      <c r="Z11" s="1089"/>
    </row>
    <row r="12" spans="1:31" s="754" customFormat="1" ht="13.5" customHeight="1">
      <c r="A12" s="1018" t="s">
        <v>947</v>
      </c>
      <c r="B12" s="1019" t="s">
        <v>948</v>
      </c>
      <c r="C12" s="1020" t="s">
        <v>953</v>
      </c>
      <c r="D12" s="1021" t="s">
        <v>954</v>
      </c>
      <c r="E12" s="1021" t="s">
        <v>955</v>
      </c>
      <c r="F12" s="1021" t="s">
        <v>956</v>
      </c>
      <c r="G12" s="1019"/>
      <c r="H12" s="1022"/>
      <c r="I12" s="1022"/>
      <c r="J12" s="1022"/>
      <c r="K12" s="1094"/>
      <c r="L12" s="1095"/>
      <c r="M12" s="1095"/>
      <c r="N12" s="1095"/>
      <c r="O12" s="1095"/>
      <c r="P12" s="1095"/>
      <c r="Q12" s="1095"/>
      <c r="R12" s="1095"/>
      <c r="S12" s="1095"/>
      <c r="T12" s="1095"/>
      <c r="U12" s="1095"/>
      <c r="V12" s="1095"/>
      <c r="W12" s="1095"/>
      <c r="X12" s="1095"/>
      <c r="Y12" s="1095"/>
      <c r="Z12" s="1095"/>
    </row>
    <row r="13" spans="1:31" s="979" customFormat="1" ht="13.5" customHeight="1">
      <c r="A13" s="1023" t="s">
        <v>904</v>
      </c>
      <c r="B13" s="1024" t="s">
        <v>957</v>
      </c>
      <c r="C13" s="1025">
        <f ca="1">IF(B1="",'数据-取费表'!P16,INDIRECT("'数据-取费表'!p"&amp;$K$1)+INDIRECT("'数据-取费表'!t"&amp;$K$1))</f>
        <v>85681</v>
      </c>
      <c r="D13" s="1026"/>
      <c r="E13" s="1027"/>
      <c r="F13" s="1028"/>
      <c r="G13" s="1019"/>
      <c r="H13" s="1022"/>
      <c r="I13" s="1022"/>
      <c r="J13" s="1022"/>
      <c r="K13" s="1094"/>
      <c r="L13" s="980"/>
      <c r="M13" s="980"/>
      <c r="N13" s="980"/>
      <c r="O13" s="980"/>
      <c r="P13" s="980"/>
      <c r="Q13" s="980"/>
      <c r="R13" s="980"/>
      <c r="S13" s="980"/>
      <c r="T13" s="980"/>
      <c r="U13" s="980"/>
      <c r="V13" s="980"/>
      <c r="W13" s="980"/>
      <c r="X13" s="980"/>
      <c r="Y13" s="980"/>
      <c r="Z13" s="980"/>
    </row>
    <row r="14" spans="1:31" s="979" customFormat="1" ht="13.5" customHeight="1">
      <c r="A14" s="1023" t="s">
        <v>958</v>
      </c>
      <c r="B14" s="1024" t="s">
        <v>959</v>
      </c>
      <c r="C14" s="127">
        <f ca="1">ROUND(C13*F14,0)</f>
        <v>2570</v>
      </c>
      <c r="D14" s="1026"/>
      <c r="E14" s="1027"/>
      <c r="F14" s="1029">
        <f>'数据-取费表'!B33</f>
        <v>0.03</v>
      </c>
      <c r="G14" s="1019" t="s">
        <v>960</v>
      </c>
      <c r="H14" s="1022"/>
      <c r="I14" s="1022"/>
      <c r="J14" s="1022"/>
      <c r="K14" s="1094"/>
      <c r="L14" s="980"/>
      <c r="M14" s="980"/>
      <c r="N14" s="980"/>
      <c r="O14" s="980"/>
      <c r="P14" s="980"/>
      <c r="Q14" s="980"/>
      <c r="R14" s="980"/>
      <c r="S14" s="980"/>
      <c r="T14" s="980"/>
      <c r="U14" s="980"/>
      <c r="V14" s="980"/>
      <c r="W14" s="980"/>
      <c r="X14" s="980"/>
      <c r="Y14" s="980"/>
      <c r="Z14" s="980"/>
    </row>
    <row r="15" spans="1:31" s="979" customFormat="1" ht="13.5" customHeight="1">
      <c r="A15" s="1023" t="s">
        <v>961</v>
      </c>
      <c r="B15" s="1024" t="s">
        <v>962</v>
      </c>
      <c r="C15" s="127">
        <f ca="1">ROUND(IF(B1="",SUMIF('数据-取费表'!C:C,"住宅",'数据-取费表'!P:P)*F15,IF(INDIRECT("'数据-取费表'!c"&amp;$K$1)="住宅",INDIRECT("'数据-取费表'!P"&amp;$K$1)*F15,0)),0)</f>
        <v>1967</v>
      </c>
      <c r="D15" s="1026"/>
      <c r="E15" s="1027"/>
      <c r="F15" s="1029">
        <f>'数据-取费表'!B34</f>
        <v>0.03</v>
      </c>
      <c r="G15" s="1019" t="s">
        <v>2430</v>
      </c>
      <c r="H15" s="1022"/>
      <c r="I15" s="1022"/>
      <c r="J15" s="1022"/>
      <c r="K15" s="1094"/>
      <c r="L15" s="980"/>
      <c r="M15" s="980"/>
      <c r="N15" s="980"/>
      <c r="O15" s="980"/>
      <c r="P15" s="980"/>
      <c r="Q15" s="980"/>
      <c r="R15" s="980"/>
      <c r="S15" s="980"/>
      <c r="T15" s="980"/>
      <c r="U15" s="980"/>
      <c r="V15" s="980"/>
      <c r="W15" s="980"/>
      <c r="X15" s="980"/>
      <c r="Y15" s="980"/>
      <c r="Z15" s="980"/>
    </row>
    <row r="16" spans="1:31" s="980" customFormat="1" ht="13.5" customHeight="1">
      <c r="A16" s="1023" t="s">
        <v>963</v>
      </c>
      <c r="B16" s="1024" t="s">
        <v>964</v>
      </c>
      <c r="C16" s="127">
        <f ca="1">ROUND(D16*E16/10000,0)</f>
        <v>3477</v>
      </c>
      <c r="D16" s="1026">
        <f ca="1">IF(B1="",'数据-汇总表'!E3,INDIRECT("'数据-取费表'!K"&amp;$K$1)+INDIRECT("'数据-取费表'!S"&amp;$K$1))</f>
        <v>173827.12999999998</v>
      </c>
      <c r="E16" s="127">
        <f>'数据-取费表'!B35</f>
        <v>200</v>
      </c>
      <c r="F16" s="1030"/>
      <c r="G16" s="1019"/>
      <c r="H16" s="1022"/>
      <c r="I16" s="1022"/>
      <c r="J16" s="1022"/>
      <c r="K16" s="1094"/>
      <c r="AA16" s="979"/>
      <c r="AB16" s="979"/>
      <c r="AC16" s="979"/>
      <c r="AD16" s="979"/>
      <c r="AE16" s="979"/>
    </row>
    <row r="17" spans="1:26" s="979" customFormat="1" ht="13.5" customHeight="1">
      <c r="A17" s="1023" t="s">
        <v>965</v>
      </c>
      <c r="B17" s="1024" t="s">
        <v>966</v>
      </c>
      <c r="C17" s="1031">
        <f ca="1">ROUND(C13*F17,0)</f>
        <v>1285</v>
      </c>
      <c r="D17" s="1032"/>
      <c r="E17" s="1031"/>
      <c r="F17" s="1029">
        <f>'数据-取费表'!B36</f>
        <v>1.4999999999999999E-2</v>
      </c>
      <c r="G17" s="702" t="s">
        <v>2431</v>
      </c>
      <c r="H17" s="1033"/>
      <c r="I17" s="1033"/>
      <c r="J17" s="1033"/>
      <c r="K17" s="1096"/>
      <c r="L17" s="980"/>
      <c r="M17" s="980"/>
      <c r="N17" s="980"/>
      <c r="O17" s="980"/>
      <c r="P17" s="980"/>
      <c r="Q17" s="980"/>
      <c r="R17" s="980"/>
      <c r="S17" s="980"/>
      <c r="T17" s="980"/>
      <c r="U17" s="980"/>
      <c r="V17" s="980"/>
      <c r="W17" s="980"/>
      <c r="X17" s="980"/>
      <c r="Y17" s="980"/>
      <c r="Z17" s="980"/>
    </row>
    <row r="18" spans="1:26" s="979" customFormat="1" ht="13.5" customHeight="1">
      <c r="A18" s="1034" t="s">
        <v>967</v>
      </c>
      <c r="B18" s="1035" t="s">
        <v>968</v>
      </c>
      <c r="C18" s="1036">
        <f ca="1">SUM(C13:C17)</f>
        <v>94980</v>
      </c>
      <c r="D18" s="1037"/>
      <c r="E18" s="1038"/>
      <c r="F18" s="1038"/>
      <c r="G18" s="1039" t="s">
        <v>2432</v>
      </c>
      <c r="H18" s="1040"/>
      <c r="I18" s="1040"/>
      <c r="J18" s="1040"/>
      <c r="K18" s="1097"/>
      <c r="L18" s="980"/>
      <c r="M18" s="980"/>
      <c r="N18" s="980"/>
      <c r="O18" s="980"/>
      <c r="P18" s="980"/>
      <c r="Q18" s="980"/>
      <c r="R18" s="980"/>
      <c r="S18" s="980"/>
      <c r="T18" s="980"/>
      <c r="U18" s="980"/>
      <c r="V18" s="980"/>
      <c r="W18" s="980"/>
      <c r="X18" s="980"/>
      <c r="Y18" s="980"/>
      <c r="Z18" s="980"/>
    </row>
    <row r="19" spans="1:26" s="979" customFormat="1" ht="13.5" customHeight="1">
      <c r="A19" s="1034" t="s">
        <v>970</v>
      </c>
      <c r="B19" s="1035" t="s">
        <v>2433</v>
      </c>
      <c r="C19" s="1021">
        <f ca="1">ROUND(D19*E19/10000,0)</f>
        <v>521</v>
      </c>
      <c r="D19" s="1041">
        <f ca="1">D16</f>
        <v>173827.12999999998</v>
      </c>
      <c r="E19" s="1021">
        <f>'数据-取费表'!B32</f>
        <v>30</v>
      </c>
      <c r="F19" s="1038"/>
      <c r="G19" s="1019" t="s">
        <v>2434</v>
      </c>
      <c r="H19" s="1022"/>
      <c r="I19" s="1040"/>
      <c r="J19" s="1040"/>
      <c r="K19" s="1097"/>
      <c r="L19" s="980"/>
      <c r="M19" s="980"/>
      <c r="N19" s="980"/>
      <c r="O19" s="980"/>
      <c r="P19" s="980"/>
      <c r="Q19" s="980"/>
      <c r="R19" s="980"/>
      <c r="S19" s="980"/>
      <c r="T19" s="980"/>
      <c r="U19" s="980"/>
      <c r="V19" s="980"/>
      <c r="W19" s="980"/>
      <c r="X19" s="980"/>
      <c r="Y19" s="980"/>
      <c r="Z19" s="980"/>
    </row>
    <row r="20" spans="1:26" s="979" customFormat="1" ht="13.5" customHeight="1">
      <c r="A20" s="1034" t="s">
        <v>973</v>
      </c>
      <c r="B20" s="1035" t="s">
        <v>2435</v>
      </c>
      <c r="C20" s="1021">
        <f ca="1">C21+C22-IF(B1="",'数据-取费表'!B29,IF(G20="已全部缴纳",C21+C22,H20))</f>
        <v>2826</v>
      </c>
      <c r="D20" s="1041"/>
      <c r="E20" s="1021"/>
      <c r="F20" s="1042"/>
      <c r="G20" s="1043"/>
      <c r="H20" s="1044"/>
      <c r="I20" s="1098" t="s">
        <v>1100</v>
      </c>
      <c r="J20" s="1040"/>
      <c r="K20" s="1097"/>
      <c r="L20" s="980"/>
      <c r="M20" s="980"/>
      <c r="N20" s="980"/>
      <c r="O20" s="980"/>
      <c r="P20" s="980"/>
      <c r="Q20" s="980"/>
      <c r="R20" s="980"/>
      <c r="S20" s="980"/>
      <c r="T20" s="980"/>
      <c r="U20" s="980"/>
      <c r="V20" s="980"/>
      <c r="W20" s="980"/>
      <c r="X20" s="980"/>
      <c r="Y20" s="980"/>
      <c r="Z20" s="980"/>
    </row>
    <row r="21" spans="1:26" s="979" customFormat="1" ht="13.5" customHeight="1">
      <c r="A21" s="1023" t="s">
        <v>904</v>
      </c>
      <c r="B21" s="1024" t="s">
        <v>2436</v>
      </c>
      <c r="C21" s="127">
        <f ca="1">ROUND(D21*E21/10000,0)</f>
        <v>1788</v>
      </c>
      <c r="D21" s="1026">
        <f ca="1">IF(B1="",'数据-汇总表'!E5,IF(INDIRECT("'数据-取费表'!c"&amp;$K$1)="住宅",INDIRECT("'数据-取费表'!k"&amp;$K$1),0))</f>
        <v>119188.85</v>
      </c>
      <c r="E21" s="127">
        <f>'数据-取费表'!B27</f>
        <v>150</v>
      </c>
      <c r="F21" s="1030"/>
      <c r="G21" s="778"/>
      <c r="H21" s="1045"/>
      <c r="I21" s="1045"/>
      <c r="J21" s="1045"/>
      <c r="K21" s="1099"/>
      <c r="L21" s="980"/>
      <c r="M21" s="980"/>
      <c r="N21" s="980"/>
      <c r="O21" s="980"/>
      <c r="P21" s="980"/>
      <c r="Q21" s="980"/>
      <c r="R21" s="980"/>
      <c r="S21" s="980"/>
      <c r="T21" s="980"/>
      <c r="U21" s="980"/>
      <c r="V21" s="980"/>
      <c r="W21" s="980"/>
      <c r="X21" s="980"/>
      <c r="Y21" s="980"/>
      <c r="Z21" s="980"/>
    </row>
    <row r="22" spans="1:26" s="979" customFormat="1" ht="13.5" customHeight="1">
      <c r="A22" s="1023" t="s">
        <v>908</v>
      </c>
      <c r="B22" s="1024" t="s">
        <v>2437</v>
      </c>
      <c r="C22" s="127">
        <f ca="1">ROUND(D22*E22/10000,0)</f>
        <v>1038</v>
      </c>
      <c r="D22" s="1026">
        <f ca="1">IF(B1="",'数据-汇总表'!E6,IF(INDIRECT("'数据-取费表'!c"&amp;$K$1)="住宅",INDIRECT("'数据-取费表'!s"&amp;$K$1),INDIRECT("'数据-取费表'!k"&amp;$K$1)+INDIRECT("'数据-取费表'!s"&amp;$K$1)))</f>
        <v>54638.27999999997</v>
      </c>
      <c r="E22" s="127">
        <f>'数据-取费表'!B28</f>
        <v>190</v>
      </c>
      <c r="F22" s="1030"/>
      <c r="G22" s="778"/>
      <c r="H22" s="1045"/>
      <c r="I22" s="1045"/>
      <c r="J22" s="1045"/>
      <c r="K22" s="1099"/>
      <c r="L22" s="980"/>
      <c r="M22" s="980"/>
      <c r="N22" s="980"/>
      <c r="O22" s="980"/>
      <c r="P22" s="980"/>
      <c r="Q22" s="980"/>
      <c r="R22" s="980"/>
      <c r="S22" s="980"/>
      <c r="T22" s="980"/>
      <c r="U22" s="980"/>
      <c r="V22" s="980"/>
      <c r="W22" s="980"/>
      <c r="X22" s="980"/>
      <c r="Y22" s="980"/>
      <c r="Z22" s="980"/>
    </row>
    <row r="23" spans="1:26" s="979" customFormat="1" ht="13.5" customHeight="1">
      <c r="A23" s="1034" t="s">
        <v>2438</v>
      </c>
      <c r="B23" s="1046" t="s">
        <v>2439</v>
      </c>
      <c r="C23" s="1036">
        <f ca="1">ROUND((C18+C19+C20)*F23,0)</f>
        <v>1475</v>
      </c>
      <c r="D23" s="1038"/>
      <c r="E23" s="1038"/>
      <c r="F23" s="1047">
        <f>'数据-取费表'!B37</f>
        <v>1.4999999999999999E-2</v>
      </c>
      <c r="G23" s="1019" t="s">
        <v>2440</v>
      </c>
      <c r="H23" s="1022"/>
      <c r="I23" s="1022"/>
      <c r="J23" s="1022"/>
      <c r="K23" s="1094"/>
      <c r="L23" s="1100"/>
      <c r="M23" s="1100"/>
      <c r="N23" s="1100"/>
      <c r="O23" s="980"/>
      <c r="P23" s="980"/>
      <c r="Q23" s="980"/>
      <c r="R23" s="980"/>
      <c r="S23" s="980"/>
      <c r="T23" s="980"/>
      <c r="U23" s="980"/>
      <c r="V23" s="980"/>
      <c r="W23" s="980"/>
      <c r="X23" s="980"/>
      <c r="Y23" s="980"/>
      <c r="Z23" s="980"/>
    </row>
    <row r="24" spans="1:26" s="979" customFormat="1" ht="13.5" customHeight="1">
      <c r="A24" s="1034" t="s">
        <v>978</v>
      </c>
      <c r="B24" s="1046" t="s">
        <v>2441</v>
      </c>
      <c r="C24" s="1036">
        <f>ROUND(C6*F24,0)</f>
        <v>4938</v>
      </c>
      <c r="D24" s="1032"/>
      <c r="E24" s="1048"/>
      <c r="F24" s="1047">
        <f>'数据-取费表'!B38</f>
        <v>1.4999999999999999E-2</v>
      </c>
      <c r="G24" s="1049" t="s">
        <v>2442</v>
      </c>
      <c r="H24" s="1033"/>
      <c r="I24" s="1033"/>
      <c r="J24" s="1033"/>
      <c r="K24" s="1096"/>
      <c r="L24" s="1100"/>
      <c r="M24" s="1100"/>
      <c r="N24" s="1100"/>
      <c r="O24" s="980"/>
      <c r="P24" s="980"/>
      <c r="Q24" s="980"/>
      <c r="R24" s="980"/>
      <c r="S24" s="980"/>
      <c r="T24" s="980"/>
      <c r="U24" s="980"/>
      <c r="V24" s="980"/>
      <c r="W24" s="980"/>
      <c r="X24" s="980"/>
      <c r="Y24" s="980"/>
      <c r="Z24" s="980"/>
    </row>
    <row r="25" spans="1:26" s="981" customFormat="1" ht="13.5" customHeight="1">
      <c r="A25" s="1034" t="s">
        <v>980</v>
      </c>
      <c r="B25" s="1046" t="s">
        <v>2443</v>
      </c>
      <c r="C25" s="1050">
        <f>ROUND(F25/(1+'数据-取费表'!C42),4)</f>
        <v>2.9000000000000001E-2</v>
      </c>
      <c r="D25" s="1051" t="s">
        <v>2444</v>
      </c>
      <c r="E25" s="1052"/>
      <c r="F25" s="1047">
        <f>IF(项目基本情况!B8="出让",0,'数据-取费表'!B48+'数据-取费表'!B49)</f>
        <v>3.0499999999999999E-2</v>
      </c>
      <c r="G25" s="1053" t="s">
        <v>2445</v>
      </c>
      <c r="H25" s="1022"/>
      <c r="I25" s="1022"/>
      <c r="J25" s="1022"/>
      <c r="K25" s="1094"/>
      <c r="L25" s="1101"/>
      <c r="M25" s="1101"/>
      <c r="N25" s="1101"/>
      <c r="O25" s="1101"/>
      <c r="P25" s="1101"/>
      <c r="Q25" s="1101"/>
      <c r="R25" s="1101"/>
      <c r="S25" s="1101"/>
      <c r="T25" s="1101"/>
      <c r="U25" s="1101"/>
      <c r="V25" s="1101"/>
      <c r="W25" s="1101"/>
      <c r="X25" s="1101"/>
      <c r="Y25" s="1101"/>
      <c r="Z25" s="1101"/>
    </row>
    <row r="26" spans="1:26" s="982" customFormat="1" ht="13.5" customHeight="1">
      <c r="A26" s="1034" t="s">
        <v>2446</v>
      </c>
      <c r="B26" s="1054" t="s">
        <v>2447</v>
      </c>
      <c r="C26" s="1055">
        <f ca="1">C28</f>
        <v>3614</v>
      </c>
      <c r="D26" s="1050">
        <f ca="1">C27</f>
        <v>7.22E-2</v>
      </c>
      <c r="E26" s="1052" t="s">
        <v>2444</v>
      </c>
      <c r="F26" s="1056">
        <f ca="1">'数据-取费表'!B40</f>
        <v>3.4500000000000003E-2</v>
      </c>
      <c r="G26" s="706" t="str">
        <f>IF('数据-取费表'!B22&lt;=1,"单利计息。","复利计息。")&amp;"后续开发成本、管理费用及销售费用产生的利息。"</f>
        <v>复利计息。后续开发成本、管理费用及销售费用产生的利息。</v>
      </c>
      <c r="H26" s="1040"/>
      <c r="I26" s="1040"/>
      <c r="J26" s="1040"/>
      <c r="K26" s="1097"/>
      <c r="L26" s="1100"/>
      <c r="M26" s="1100"/>
      <c r="N26" s="1100"/>
      <c r="O26" s="1100"/>
      <c r="P26" s="1100"/>
      <c r="Q26" s="1100"/>
      <c r="R26" s="1100"/>
      <c r="S26" s="1100"/>
      <c r="T26" s="1100"/>
      <c r="U26" s="1100"/>
      <c r="V26" s="1100"/>
      <c r="W26" s="1100"/>
      <c r="X26" s="1100"/>
      <c r="Y26" s="1100"/>
      <c r="Z26" s="1100"/>
    </row>
    <row r="27" spans="1:26" s="983" customFormat="1" ht="13.5" customHeight="1">
      <c r="A27" s="1010" t="s">
        <v>904</v>
      </c>
      <c r="B27" s="1057" t="s">
        <v>2448</v>
      </c>
      <c r="C27" s="1058">
        <f ca="1">ROUND(IF('数据-取费表'!B22&lt;=1,(1+C25)*F26*'数据-取费表'!B24,(1+C25)*(POWER((1+F26),'数据-取费表'!B24)-1)),4)</f>
        <v>7.22E-2</v>
      </c>
      <c r="D27" s="1059"/>
      <c r="E27" s="1048"/>
      <c r="F27" s="1060"/>
      <c r="G27" s="706" t="str">
        <f>IF('数据-取费表'!B22&lt;=1,"（1+取得税费率/(1+5%)）×年利率×建设期","（1+取得税费率）/(1+5%)×((1+年利率)^建设期-1)")</f>
        <v>（1+取得税费率）/(1+5%)×((1+年利率)^建设期-1)</v>
      </c>
      <c r="H27" s="1033"/>
      <c r="I27" s="1033"/>
      <c r="J27" s="1033"/>
      <c r="K27" s="1096"/>
      <c r="L27" s="1102"/>
      <c r="M27" s="1102"/>
      <c r="N27" s="1102"/>
      <c r="O27" s="1102"/>
      <c r="P27" s="1102"/>
      <c r="Q27" s="1102"/>
      <c r="R27" s="1102"/>
      <c r="S27" s="1102"/>
      <c r="T27" s="1102"/>
      <c r="U27" s="1102"/>
      <c r="V27" s="1102"/>
      <c r="W27" s="1102"/>
      <c r="X27" s="1102"/>
      <c r="Y27" s="1102"/>
      <c r="Z27" s="1102"/>
    </row>
    <row r="28" spans="1:26" s="983" customFormat="1" ht="13.5" customHeight="1">
      <c r="A28" s="1010" t="s">
        <v>908</v>
      </c>
      <c r="B28" s="1057" t="s">
        <v>2449</v>
      </c>
      <c r="C28" s="1061">
        <f ca="1">ROUND(IF('数据-取费表'!B22&lt;=1,(C18+C19+C20+C23+C24)*F26*'数据-取费表'!B24/2,(C18+C19+C20+C23+C24)*(POWER((1+F26),'数据-取费表'!B24/2)-1)),0)</f>
        <v>3614</v>
      </c>
      <c r="D28" s="1059"/>
      <c r="E28" s="1048"/>
      <c r="F28" s="1060"/>
      <c r="G28" s="706" t="str">
        <f>IF('数据-取费表'!B22&lt;=1,"（1）-（4）项×年利率×建设期÷2","（1）-（4）项×((1+年利率)^(建设期÷2)-1)")</f>
        <v>（1）-（4）项×((1+年利率)^(建设期÷2)-1)</v>
      </c>
      <c r="H28" s="1033"/>
      <c r="I28" s="1033"/>
      <c r="J28" s="1033"/>
      <c r="K28" s="1096"/>
      <c r="L28" s="1102"/>
      <c r="M28" s="1102"/>
      <c r="N28" s="1102"/>
      <c r="O28" s="1102"/>
      <c r="P28" s="1102"/>
      <c r="Q28" s="1102"/>
      <c r="R28" s="1102"/>
      <c r="S28" s="1102"/>
      <c r="T28" s="1102"/>
      <c r="U28" s="1102"/>
      <c r="V28" s="1102"/>
      <c r="W28" s="1102"/>
      <c r="X28" s="1102"/>
      <c r="Y28" s="1102"/>
      <c r="Z28" s="1102"/>
    </row>
    <row r="29" spans="1:26" s="983" customFormat="1" ht="13.5" customHeight="1">
      <c r="A29" s="1062" t="s">
        <v>2450</v>
      </c>
      <c r="B29" s="1035" t="s">
        <v>2451</v>
      </c>
      <c r="C29" s="1036">
        <f>ROUND(C6*F29/(1+'数据-取费表'!C42),0)</f>
        <v>17242</v>
      </c>
      <c r="D29" s="1038"/>
      <c r="E29" s="1038"/>
      <c r="F29" s="1063">
        <f>'数据-取费表'!B41</f>
        <v>5.5E-2</v>
      </c>
      <c r="G29" s="1049" t="s">
        <v>2452</v>
      </c>
      <c r="H29" s="1022"/>
      <c r="I29" s="1022"/>
      <c r="J29" s="1022"/>
      <c r="K29" s="1094"/>
      <c r="L29" s="1102"/>
      <c r="M29" s="1102"/>
      <c r="N29" s="1102"/>
      <c r="O29" s="1102"/>
      <c r="P29" s="1102"/>
      <c r="Q29" s="1102"/>
      <c r="R29" s="1102"/>
      <c r="S29" s="1102"/>
      <c r="T29" s="1102"/>
      <c r="U29" s="1102"/>
      <c r="V29" s="1102"/>
      <c r="W29" s="1102"/>
      <c r="X29" s="1102"/>
      <c r="Y29" s="1102"/>
      <c r="Z29" s="1102"/>
    </row>
    <row r="30" spans="1:26" s="984" customFormat="1" ht="13.5" customHeight="1">
      <c r="A30" s="1064" t="s">
        <v>2453</v>
      </c>
      <c r="B30" s="1065" t="s">
        <v>2454</v>
      </c>
      <c r="C30" s="1055">
        <f ca="1">C31</f>
        <v>125596</v>
      </c>
      <c r="D30" s="1066">
        <f ca="1">C32</f>
        <v>0.1012</v>
      </c>
      <c r="E30" s="1052" t="s">
        <v>2444</v>
      </c>
      <c r="F30" s="1056"/>
      <c r="G30" s="1053" t="s">
        <v>2455</v>
      </c>
      <c r="H30" s="1022"/>
      <c r="I30" s="1022"/>
      <c r="J30" s="1022"/>
      <c r="K30" s="1094"/>
      <c r="L30" s="1103"/>
      <c r="M30" s="1103"/>
      <c r="N30" s="1103"/>
      <c r="O30" s="1103"/>
      <c r="P30" s="1103"/>
      <c r="Q30" s="1103"/>
      <c r="R30" s="1103"/>
      <c r="S30" s="1103"/>
      <c r="T30" s="1103"/>
      <c r="U30" s="1103"/>
      <c r="V30" s="1103"/>
      <c r="W30" s="1103"/>
      <c r="X30" s="1103"/>
      <c r="Y30" s="1103"/>
      <c r="Z30" s="1103"/>
    </row>
    <row r="31" spans="1:26" s="983" customFormat="1" ht="13.5" customHeight="1">
      <c r="A31" s="1010" t="s">
        <v>904</v>
      </c>
      <c r="B31" s="1057"/>
      <c r="C31" s="1025">
        <f ca="1">C18+C19+C20+C23+C24+C26+C29</f>
        <v>125596</v>
      </c>
      <c r="D31" s="1059"/>
      <c r="E31" s="1048"/>
      <c r="F31" s="1060"/>
      <c r="G31" s="702"/>
      <c r="H31" s="1033"/>
      <c r="I31" s="1033"/>
      <c r="J31" s="1033"/>
      <c r="K31" s="1096"/>
      <c r="L31" s="1102"/>
      <c r="M31" s="1102"/>
      <c r="N31" s="1102"/>
      <c r="O31" s="1102"/>
      <c r="P31" s="1102"/>
      <c r="Q31" s="1102"/>
      <c r="R31" s="1102"/>
      <c r="S31" s="1102"/>
      <c r="T31" s="1102"/>
      <c r="U31" s="1102"/>
      <c r="V31" s="1102"/>
      <c r="W31" s="1102"/>
      <c r="X31" s="1102"/>
      <c r="Y31" s="1102"/>
      <c r="Z31" s="1102"/>
    </row>
    <row r="32" spans="1:26" s="983" customFormat="1" ht="13.5" customHeight="1">
      <c r="A32" s="1010" t="s">
        <v>908</v>
      </c>
      <c r="B32" s="1057"/>
      <c r="C32" s="127">
        <f ca="1">ROUND(C25+D26,4)</f>
        <v>0.1012</v>
      </c>
      <c r="D32" s="1059"/>
      <c r="E32" s="1048"/>
      <c r="F32" s="1060"/>
      <c r="G32" s="702"/>
      <c r="H32" s="1033"/>
      <c r="I32" s="1033"/>
      <c r="J32" s="1033"/>
      <c r="K32" s="1096"/>
      <c r="L32" s="1102"/>
      <c r="M32" s="1102"/>
      <c r="N32" s="1102"/>
      <c r="O32" s="1102"/>
      <c r="P32" s="1102"/>
      <c r="Q32" s="1102"/>
      <c r="R32" s="1102"/>
      <c r="S32" s="1102"/>
      <c r="T32" s="1102"/>
      <c r="U32" s="1102"/>
      <c r="V32" s="1102"/>
      <c r="W32" s="1102"/>
      <c r="X32" s="1102"/>
      <c r="Y32" s="1102"/>
      <c r="Z32" s="1102"/>
    </row>
    <row r="33" spans="1:26" s="985" customFormat="1" ht="13.5" customHeight="1">
      <c r="A33" s="1067" t="s">
        <v>2456</v>
      </c>
      <c r="B33" s="1068" t="s">
        <v>977</v>
      </c>
      <c r="C33" s="1069">
        <f ca="1">C35</f>
        <v>12569</v>
      </c>
      <c r="D33" s="1050">
        <f ca="1">C34</f>
        <v>0.1235</v>
      </c>
      <c r="E33" s="1052" t="s">
        <v>2444</v>
      </c>
      <c r="F33" s="1070">
        <f ca="1">IF(B1="",'数据-取费表'!Q16,INDIRECT("'数据-取费表'!q"&amp;$K$1))</f>
        <v>0.12</v>
      </c>
      <c r="G33" s="1039"/>
      <c r="H33" s="1040"/>
      <c r="I33" s="1040"/>
      <c r="J33" s="1040"/>
      <c r="K33" s="1097"/>
      <c r="L33" s="1104"/>
      <c r="M33" s="1104"/>
      <c r="N33" s="1104"/>
      <c r="O33" s="1104"/>
      <c r="P33" s="1104"/>
      <c r="Q33" s="1104"/>
      <c r="R33" s="1104"/>
      <c r="S33" s="1104"/>
      <c r="T33" s="1104"/>
      <c r="U33" s="1104"/>
      <c r="V33" s="1104"/>
      <c r="W33" s="1104"/>
      <c r="X33" s="1104"/>
      <c r="Y33" s="1104"/>
      <c r="Z33" s="1104"/>
    </row>
    <row r="34" spans="1:26" s="986" customFormat="1" ht="13.5" customHeight="1">
      <c r="A34" s="1071" t="s">
        <v>904</v>
      </c>
      <c r="B34" s="1072" t="s">
        <v>2457</v>
      </c>
      <c r="C34" s="1059">
        <f ca="1">ROUND((1+C25)*F33,4)</f>
        <v>0.1235</v>
      </c>
      <c r="D34" s="1059"/>
      <c r="E34" s="1048"/>
      <c r="F34" s="1073"/>
      <c r="G34" s="702" t="s">
        <v>2458</v>
      </c>
      <c r="H34" s="1033"/>
      <c r="I34" s="1033"/>
      <c r="J34" s="1033"/>
      <c r="K34" s="1096"/>
      <c r="L34" s="1105"/>
      <c r="M34" s="1105"/>
      <c r="N34" s="1105"/>
      <c r="O34" s="1105"/>
      <c r="P34" s="1105"/>
      <c r="Q34" s="1105"/>
      <c r="R34" s="1105"/>
      <c r="S34" s="1105"/>
      <c r="T34" s="1105"/>
      <c r="U34" s="1105"/>
      <c r="V34" s="1105"/>
      <c r="W34" s="1105"/>
      <c r="X34" s="1105"/>
      <c r="Y34" s="1105"/>
      <c r="Z34" s="1105"/>
    </row>
    <row r="35" spans="1:26" s="986" customFormat="1" ht="13.5" customHeight="1">
      <c r="A35" s="1074" t="s">
        <v>908</v>
      </c>
      <c r="B35" s="1075" t="s">
        <v>2459</v>
      </c>
      <c r="C35" s="1076">
        <f ca="1">ROUND((C18+C19+C20+C23+C24)*F33,0)</f>
        <v>12569</v>
      </c>
      <c r="D35" s="1077"/>
      <c r="E35" s="1078"/>
      <c r="F35" s="1079"/>
      <c r="G35" s="1014"/>
      <c r="H35" s="1080"/>
      <c r="I35" s="1080"/>
      <c r="J35" s="1080"/>
      <c r="K35" s="1106"/>
      <c r="L35" s="1105"/>
      <c r="M35" s="1105"/>
      <c r="N35" s="1105"/>
      <c r="O35" s="1105"/>
      <c r="P35" s="1105"/>
      <c r="Q35" s="1105"/>
      <c r="R35" s="1105"/>
      <c r="S35" s="1105"/>
      <c r="T35" s="1105"/>
      <c r="U35" s="1105"/>
      <c r="V35" s="1105"/>
      <c r="W35" s="1105"/>
      <c r="X35" s="1105"/>
      <c r="Y35" s="1105"/>
      <c r="Z35" s="1105"/>
    </row>
    <row r="36" spans="1:26" s="754" customFormat="1" ht="13.5" customHeight="1">
      <c r="A36" s="1081" t="s">
        <v>2460</v>
      </c>
      <c r="B36" s="1082"/>
      <c r="C36" s="1083">
        <f ca="1">ROUND((C6-C30-C33)/(1+D30+D33),0)</f>
        <v>155960</v>
      </c>
      <c r="D36" s="1082"/>
      <c r="E36" s="1082"/>
      <c r="F36" s="1082"/>
      <c r="G36" s="1084" t="s">
        <v>2461</v>
      </c>
      <c r="H36" s="1082"/>
      <c r="I36" s="1082"/>
      <c r="J36" s="1082"/>
      <c r="K36" s="1107"/>
      <c r="L36" s="1095"/>
      <c r="M36" s="1095"/>
      <c r="N36" s="1095"/>
      <c r="O36" s="1095"/>
      <c r="P36" s="1095"/>
      <c r="Q36" s="1095"/>
      <c r="R36" s="1095"/>
      <c r="S36" s="1095"/>
      <c r="T36" s="1095"/>
      <c r="U36" s="1095"/>
      <c r="V36" s="1095"/>
      <c r="W36" s="1095"/>
      <c r="X36" s="1095"/>
      <c r="Y36" s="1095"/>
      <c r="Z36" s="1095"/>
    </row>
    <row r="37" spans="1:26" s="978" customFormat="1">
      <c r="A37" s="1085"/>
      <c r="C37" s="1086"/>
      <c r="E37" s="1085"/>
    </row>
    <row r="38" spans="1:26" s="978" customFormat="1" ht="12.75" customHeight="1">
      <c r="A38" s="1085"/>
      <c r="C38" s="1086"/>
      <c r="E38" s="1085"/>
    </row>
    <row r="39" spans="1:26" s="978" customFormat="1">
      <c r="A39" s="1085"/>
      <c r="C39" s="1086"/>
      <c r="E39" s="1085"/>
    </row>
    <row r="40" spans="1:26" s="978" customFormat="1">
      <c r="A40" s="1085"/>
      <c r="C40" s="1086"/>
      <c r="E40" s="1085"/>
    </row>
    <row r="41" spans="1:26" s="978" customFormat="1">
      <c r="A41" s="1085"/>
      <c r="C41" s="1086"/>
      <c r="E41" s="1085"/>
    </row>
    <row r="42" spans="1:26" s="978" customFormat="1">
      <c r="A42" s="1085"/>
      <c r="C42" s="1086"/>
      <c r="E42" s="1085"/>
    </row>
    <row r="43" spans="1:26" s="978" customFormat="1">
      <c r="A43" s="1085"/>
      <c r="C43" s="1086"/>
      <c r="E43" s="1085"/>
    </row>
    <row r="44" spans="1:26" s="978" customFormat="1">
      <c r="A44" s="1085"/>
      <c r="C44" s="1086"/>
      <c r="E44" s="1085"/>
    </row>
    <row r="45" spans="1:26" s="978" customFormat="1">
      <c r="A45" s="1085"/>
      <c r="C45" s="1086"/>
      <c r="E45" s="1085"/>
    </row>
    <row r="46" spans="1:26" s="978" customFormat="1">
      <c r="A46" s="1085"/>
      <c r="C46" s="1086"/>
      <c r="E46" s="1085"/>
    </row>
    <row r="47" spans="1:26" s="978" customFormat="1">
      <c r="A47" s="1085"/>
      <c r="C47" s="1086"/>
      <c r="E47" s="1085"/>
    </row>
    <row r="48" spans="1:26"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row r="212" spans="1:5" s="978" customFormat="1">
      <c r="A212" s="1085"/>
      <c r="C212" s="1086"/>
      <c r="E212" s="1085"/>
    </row>
    <row r="213" spans="1:5" s="978" customFormat="1">
      <c r="A213" s="1085"/>
      <c r="C213" s="1086"/>
      <c r="E213" s="1085"/>
    </row>
    <row r="214" spans="1:5" s="978" customFormat="1">
      <c r="A214" s="1085"/>
      <c r="C214" s="1086"/>
      <c r="E214" s="1085"/>
    </row>
    <row r="215" spans="1:5" s="978" customFormat="1">
      <c r="A215" s="1085"/>
      <c r="C215" s="1086"/>
      <c r="E215" s="1085"/>
    </row>
    <row r="216" spans="1:5" s="978" customFormat="1">
      <c r="A216" s="1085"/>
      <c r="C216" s="1086"/>
      <c r="E216" s="1085"/>
    </row>
    <row r="217" spans="1:5" s="978" customFormat="1">
      <c r="A217" s="1085"/>
      <c r="C217" s="1086"/>
      <c r="E217" s="1085"/>
    </row>
    <row r="218" spans="1:5" s="978" customFormat="1">
      <c r="A218" s="1085"/>
      <c r="C218" s="1086"/>
      <c r="E218" s="1085"/>
    </row>
    <row r="219" spans="1:5" s="978" customFormat="1">
      <c r="A219" s="1085"/>
      <c r="C219" s="1086"/>
      <c r="E219" s="1085"/>
    </row>
    <row r="220" spans="1:5" s="978" customFormat="1">
      <c r="A220" s="1085"/>
      <c r="C220" s="1086"/>
      <c r="E220" s="1085"/>
    </row>
    <row r="221" spans="1:5" s="978" customFormat="1">
      <c r="A221" s="1085"/>
      <c r="C221" s="1086"/>
      <c r="E221" s="1085"/>
    </row>
    <row r="222" spans="1:5" s="978" customFormat="1">
      <c r="A222" s="1085"/>
      <c r="C222" s="1086"/>
      <c r="E222" s="1085"/>
    </row>
    <row r="223" spans="1:5" s="978" customFormat="1">
      <c r="A223" s="1085"/>
      <c r="C223" s="1086"/>
      <c r="E223" s="1085"/>
    </row>
    <row r="224" spans="1:5" s="978" customFormat="1">
      <c r="A224" s="1085"/>
      <c r="C224" s="1086"/>
      <c r="E224" s="1085"/>
    </row>
    <row r="225" spans="1:5" s="978" customFormat="1">
      <c r="A225" s="1085"/>
      <c r="C225" s="1086"/>
      <c r="E225" s="1085"/>
    </row>
    <row r="226" spans="1:5" s="978" customFormat="1">
      <c r="A226" s="1085"/>
      <c r="C226" s="1086"/>
      <c r="E226" s="1085"/>
    </row>
    <row r="227" spans="1:5" s="978" customFormat="1">
      <c r="A227" s="1085"/>
      <c r="C227" s="1086"/>
      <c r="E227" s="1085"/>
    </row>
    <row r="228" spans="1:5" s="978" customFormat="1">
      <c r="A228" s="1085"/>
      <c r="C228" s="1086"/>
      <c r="E228" s="1085"/>
    </row>
    <row r="229" spans="1:5" s="978" customFormat="1">
      <c r="A229" s="1085"/>
      <c r="C229" s="1086"/>
      <c r="E229" s="1085"/>
    </row>
    <row r="230" spans="1:5" s="978" customFormat="1">
      <c r="A230" s="1085"/>
      <c r="C230" s="1086"/>
      <c r="E230" s="1085"/>
    </row>
    <row r="231" spans="1:5" s="978" customFormat="1">
      <c r="A231" s="1085"/>
      <c r="C231" s="1086"/>
      <c r="E231" s="1085"/>
    </row>
    <row r="232" spans="1:5" s="978" customFormat="1">
      <c r="A232" s="1085"/>
      <c r="C232" s="1086"/>
      <c r="E232" s="1085"/>
    </row>
    <row r="233" spans="1:5" s="978" customFormat="1">
      <c r="A233" s="1085"/>
      <c r="C233" s="1086"/>
      <c r="E233" s="1085"/>
    </row>
    <row r="234" spans="1:5" s="978" customFormat="1">
      <c r="A234" s="1085"/>
      <c r="C234" s="1086"/>
      <c r="E234" s="1085"/>
    </row>
    <row r="235" spans="1:5" s="978" customFormat="1">
      <c r="A235" s="1085"/>
      <c r="C235" s="1086"/>
      <c r="E235" s="1085"/>
    </row>
    <row r="236" spans="1:5" s="978" customFormat="1">
      <c r="A236" s="1085"/>
      <c r="C236" s="1086"/>
      <c r="E236" s="1085"/>
    </row>
    <row r="237" spans="1:5" s="978" customFormat="1">
      <c r="A237" s="1085"/>
      <c r="C237" s="1086"/>
      <c r="E237" s="1085"/>
    </row>
    <row r="238" spans="1:5" s="978" customFormat="1">
      <c r="A238" s="1085"/>
      <c r="C238" s="1086"/>
      <c r="E238" s="1085"/>
    </row>
    <row r="239" spans="1:5" s="978" customFormat="1">
      <c r="A239" s="1085"/>
      <c r="C239" s="1086"/>
      <c r="E239" s="1085"/>
    </row>
    <row r="240" spans="1:5" s="978" customFormat="1">
      <c r="A240" s="1085"/>
      <c r="C240" s="1086"/>
      <c r="E240" s="1085"/>
    </row>
    <row r="241" spans="1:5" s="978" customFormat="1">
      <c r="A241" s="1085"/>
      <c r="C241" s="1086"/>
      <c r="E241" s="1085"/>
    </row>
    <row r="242" spans="1:5" s="978" customFormat="1">
      <c r="A242" s="1085"/>
      <c r="C242" s="1086"/>
      <c r="E242" s="1085"/>
    </row>
    <row r="243" spans="1:5" s="978" customFormat="1">
      <c r="A243" s="1085"/>
      <c r="C243" s="1086"/>
      <c r="E243" s="1085"/>
    </row>
    <row r="244" spans="1:5" s="978" customFormat="1">
      <c r="A244" s="1085"/>
      <c r="C244" s="1086"/>
      <c r="E244" s="1085"/>
    </row>
    <row r="245" spans="1:5" s="978" customFormat="1">
      <c r="A245" s="1085"/>
      <c r="C245" s="1086"/>
      <c r="E245" s="1085"/>
    </row>
    <row r="246" spans="1:5" s="978" customFormat="1">
      <c r="A246" s="1085"/>
      <c r="C246" s="1086"/>
      <c r="E246" s="1085"/>
    </row>
    <row r="247" spans="1:5" s="978" customFormat="1">
      <c r="A247" s="1085"/>
      <c r="C247" s="1086"/>
      <c r="E247" s="1085"/>
    </row>
    <row r="248" spans="1:5" s="978" customFormat="1">
      <c r="A248" s="1085"/>
      <c r="C248" s="1086"/>
      <c r="E248" s="1085"/>
    </row>
    <row r="249" spans="1:5" s="978" customFormat="1">
      <c r="A249" s="1085"/>
      <c r="C249" s="1086"/>
      <c r="E249" s="1085"/>
    </row>
    <row r="250" spans="1:5" s="978" customFormat="1">
      <c r="A250" s="1085"/>
      <c r="C250" s="1086"/>
      <c r="E250" s="1085"/>
    </row>
    <row r="251" spans="1:5" s="978" customFormat="1">
      <c r="A251" s="1085"/>
      <c r="C251" s="1086"/>
      <c r="E251" s="1085"/>
    </row>
    <row r="252" spans="1:5" s="978" customFormat="1">
      <c r="A252" s="1085"/>
      <c r="C252" s="1086"/>
      <c r="E252" s="1085"/>
    </row>
    <row r="253" spans="1:5" s="978" customFormat="1">
      <c r="A253" s="1085"/>
      <c r="C253" s="1086"/>
      <c r="E253" s="1085"/>
    </row>
    <row r="254" spans="1:5" s="978" customFormat="1">
      <c r="A254" s="1085"/>
      <c r="C254" s="1086"/>
      <c r="E254" s="1085"/>
    </row>
    <row r="255" spans="1:5" s="978" customFormat="1">
      <c r="A255" s="1085"/>
      <c r="C255" s="1086"/>
      <c r="E255" s="1085"/>
    </row>
    <row r="256" spans="1:5" s="978" customFormat="1">
      <c r="A256" s="1085"/>
      <c r="C256" s="1086"/>
      <c r="E256" s="1085"/>
    </row>
    <row r="257" spans="1:5" s="978" customFormat="1">
      <c r="A257" s="1085"/>
      <c r="C257" s="1086"/>
      <c r="E257" s="1085"/>
    </row>
    <row r="258" spans="1:5" s="978" customFormat="1">
      <c r="A258" s="1085"/>
      <c r="C258" s="1086"/>
      <c r="E258" s="1085"/>
    </row>
    <row r="259" spans="1:5" s="978" customFormat="1">
      <c r="A259" s="1085"/>
      <c r="C259" s="1086"/>
      <c r="E259" s="1085"/>
    </row>
    <row r="260" spans="1:5" s="978" customFormat="1">
      <c r="A260" s="1085"/>
      <c r="C260" s="1086"/>
      <c r="E260" s="1085"/>
    </row>
    <row r="261" spans="1:5" s="978" customFormat="1">
      <c r="A261" s="1085"/>
      <c r="C261" s="1086"/>
      <c r="E261" s="1085"/>
    </row>
    <row r="262" spans="1:5" s="978" customFormat="1">
      <c r="A262" s="1085"/>
      <c r="C262" s="1086"/>
      <c r="E262" s="1085"/>
    </row>
    <row r="263" spans="1:5" s="978" customFormat="1">
      <c r="A263" s="1085"/>
      <c r="C263" s="1086"/>
      <c r="E263" s="1085"/>
    </row>
    <row r="264" spans="1:5" s="978" customFormat="1">
      <c r="A264" s="1085"/>
      <c r="C264" s="1086"/>
      <c r="E264" s="1085"/>
    </row>
    <row r="265" spans="1:5" s="978" customFormat="1">
      <c r="A265" s="1085"/>
      <c r="C265" s="1086"/>
      <c r="E265" s="1085"/>
    </row>
    <row r="266" spans="1:5" s="978" customFormat="1">
      <c r="A266" s="1085"/>
      <c r="C266" s="1086"/>
      <c r="E266" s="1085"/>
    </row>
    <row r="267" spans="1:5" s="978" customFormat="1">
      <c r="A267" s="1085"/>
      <c r="C267" s="1086"/>
      <c r="E267" s="1085"/>
    </row>
    <row r="268" spans="1:5" s="978" customFormat="1">
      <c r="A268" s="1085"/>
      <c r="C268" s="1086"/>
      <c r="E268" s="1085"/>
    </row>
    <row r="269" spans="1:5" s="978" customFormat="1">
      <c r="A269" s="1085"/>
      <c r="C269" s="1086"/>
      <c r="E269" s="1085"/>
    </row>
    <row r="270" spans="1:5" s="978" customFormat="1">
      <c r="A270" s="1085"/>
      <c r="C270" s="1086"/>
      <c r="E270" s="1085"/>
    </row>
    <row r="271" spans="1:5" s="978" customFormat="1">
      <c r="A271" s="1085"/>
      <c r="C271" s="1086"/>
      <c r="E271" s="1085"/>
    </row>
    <row r="272" spans="1:5" s="978" customFormat="1">
      <c r="A272" s="1085"/>
      <c r="C272" s="1086"/>
      <c r="E272" s="1085"/>
    </row>
    <row r="273" spans="1:5" s="978" customFormat="1">
      <c r="A273" s="1085"/>
      <c r="C273" s="1086"/>
      <c r="E273" s="1085"/>
    </row>
    <row r="274" spans="1:5" s="978" customFormat="1">
      <c r="A274" s="1085"/>
      <c r="C274" s="1086"/>
      <c r="E274" s="1085"/>
    </row>
    <row r="275" spans="1:5" s="978" customFormat="1">
      <c r="A275" s="1085"/>
      <c r="C275" s="1086"/>
      <c r="E275" s="1085"/>
    </row>
    <row r="276" spans="1:5" s="978" customFormat="1">
      <c r="A276" s="1085"/>
      <c r="C276" s="1086"/>
      <c r="E276" s="1085"/>
    </row>
    <row r="277" spans="1:5" s="978" customFormat="1">
      <c r="A277" s="1085"/>
      <c r="C277" s="1086"/>
      <c r="E277" s="1085"/>
    </row>
    <row r="278" spans="1:5" s="978" customFormat="1">
      <c r="A278" s="1085"/>
      <c r="C278" s="1086"/>
      <c r="E278" s="1085"/>
    </row>
    <row r="279" spans="1:5" s="978" customFormat="1">
      <c r="A279" s="1085"/>
      <c r="C279" s="1086"/>
      <c r="E279" s="1085"/>
    </row>
    <row r="280" spans="1:5" s="978" customFormat="1">
      <c r="A280" s="1085"/>
      <c r="C280" s="1086"/>
      <c r="E280" s="1085"/>
    </row>
    <row r="281" spans="1:5" s="978" customFormat="1">
      <c r="A281" s="1085"/>
      <c r="C281" s="1086"/>
      <c r="E281" s="1085"/>
    </row>
    <row r="282" spans="1:5" s="978" customFormat="1">
      <c r="A282" s="1085"/>
      <c r="C282" s="1086"/>
      <c r="E282" s="1085"/>
    </row>
    <row r="283" spans="1:5" s="978" customFormat="1">
      <c r="A283" s="1085"/>
      <c r="C283" s="1086"/>
      <c r="E283" s="1085"/>
    </row>
    <row r="284" spans="1:5" s="978" customFormat="1">
      <c r="A284" s="1085"/>
      <c r="C284" s="1086"/>
      <c r="E284" s="1085"/>
    </row>
    <row r="285" spans="1:5" s="978" customFormat="1">
      <c r="A285" s="1085"/>
      <c r="C285" s="1086"/>
      <c r="E285" s="1085"/>
    </row>
    <row r="286" spans="1:5" s="978" customFormat="1">
      <c r="A286" s="1085"/>
      <c r="C286" s="1086"/>
      <c r="E286" s="1085"/>
    </row>
    <row r="287" spans="1:5" s="978" customFormat="1">
      <c r="A287" s="1085"/>
      <c r="C287" s="1086"/>
      <c r="E287" s="1085"/>
    </row>
    <row r="288" spans="1:5" s="978" customFormat="1">
      <c r="A288" s="1085"/>
      <c r="C288" s="1086"/>
      <c r="E288" s="1085"/>
    </row>
    <row r="289" spans="1:5" s="978" customFormat="1">
      <c r="A289" s="1085"/>
      <c r="C289" s="1086"/>
      <c r="E289" s="1085"/>
    </row>
    <row r="290" spans="1:5" s="978" customFormat="1">
      <c r="A290" s="1085"/>
      <c r="C290" s="1086"/>
      <c r="E290" s="1085"/>
    </row>
    <row r="291" spans="1:5" s="978" customFormat="1">
      <c r="A291" s="1085"/>
      <c r="C291" s="1086"/>
      <c r="E291" s="1085"/>
    </row>
    <row r="292" spans="1:5" s="978" customFormat="1">
      <c r="A292" s="1085"/>
      <c r="C292" s="1086"/>
      <c r="E292" s="1085"/>
    </row>
    <row r="293" spans="1:5" s="978" customFormat="1">
      <c r="A293" s="1085"/>
      <c r="C293" s="1086"/>
      <c r="E293" s="1085"/>
    </row>
    <row r="294" spans="1:5" s="978" customFormat="1">
      <c r="A294" s="1085"/>
      <c r="C294" s="1086"/>
      <c r="E294" s="1085"/>
    </row>
    <row r="295" spans="1:5" s="978" customFormat="1">
      <c r="A295" s="1085"/>
      <c r="C295" s="1086"/>
      <c r="E295" s="1085"/>
    </row>
    <row r="296" spans="1:5" s="978" customFormat="1">
      <c r="A296" s="1085"/>
      <c r="C296" s="1086"/>
      <c r="E296" s="1085"/>
    </row>
    <row r="297" spans="1:5" s="978" customFormat="1">
      <c r="A297" s="1085"/>
      <c r="C297" s="1086"/>
      <c r="E297" s="1085"/>
    </row>
    <row r="298" spans="1:5" s="978" customFormat="1">
      <c r="A298" s="1085"/>
      <c r="C298" s="1086"/>
      <c r="E298" s="1085"/>
    </row>
    <row r="299" spans="1:5" s="978" customFormat="1">
      <c r="A299" s="1085"/>
      <c r="C299" s="1086"/>
      <c r="E299" s="1085"/>
    </row>
    <row r="300" spans="1:5" s="978" customFormat="1">
      <c r="A300" s="1085"/>
      <c r="C300" s="1086"/>
      <c r="E300" s="1085"/>
    </row>
    <row r="301" spans="1:5" s="978" customFormat="1">
      <c r="A301" s="1085"/>
      <c r="C301" s="1086"/>
      <c r="E301" s="1085"/>
    </row>
    <row r="302" spans="1:5" s="978" customFormat="1">
      <c r="A302" s="1085"/>
      <c r="C302" s="1086"/>
      <c r="E302" s="1085"/>
    </row>
    <row r="303" spans="1:5" s="978" customFormat="1">
      <c r="A303" s="1085"/>
      <c r="C303" s="1086"/>
      <c r="E303" s="1085"/>
    </row>
    <row r="304" spans="1:5" s="978" customFormat="1">
      <c r="A304" s="1085"/>
      <c r="C304" s="1086"/>
      <c r="E304" s="1085"/>
    </row>
    <row r="305" spans="1:5" s="978" customFormat="1">
      <c r="A305" s="1085"/>
      <c r="C305" s="1086"/>
      <c r="E305" s="1085"/>
    </row>
    <row r="306" spans="1:5" s="978" customFormat="1">
      <c r="A306" s="1085"/>
      <c r="C306" s="1086"/>
      <c r="E306" s="1085"/>
    </row>
    <row r="307" spans="1:5" s="978" customFormat="1">
      <c r="A307" s="1085"/>
      <c r="C307" s="1086"/>
      <c r="E307" s="1085"/>
    </row>
    <row r="308" spans="1:5" s="978" customFormat="1">
      <c r="A308" s="1085"/>
      <c r="C308" s="1086"/>
      <c r="E308" s="1085"/>
    </row>
    <row r="309" spans="1:5" s="978" customFormat="1">
      <c r="A309" s="1085"/>
      <c r="C309" s="1086"/>
      <c r="E309" s="1085"/>
    </row>
    <row r="310" spans="1:5" s="978" customFormat="1">
      <c r="A310" s="1085"/>
      <c r="C310" s="1086"/>
      <c r="E310" s="1085"/>
    </row>
    <row r="311" spans="1:5" s="978" customFormat="1">
      <c r="A311" s="1085"/>
      <c r="C311" s="1086"/>
      <c r="E311" s="1085"/>
    </row>
    <row r="312" spans="1:5" s="978" customFormat="1">
      <c r="A312" s="1085"/>
      <c r="C312" s="1086"/>
      <c r="E312" s="1085"/>
    </row>
    <row r="313" spans="1:5" s="978" customFormat="1">
      <c r="A313" s="1085"/>
      <c r="C313" s="1086"/>
      <c r="E313" s="1085"/>
    </row>
    <row r="314" spans="1:5" s="978" customFormat="1">
      <c r="A314" s="1085"/>
      <c r="C314" s="1086"/>
      <c r="E314" s="1085"/>
    </row>
    <row r="315" spans="1:5" s="978" customFormat="1">
      <c r="A315" s="1085"/>
      <c r="C315" s="1086"/>
      <c r="E315" s="1085"/>
    </row>
    <row r="316" spans="1:5" s="978" customFormat="1">
      <c r="A316" s="1085"/>
      <c r="C316" s="1086"/>
      <c r="E316" s="1085"/>
    </row>
    <row r="317" spans="1:5" s="978" customFormat="1">
      <c r="A317" s="1085"/>
      <c r="C317" s="1086"/>
      <c r="E317" s="1085"/>
    </row>
    <row r="318" spans="1:5" s="978" customFormat="1">
      <c r="A318" s="1085"/>
      <c r="C318" s="1086"/>
      <c r="E318" s="1085"/>
    </row>
    <row r="319" spans="1:5" s="978" customFormat="1">
      <c r="A319" s="1085"/>
      <c r="C319" s="1086"/>
      <c r="E319" s="1085"/>
    </row>
    <row r="320" spans="1:5" s="978" customFormat="1">
      <c r="A320" s="1085"/>
      <c r="C320" s="1086"/>
      <c r="E320" s="1085"/>
    </row>
    <row r="321" spans="1:5" s="978" customFormat="1">
      <c r="A321" s="1085"/>
      <c r="C321" s="1086"/>
      <c r="E321" s="1085"/>
    </row>
    <row r="322" spans="1:5" s="978" customFormat="1">
      <c r="A322" s="1085"/>
      <c r="C322" s="1086"/>
      <c r="E322" s="1085"/>
    </row>
    <row r="323" spans="1:5" s="978" customFormat="1">
      <c r="A323" s="1085"/>
      <c r="C323" s="1086"/>
      <c r="E323" s="1085"/>
    </row>
    <row r="324" spans="1:5" s="978" customFormat="1">
      <c r="A324" s="1085"/>
      <c r="C324" s="1086"/>
      <c r="E324" s="1085"/>
    </row>
    <row r="325" spans="1:5" s="978" customFormat="1">
      <c r="A325" s="1085"/>
      <c r="C325" s="1086"/>
      <c r="E325" s="1085"/>
    </row>
    <row r="326" spans="1:5" s="978" customFormat="1">
      <c r="A326" s="1085"/>
      <c r="C326" s="1086"/>
      <c r="E326" s="1085"/>
    </row>
    <row r="327" spans="1:5" s="978" customFormat="1">
      <c r="A327" s="1085"/>
      <c r="C327" s="1086"/>
      <c r="E327" s="1085"/>
    </row>
    <row r="328" spans="1:5" s="978" customFormat="1">
      <c r="A328" s="1085"/>
      <c r="C328" s="1086"/>
      <c r="E328" s="1085"/>
    </row>
    <row r="329" spans="1:5" s="978" customFormat="1">
      <c r="A329" s="1085"/>
      <c r="C329" s="1086"/>
      <c r="E329" s="1085"/>
    </row>
    <row r="330" spans="1:5" s="978" customFormat="1">
      <c r="A330" s="1085"/>
      <c r="C330" s="1086"/>
      <c r="E330" s="1085"/>
    </row>
    <row r="331" spans="1:5" s="978" customFormat="1">
      <c r="A331" s="1085"/>
      <c r="C331" s="1086"/>
      <c r="E331" s="1085"/>
    </row>
    <row r="332" spans="1:5" s="978" customFormat="1">
      <c r="A332" s="1085"/>
      <c r="C332" s="1086"/>
      <c r="E332" s="1085"/>
    </row>
    <row r="333" spans="1:5" s="978" customFormat="1">
      <c r="A333" s="1085"/>
      <c r="C333" s="1086"/>
      <c r="E333" s="1085"/>
    </row>
    <row r="334" spans="1:5" s="978" customFormat="1">
      <c r="A334" s="1085"/>
      <c r="C334" s="1086"/>
      <c r="E334" s="1085"/>
    </row>
    <row r="335" spans="1:5" s="978" customFormat="1">
      <c r="A335" s="1085"/>
      <c r="C335" s="1086"/>
      <c r="E335" s="1085"/>
    </row>
    <row r="336" spans="1:5" s="978" customFormat="1">
      <c r="A336" s="1085"/>
      <c r="C336" s="1086"/>
      <c r="E336" s="1085"/>
    </row>
    <row r="337" spans="1:5" s="978" customFormat="1">
      <c r="A337" s="1085"/>
      <c r="C337" s="1086"/>
      <c r="E337" s="1085"/>
    </row>
    <row r="338" spans="1:5" s="978" customFormat="1">
      <c r="A338" s="1085"/>
      <c r="C338" s="1086"/>
      <c r="E338" s="1085"/>
    </row>
    <row r="339" spans="1:5" s="978" customFormat="1">
      <c r="A339" s="1085"/>
      <c r="C339" s="1086"/>
      <c r="E339" s="1085"/>
    </row>
    <row r="340" spans="1:5" s="978" customFormat="1">
      <c r="A340" s="1085"/>
      <c r="C340" s="1086"/>
      <c r="E340" s="1085"/>
    </row>
    <row r="341" spans="1:5" s="978" customFormat="1">
      <c r="A341" s="1085"/>
      <c r="C341" s="1086"/>
      <c r="E341" s="1085"/>
    </row>
    <row r="342" spans="1:5" s="978" customFormat="1">
      <c r="A342" s="1085"/>
      <c r="C342" s="1086"/>
      <c r="E342" s="1085"/>
    </row>
    <row r="343" spans="1:5" s="978" customFormat="1">
      <c r="A343" s="1085"/>
      <c r="C343" s="1086"/>
      <c r="E343" s="1085"/>
    </row>
    <row r="344" spans="1:5" s="978" customFormat="1">
      <c r="A344" s="1085"/>
      <c r="C344" s="1086"/>
      <c r="E344" s="1085"/>
    </row>
    <row r="345" spans="1:5" s="978" customFormat="1">
      <c r="A345" s="1085"/>
      <c r="C345" s="1086"/>
      <c r="E345" s="1085"/>
    </row>
    <row r="346" spans="1:5" s="978" customFormat="1">
      <c r="A346" s="1085"/>
      <c r="C346" s="1086"/>
      <c r="E346" s="1085"/>
    </row>
    <row r="347" spans="1:5" s="978" customFormat="1">
      <c r="A347" s="1085"/>
      <c r="C347" s="1086"/>
      <c r="E347" s="1085"/>
    </row>
    <row r="348" spans="1:5" s="978" customFormat="1">
      <c r="A348" s="1085"/>
      <c r="C348" s="1086"/>
      <c r="E348" s="1085"/>
    </row>
    <row r="349" spans="1:5" s="978" customFormat="1">
      <c r="A349" s="1085"/>
      <c r="C349" s="1086"/>
      <c r="E349" s="1085"/>
    </row>
    <row r="350" spans="1:5" s="978" customFormat="1">
      <c r="A350" s="1085"/>
      <c r="C350" s="1086"/>
      <c r="E350" s="1085"/>
    </row>
    <row r="351" spans="1:5" s="978" customFormat="1">
      <c r="A351" s="1085"/>
      <c r="C351" s="1086"/>
      <c r="E351" s="1085"/>
    </row>
    <row r="352" spans="1:5" s="978" customFormat="1">
      <c r="A352" s="1085"/>
      <c r="C352" s="1086"/>
      <c r="E352" s="1085"/>
    </row>
    <row r="353" spans="1:5" s="978" customFormat="1">
      <c r="A353" s="1085"/>
      <c r="C353" s="1086"/>
      <c r="E353" s="1085"/>
    </row>
    <row r="354" spans="1:5" s="978" customFormat="1">
      <c r="A354" s="1085"/>
      <c r="C354" s="1086"/>
      <c r="E354" s="1085"/>
    </row>
    <row r="355" spans="1:5" s="978" customFormat="1">
      <c r="A355" s="1085"/>
      <c r="C355" s="1086"/>
      <c r="E355" s="1085"/>
    </row>
    <row r="356" spans="1:5" s="978" customFormat="1">
      <c r="A356" s="1085"/>
      <c r="C356" s="1086"/>
      <c r="E356" s="1085"/>
    </row>
    <row r="357" spans="1:5" s="978" customFormat="1">
      <c r="A357" s="1085"/>
      <c r="C357" s="1086"/>
      <c r="E357" s="1085"/>
    </row>
    <row r="358" spans="1:5" s="978" customFormat="1">
      <c r="A358" s="1085"/>
      <c r="C358" s="1086"/>
      <c r="E358" s="1085"/>
    </row>
    <row r="359" spans="1:5" s="978" customFormat="1">
      <c r="A359" s="1085"/>
      <c r="C359" s="1086"/>
      <c r="E359" s="1085"/>
    </row>
    <row r="360" spans="1:5" s="978" customFormat="1">
      <c r="A360" s="1085"/>
      <c r="C360" s="1086"/>
      <c r="E360" s="1085"/>
    </row>
    <row r="361" spans="1:5" s="978" customFormat="1">
      <c r="A361" s="1085"/>
      <c r="C361" s="1086"/>
      <c r="E361" s="1085"/>
    </row>
    <row r="362" spans="1:5" s="978" customFormat="1">
      <c r="A362" s="1085"/>
      <c r="C362" s="1086"/>
      <c r="E362" s="1085"/>
    </row>
    <row r="363" spans="1:5" s="978" customFormat="1">
      <c r="A363" s="1085"/>
      <c r="C363" s="1086"/>
      <c r="E363" s="1085"/>
    </row>
    <row r="364" spans="1:5" s="978" customFormat="1">
      <c r="A364" s="1085"/>
      <c r="C364" s="1086"/>
      <c r="E364" s="1085"/>
    </row>
    <row r="365" spans="1:5" s="978" customFormat="1">
      <c r="A365" s="1085"/>
      <c r="C365" s="1086"/>
      <c r="E365" s="1085"/>
    </row>
    <row r="366" spans="1:5" s="978" customFormat="1">
      <c r="A366" s="1085"/>
      <c r="C366" s="1086"/>
      <c r="E366" s="1085"/>
    </row>
    <row r="367" spans="1:5" s="978" customFormat="1">
      <c r="A367" s="1085"/>
      <c r="C367" s="1086"/>
      <c r="E367" s="1085"/>
    </row>
    <row r="368" spans="1:5" s="978" customFormat="1">
      <c r="A368" s="1085"/>
      <c r="C368" s="1086"/>
      <c r="E368" s="1085"/>
    </row>
    <row r="369" spans="1:5" s="978" customFormat="1">
      <c r="A369" s="1085"/>
      <c r="C369" s="1086"/>
      <c r="E369" s="1085"/>
    </row>
    <row r="370" spans="1:5" s="978" customFormat="1">
      <c r="A370" s="1085"/>
      <c r="C370" s="1086"/>
      <c r="E370" s="1085"/>
    </row>
    <row r="371" spans="1:5" s="978" customFormat="1">
      <c r="A371" s="1085"/>
      <c r="C371" s="1086"/>
      <c r="E371" s="1085"/>
    </row>
    <row r="372" spans="1:5" s="978" customFormat="1">
      <c r="A372" s="1085"/>
      <c r="C372" s="1086"/>
      <c r="E372" s="1085"/>
    </row>
    <row r="373" spans="1:5" s="978" customFormat="1">
      <c r="A373" s="1085"/>
      <c r="C373" s="1086"/>
      <c r="E373" s="1085"/>
    </row>
    <row r="374" spans="1:5" s="978" customFormat="1">
      <c r="A374" s="1085"/>
      <c r="C374" s="1086"/>
      <c r="E374" s="1085"/>
    </row>
    <row r="375" spans="1:5" s="978" customFormat="1">
      <c r="A375" s="1085"/>
      <c r="C375" s="1086"/>
      <c r="E375" s="1085"/>
    </row>
    <row r="376" spans="1:5" s="978" customFormat="1">
      <c r="A376" s="1085"/>
      <c r="C376" s="1086"/>
      <c r="E376" s="1085"/>
    </row>
    <row r="377" spans="1:5" s="978" customFormat="1">
      <c r="A377" s="1085"/>
      <c r="C377" s="1086"/>
      <c r="E377" s="1085"/>
    </row>
    <row r="378" spans="1:5" s="978" customFormat="1">
      <c r="A378" s="1085"/>
      <c r="C378" s="1086"/>
      <c r="E378" s="1085"/>
    </row>
    <row r="379" spans="1:5" s="978" customFormat="1">
      <c r="A379" s="1085"/>
      <c r="C379" s="1086"/>
      <c r="E379" s="1085"/>
    </row>
    <row r="380" spans="1:5" s="978" customFormat="1">
      <c r="A380" s="1085"/>
      <c r="C380" s="1086"/>
      <c r="E380" s="1085"/>
    </row>
    <row r="381" spans="1:5" s="978" customFormat="1">
      <c r="A381" s="1085"/>
      <c r="C381" s="1086"/>
      <c r="E381" s="1085"/>
    </row>
    <row r="382" spans="1:5" s="978" customFormat="1">
      <c r="A382" s="1085"/>
      <c r="C382" s="1086"/>
      <c r="E382" s="1085"/>
    </row>
    <row r="383" spans="1:5" s="978" customFormat="1">
      <c r="A383" s="1085"/>
      <c r="C383" s="1086"/>
      <c r="E383" s="1085"/>
    </row>
    <row r="384" spans="1:5" s="978" customFormat="1">
      <c r="A384" s="1085"/>
      <c r="C384" s="1086"/>
      <c r="E384" s="1085"/>
    </row>
    <row r="385" spans="1:5" s="978" customFormat="1">
      <c r="A385" s="1085"/>
      <c r="C385" s="1086"/>
      <c r="E385" s="1085"/>
    </row>
    <row r="386" spans="1:5" s="978" customFormat="1">
      <c r="A386" s="1085"/>
      <c r="C386" s="1086"/>
      <c r="E386" s="1085"/>
    </row>
    <row r="387" spans="1:5" s="978" customFormat="1">
      <c r="A387" s="1085"/>
      <c r="C387" s="1086"/>
      <c r="E387" s="1085"/>
    </row>
    <row r="388" spans="1:5" s="978" customFormat="1">
      <c r="A388" s="1085"/>
      <c r="C388" s="1086"/>
      <c r="E388" s="1085"/>
    </row>
    <row r="389" spans="1:5" s="978" customFormat="1">
      <c r="A389" s="1085"/>
      <c r="C389" s="1086"/>
      <c r="E389" s="1085"/>
    </row>
    <row r="390" spans="1:5" s="978" customFormat="1">
      <c r="A390" s="1085"/>
      <c r="C390" s="1086"/>
      <c r="E390" s="1085"/>
    </row>
    <row r="391" spans="1:5" s="978" customFormat="1">
      <c r="A391" s="1085"/>
      <c r="C391" s="1086"/>
      <c r="E391" s="1085"/>
    </row>
    <row r="392" spans="1:5" s="978" customFormat="1">
      <c r="A392" s="1085"/>
      <c r="C392" s="1086"/>
      <c r="E392" s="1085"/>
    </row>
    <row r="393" spans="1:5" s="978" customFormat="1">
      <c r="A393" s="1085"/>
      <c r="C393" s="1086"/>
      <c r="E393" s="1085"/>
    </row>
    <row r="394" spans="1:5" s="978" customFormat="1">
      <c r="A394" s="1085"/>
      <c r="C394" s="1086"/>
      <c r="E394" s="1085"/>
    </row>
    <row r="395" spans="1:5" s="978" customFormat="1">
      <c r="A395" s="1085"/>
      <c r="C395" s="1086"/>
      <c r="E395" s="1085"/>
    </row>
    <row r="396" spans="1:5" s="978" customFormat="1">
      <c r="A396" s="1085"/>
      <c r="C396" s="1086"/>
      <c r="E396" s="1085"/>
    </row>
    <row r="397" spans="1:5" s="978" customFormat="1">
      <c r="A397" s="1085"/>
      <c r="C397" s="1086"/>
      <c r="E397" s="1085"/>
    </row>
    <row r="398" spans="1:5" s="978" customFormat="1">
      <c r="A398" s="1085"/>
      <c r="C398" s="1086"/>
      <c r="E398" s="1085"/>
    </row>
    <row r="399" spans="1:5" s="978" customFormat="1">
      <c r="A399" s="1085"/>
      <c r="C399" s="1086"/>
      <c r="E399" s="1085"/>
    </row>
    <row r="400" spans="1:5" s="978" customFormat="1">
      <c r="A400" s="1085"/>
      <c r="C400" s="1086"/>
      <c r="E400" s="1085"/>
    </row>
    <row r="401" spans="1:5" s="978" customFormat="1">
      <c r="A401" s="1085"/>
      <c r="C401" s="1086"/>
      <c r="E401" s="1085"/>
    </row>
    <row r="402" spans="1:5" s="978" customFormat="1">
      <c r="A402" s="1085"/>
      <c r="C402" s="1086"/>
      <c r="E402" s="1085"/>
    </row>
    <row r="403" spans="1:5" s="978" customFormat="1">
      <c r="A403" s="1085"/>
      <c r="C403" s="1086"/>
      <c r="E403" s="1085"/>
    </row>
    <row r="404" spans="1:5" s="978" customFormat="1">
      <c r="A404" s="1085"/>
      <c r="C404" s="1086"/>
      <c r="E404" s="1085"/>
    </row>
    <row r="405" spans="1:5" s="978" customFormat="1">
      <c r="A405" s="1085"/>
      <c r="C405" s="1086"/>
      <c r="E405" s="1085"/>
    </row>
    <row r="406" spans="1:5" s="978" customFormat="1">
      <c r="A406" s="1085"/>
      <c r="C406" s="1086"/>
      <c r="E406" s="1085"/>
    </row>
    <row r="407" spans="1:5" s="978" customFormat="1">
      <c r="A407" s="1085"/>
      <c r="C407" s="1086"/>
      <c r="E407" s="1085"/>
    </row>
    <row r="408" spans="1:5" s="978" customFormat="1">
      <c r="A408" s="1085"/>
      <c r="C408" s="1086"/>
      <c r="E408" s="1085"/>
    </row>
    <row r="409" spans="1:5" s="978" customFormat="1">
      <c r="A409" s="1085"/>
      <c r="C409" s="1086"/>
      <c r="E409" s="1085"/>
    </row>
    <row r="410" spans="1:5" s="978" customFormat="1">
      <c r="A410" s="1085"/>
      <c r="C410" s="1086"/>
      <c r="E410" s="1085"/>
    </row>
    <row r="411" spans="1:5" s="978" customFormat="1">
      <c r="A411" s="1085"/>
      <c r="C411" s="1086"/>
      <c r="E411" s="1085"/>
    </row>
    <row r="412" spans="1:5" s="978" customFormat="1">
      <c r="A412" s="1085"/>
      <c r="C412" s="1086"/>
      <c r="E412" s="1085"/>
    </row>
    <row r="413" spans="1:5" s="978" customFormat="1">
      <c r="A413" s="1085"/>
      <c r="C413" s="1086"/>
      <c r="E413" s="1085"/>
    </row>
    <row r="414" spans="1:5" s="978" customFormat="1">
      <c r="A414" s="1085"/>
      <c r="C414" s="1086"/>
      <c r="E414" s="1085"/>
    </row>
    <row r="415" spans="1:5" s="978" customFormat="1">
      <c r="A415" s="1085"/>
      <c r="C415" s="1086"/>
      <c r="E415" s="1085"/>
    </row>
    <row r="416" spans="1:5" s="978" customFormat="1">
      <c r="A416" s="1085"/>
      <c r="C416" s="1086"/>
      <c r="E416" s="1085"/>
    </row>
    <row r="417" spans="1:5" s="978" customFormat="1">
      <c r="A417" s="1085"/>
      <c r="C417" s="1086"/>
      <c r="E417" s="1085"/>
    </row>
    <row r="418" spans="1:5" s="978" customFormat="1">
      <c r="A418" s="1085"/>
      <c r="C418" s="1086"/>
      <c r="E418" s="1085"/>
    </row>
    <row r="419" spans="1:5" s="978" customFormat="1">
      <c r="A419" s="1085"/>
      <c r="C419" s="1086"/>
      <c r="E419" s="1085"/>
    </row>
    <row r="420" spans="1:5" s="978" customFormat="1">
      <c r="A420" s="1085"/>
      <c r="C420" s="1086"/>
      <c r="E420" s="1085"/>
    </row>
    <row r="421" spans="1:5" s="978" customFormat="1">
      <c r="A421" s="1085"/>
      <c r="C421" s="1086"/>
      <c r="E421" s="1085"/>
    </row>
    <row r="422" spans="1:5" s="978" customFormat="1">
      <c r="A422" s="1085"/>
      <c r="C422" s="1086"/>
      <c r="E422" s="1085"/>
    </row>
    <row r="423" spans="1:5" s="978" customFormat="1">
      <c r="A423" s="1085"/>
      <c r="C423" s="1086"/>
      <c r="E423" s="1085"/>
    </row>
    <row r="424" spans="1:5" s="978" customFormat="1">
      <c r="A424" s="1085"/>
      <c r="C424" s="1086"/>
      <c r="E424" s="1085"/>
    </row>
    <row r="425" spans="1:5" s="978" customFormat="1">
      <c r="A425" s="1085"/>
      <c r="C425" s="1086"/>
      <c r="E425" s="1085"/>
    </row>
    <row r="426" spans="1:5" s="978" customFormat="1">
      <c r="A426" s="1085"/>
      <c r="C426" s="1086"/>
      <c r="E426" s="1085"/>
    </row>
    <row r="427" spans="1:5" s="978" customFormat="1">
      <c r="A427" s="1085"/>
      <c r="C427" s="1086"/>
      <c r="E427" s="1085"/>
    </row>
    <row r="428" spans="1:5" s="978" customFormat="1">
      <c r="A428" s="1085"/>
      <c r="C428" s="1086"/>
      <c r="E428" s="1085"/>
    </row>
    <row r="429" spans="1:5" s="978" customFormat="1">
      <c r="A429" s="1085"/>
      <c r="C429" s="1086"/>
      <c r="E429" s="1085"/>
    </row>
    <row r="430" spans="1:5" s="978" customFormat="1">
      <c r="A430" s="1085"/>
      <c r="C430" s="1086"/>
      <c r="E430" s="1085"/>
    </row>
    <row r="431" spans="1:5" s="978" customFormat="1">
      <c r="A431" s="1085"/>
      <c r="C431" s="1086"/>
      <c r="E431" s="1085"/>
    </row>
    <row r="432" spans="1:5" s="978" customFormat="1">
      <c r="A432" s="1085"/>
      <c r="C432" s="1086"/>
      <c r="E432" s="1085"/>
    </row>
    <row r="433" spans="1:5" s="978" customFormat="1">
      <c r="A433" s="1085"/>
      <c r="C433" s="1086"/>
      <c r="E433" s="1085"/>
    </row>
    <row r="434" spans="1:5" s="978" customFormat="1">
      <c r="A434" s="1085"/>
      <c r="C434" s="1086"/>
      <c r="E434" s="1085"/>
    </row>
    <row r="435" spans="1:5" s="978" customFormat="1">
      <c r="A435" s="1085"/>
      <c r="C435" s="1086"/>
      <c r="E435" s="1085"/>
    </row>
    <row r="436" spans="1:5" s="978" customFormat="1">
      <c r="A436" s="1085"/>
      <c r="C436" s="1086"/>
      <c r="E436" s="1085"/>
    </row>
    <row r="437" spans="1:5" s="978" customFormat="1">
      <c r="A437" s="1085"/>
      <c r="C437" s="1086"/>
      <c r="E437" s="1085"/>
    </row>
    <row r="438" spans="1:5" s="978" customFormat="1">
      <c r="A438" s="1085"/>
      <c r="C438" s="1086"/>
      <c r="E438" s="1085"/>
    </row>
    <row r="439" spans="1:5" s="978" customFormat="1">
      <c r="A439" s="1085"/>
      <c r="C439" s="1086"/>
      <c r="E439" s="1085"/>
    </row>
    <row r="440" spans="1:5" s="978" customFormat="1">
      <c r="A440" s="1085"/>
      <c r="C440" s="1086"/>
      <c r="E440" s="1085"/>
    </row>
    <row r="441" spans="1:5" s="978" customFormat="1">
      <c r="A441" s="1085"/>
      <c r="C441" s="1086"/>
      <c r="E441" s="1085"/>
    </row>
    <row r="442" spans="1:5" s="978" customFormat="1">
      <c r="A442" s="1085"/>
      <c r="C442" s="1086"/>
      <c r="E442" s="1085"/>
    </row>
    <row r="443" spans="1:5" s="978" customFormat="1">
      <c r="A443" s="1085"/>
      <c r="C443" s="1086"/>
      <c r="E443" s="1085"/>
    </row>
    <row r="444" spans="1:5" s="978" customFormat="1">
      <c r="A444" s="1085"/>
      <c r="C444" s="1086"/>
      <c r="E444" s="1085"/>
    </row>
    <row r="445" spans="1:5" s="978" customFormat="1">
      <c r="A445" s="1085"/>
      <c r="C445" s="1086"/>
      <c r="E445" s="1085"/>
    </row>
    <row r="446" spans="1:5" s="978" customFormat="1">
      <c r="A446" s="1085"/>
      <c r="C446" s="1086"/>
      <c r="E446" s="1085"/>
    </row>
    <row r="447" spans="1:5" s="978" customFormat="1">
      <c r="A447" s="1085"/>
      <c r="C447" s="1086"/>
      <c r="E447" s="1085"/>
    </row>
    <row r="448" spans="1:5" s="978" customFormat="1">
      <c r="A448" s="1085"/>
      <c r="C448" s="1086"/>
      <c r="E448" s="1085"/>
    </row>
    <row r="449" spans="1:5" s="978" customFormat="1">
      <c r="A449" s="1085"/>
      <c r="C449" s="1086"/>
      <c r="E449" s="1085"/>
    </row>
    <row r="450" spans="1:5" s="978" customFormat="1">
      <c r="A450" s="1085"/>
      <c r="C450" s="1086"/>
      <c r="E450" s="1085"/>
    </row>
    <row r="451" spans="1:5" s="978" customFormat="1">
      <c r="A451" s="1085"/>
      <c r="C451" s="1086"/>
      <c r="E451" s="1085"/>
    </row>
    <row r="452" spans="1:5" s="978" customFormat="1">
      <c r="A452" s="1085"/>
      <c r="C452" s="1086"/>
      <c r="E452" s="1085"/>
    </row>
    <row r="453" spans="1:5" s="978" customFormat="1">
      <c r="A453" s="1085"/>
      <c r="C453" s="1086"/>
      <c r="E453" s="1085"/>
    </row>
    <row r="454" spans="1:5" s="978" customFormat="1">
      <c r="A454" s="1085"/>
      <c r="C454" s="1086"/>
      <c r="E454" s="1085"/>
    </row>
    <row r="455" spans="1:5" s="978" customFormat="1">
      <c r="A455" s="1085"/>
      <c r="C455" s="1086"/>
      <c r="E455" s="1085"/>
    </row>
    <row r="456" spans="1:5" s="978" customFormat="1">
      <c r="A456" s="1085"/>
      <c r="C456" s="1086"/>
      <c r="E456" s="1085"/>
    </row>
    <row r="457" spans="1:5" s="978" customFormat="1">
      <c r="A457" s="1085"/>
      <c r="C457" s="1086"/>
      <c r="E457" s="1085"/>
    </row>
    <row r="458" spans="1:5" s="978" customFormat="1">
      <c r="A458" s="1085"/>
      <c r="C458" s="1086"/>
      <c r="E458" s="1085"/>
    </row>
    <row r="459" spans="1:5" s="978" customFormat="1">
      <c r="A459" s="1085"/>
      <c r="C459" s="1086"/>
      <c r="E459" s="1085"/>
    </row>
    <row r="460" spans="1:5" s="978" customFormat="1">
      <c r="A460" s="1085"/>
      <c r="C460" s="1086"/>
      <c r="E460" s="1085"/>
    </row>
    <row r="461" spans="1:5" s="978" customFormat="1">
      <c r="A461" s="1085"/>
      <c r="C461" s="1086"/>
      <c r="E461" s="1085"/>
    </row>
    <row r="462" spans="1:5" s="978" customFormat="1">
      <c r="A462" s="1085"/>
      <c r="C462" s="1086"/>
      <c r="E462" s="1085"/>
    </row>
    <row r="463" spans="1:5" s="978" customFormat="1">
      <c r="A463" s="1085"/>
      <c r="C463" s="1086"/>
      <c r="E463" s="1085"/>
    </row>
    <row r="464" spans="1:5" s="978" customFormat="1">
      <c r="A464" s="1085"/>
      <c r="C464" s="1086"/>
      <c r="E464" s="1085"/>
    </row>
    <row r="465" spans="1:5" s="978" customFormat="1">
      <c r="A465" s="1085"/>
      <c r="C465" s="1086"/>
      <c r="E465" s="1085"/>
    </row>
    <row r="466" spans="1:5" s="978" customFormat="1">
      <c r="A466" s="1085"/>
      <c r="C466" s="1086"/>
      <c r="E466" s="1085"/>
    </row>
    <row r="467" spans="1:5" s="978" customFormat="1">
      <c r="A467" s="1085"/>
      <c r="C467" s="1086"/>
      <c r="E467" s="1085"/>
    </row>
    <row r="468" spans="1:5" s="978" customFormat="1">
      <c r="A468" s="1085"/>
      <c r="C468" s="1086"/>
      <c r="E468" s="1085"/>
    </row>
    <row r="469" spans="1:5" s="978" customFormat="1">
      <c r="A469" s="1085"/>
      <c r="C469" s="1086"/>
      <c r="E469" s="1085"/>
    </row>
    <row r="470" spans="1:5" s="978" customFormat="1">
      <c r="A470" s="1085"/>
      <c r="C470" s="1086"/>
      <c r="E470" s="1085"/>
    </row>
    <row r="471" spans="1:5" s="978" customFormat="1">
      <c r="A471" s="1085"/>
      <c r="C471" s="1086"/>
      <c r="E471" s="1085"/>
    </row>
    <row r="472" spans="1:5" s="978" customFormat="1">
      <c r="A472" s="1085"/>
      <c r="C472" s="1086"/>
      <c r="E472" s="1085"/>
    </row>
    <row r="473" spans="1:5" s="978" customFormat="1">
      <c r="A473" s="1085"/>
      <c r="C473" s="1086"/>
      <c r="E473" s="1085"/>
    </row>
    <row r="474" spans="1:5" s="978" customFormat="1">
      <c r="A474" s="1085"/>
      <c r="C474" s="1086"/>
      <c r="E474" s="1085"/>
    </row>
    <row r="475" spans="1:5" s="978" customFormat="1">
      <c r="A475" s="1085"/>
      <c r="C475" s="1086"/>
      <c r="E475" s="1085"/>
    </row>
    <row r="476" spans="1:5" s="978" customFormat="1">
      <c r="A476" s="1085"/>
      <c r="C476" s="1086"/>
      <c r="E476" s="1085"/>
    </row>
    <row r="477" spans="1:5" s="978" customFormat="1">
      <c r="A477" s="1085"/>
      <c r="C477" s="1086"/>
      <c r="E477" s="1085"/>
    </row>
    <row r="478" spans="1:5" s="978" customFormat="1">
      <c r="A478" s="1085"/>
      <c r="C478" s="1086"/>
      <c r="E478" s="1085"/>
    </row>
    <row r="479" spans="1:5" s="978" customFormat="1">
      <c r="A479" s="1085"/>
      <c r="C479" s="1086"/>
      <c r="E479" s="1085"/>
    </row>
    <row r="480" spans="1:5" s="978" customFormat="1">
      <c r="A480" s="1085"/>
      <c r="C480" s="1086"/>
      <c r="E480" s="1085"/>
    </row>
    <row r="481" spans="1:5" s="978" customFormat="1">
      <c r="A481" s="1085"/>
      <c r="C481" s="1086"/>
      <c r="E481" s="1085"/>
    </row>
    <row r="482" spans="1:5" s="978" customFormat="1">
      <c r="A482" s="1085"/>
      <c r="C482" s="1086"/>
      <c r="E482" s="1085"/>
    </row>
    <row r="483" spans="1:5" s="978" customFormat="1">
      <c r="A483" s="1085"/>
      <c r="C483" s="1086"/>
      <c r="E483" s="1085"/>
    </row>
    <row r="484" spans="1:5" s="978" customFormat="1">
      <c r="A484" s="1085"/>
      <c r="C484" s="1086"/>
      <c r="E484" s="1085"/>
    </row>
    <row r="485" spans="1:5" s="978" customFormat="1">
      <c r="A485" s="1085"/>
      <c r="C485" s="1086"/>
      <c r="E485" s="1085"/>
    </row>
    <row r="486" spans="1:5" s="978" customFormat="1">
      <c r="A486" s="1085"/>
      <c r="C486" s="1086"/>
      <c r="E486" s="1085"/>
    </row>
    <row r="487" spans="1:5" s="978" customFormat="1">
      <c r="A487" s="1085"/>
      <c r="C487" s="1086"/>
      <c r="E487" s="1085"/>
    </row>
    <row r="488" spans="1:5" s="978" customFormat="1">
      <c r="A488" s="1085"/>
      <c r="C488" s="1086"/>
      <c r="E488" s="1085"/>
    </row>
    <row r="489" spans="1:5" s="978" customFormat="1">
      <c r="A489" s="1085"/>
      <c r="C489" s="1086"/>
      <c r="E489" s="1085"/>
    </row>
    <row r="490" spans="1:5" s="978" customFormat="1">
      <c r="A490" s="1085"/>
      <c r="C490" s="1086"/>
      <c r="E490" s="1085"/>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N4" zoomScale="85" zoomScaleNormal="60" zoomScaleSheetLayoutView="85" workbookViewId="0">
      <selection activeCell="R48" sqref="R48:W48"/>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893" t="s">
        <v>2463</v>
      </c>
      <c r="C1" s="894" t="s">
        <v>2464</v>
      </c>
      <c r="D1" s="895" t="s">
        <v>402</v>
      </c>
      <c r="E1" s="216"/>
      <c r="F1" s="212" t="s">
        <v>2465</v>
      </c>
      <c r="G1" s="213" t="s">
        <v>2466</v>
      </c>
      <c r="H1" s="211"/>
      <c r="I1" s="211"/>
      <c r="J1" s="211"/>
      <c r="K1" s="382"/>
      <c r="L1" s="383"/>
      <c r="M1" s="384"/>
      <c r="N1" s="384"/>
      <c r="O1" s="384"/>
      <c r="P1" s="905"/>
      <c r="Q1" s="905"/>
      <c r="R1" s="905"/>
      <c r="S1" s="905"/>
      <c r="T1" s="905"/>
      <c r="U1" s="905"/>
      <c r="V1" s="905"/>
      <c r="W1" s="905"/>
      <c r="X1" s="905"/>
      <c r="Y1" s="905"/>
      <c r="Z1" s="905"/>
      <c r="AA1" s="905"/>
      <c r="AB1" s="905"/>
      <c r="AC1" s="922"/>
    </row>
    <row r="2" spans="1:29" s="892" customFormat="1" ht="28.5" customHeight="1">
      <c r="A2" s="214" t="s">
        <v>942</v>
      </c>
      <c r="B2" s="896">
        <f>ROUND(B3*D3/10000,0)</f>
        <v>312787</v>
      </c>
      <c r="C2" s="216"/>
      <c r="D2" s="216"/>
      <c r="E2" s="216"/>
      <c r="F2" s="897"/>
      <c r="G2" s="216"/>
      <c r="H2" s="216"/>
      <c r="I2" s="216"/>
      <c r="J2" s="216"/>
      <c r="K2" s="906"/>
      <c r="L2" s="907"/>
      <c r="M2" s="908"/>
      <c r="N2" s="908"/>
      <c r="O2" s="908"/>
      <c r="P2" s="909"/>
      <c r="Q2" s="909"/>
      <c r="R2" s="909"/>
      <c r="S2" s="909"/>
      <c r="T2" s="909"/>
      <c r="U2" s="909"/>
      <c r="V2" s="909"/>
      <c r="W2" s="909"/>
      <c r="X2" s="909"/>
      <c r="Y2" s="909"/>
      <c r="Z2" s="909"/>
      <c r="AA2" s="909"/>
      <c r="AB2" s="909"/>
      <c r="AC2" s="923"/>
    </row>
    <row r="3" spans="1:29" s="892" customFormat="1" ht="28.5" customHeight="1">
      <c r="A3" s="219" t="s">
        <v>2467</v>
      </c>
      <c r="B3" s="222">
        <f>C49</f>
        <v>26243</v>
      </c>
      <c r="C3" s="221" t="s">
        <v>2468</v>
      </c>
      <c r="D3" s="222">
        <f>SUMIF('数据-汇总表'!$C19:$C33,D1,'数据-汇总表'!$E19:$E33)</f>
        <v>119188.85</v>
      </c>
      <c r="E3" s="216"/>
      <c r="F3" s="897"/>
      <c r="G3" s="216"/>
      <c r="H3" s="216"/>
      <c r="I3" s="216"/>
      <c r="J3" s="216"/>
      <c r="K3" s="906"/>
      <c r="L3" s="907"/>
      <c r="M3" s="908"/>
      <c r="N3" s="908"/>
      <c r="O3" s="908"/>
      <c r="P3" s="909"/>
      <c r="Q3" s="909"/>
      <c r="R3" s="909"/>
      <c r="S3" s="909"/>
      <c r="T3" s="909"/>
      <c r="U3" s="909"/>
      <c r="V3" s="909"/>
      <c r="W3" s="909"/>
      <c r="X3" s="909"/>
      <c r="Y3" s="909"/>
      <c r="Z3" s="909"/>
      <c r="AA3" s="909"/>
      <c r="AB3" s="909"/>
      <c r="AC3" s="842"/>
    </row>
    <row r="4" spans="1:29" ht="15">
      <c r="A4" s="223" t="s">
        <v>993</v>
      </c>
      <c r="B4" s="224"/>
      <c r="C4" s="3847" t="s">
        <v>994</v>
      </c>
      <c r="D4" s="3848"/>
      <c r="E4" s="3887" t="s">
        <v>995</v>
      </c>
      <c r="F4" s="3888"/>
      <c r="G4" s="3847" t="s">
        <v>996</v>
      </c>
      <c r="H4" s="3848"/>
      <c r="I4" s="3847" t="s">
        <v>997</v>
      </c>
      <c r="J4" s="3848"/>
      <c r="K4" s="910" t="s">
        <v>998</v>
      </c>
      <c r="L4" s="389"/>
      <c r="M4" s="390"/>
      <c r="N4" s="390"/>
      <c r="O4" s="390"/>
      <c r="P4" s="3877" t="s">
        <v>999</v>
      </c>
      <c r="Q4" s="3878"/>
      <c r="R4" s="3868" t="s">
        <v>995</v>
      </c>
      <c r="S4" s="3869"/>
      <c r="T4" s="3868" t="s">
        <v>996</v>
      </c>
      <c r="U4" s="3869"/>
      <c r="V4" s="3859" t="s">
        <v>997</v>
      </c>
      <c r="W4" s="3859"/>
      <c r="X4" s="460"/>
      <c r="Y4" s="3868" t="s">
        <v>999</v>
      </c>
      <c r="Z4" s="3869"/>
      <c r="AA4" s="3874" t="s">
        <v>995</v>
      </c>
      <c r="AB4" s="3874" t="s">
        <v>996</v>
      </c>
      <c r="AC4" s="3874" t="s">
        <v>997</v>
      </c>
    </row>
    <row r="5" spans="1:29" ht="15">
      <c r="A5" s="225"/>
      <c r="B5" s="226"/>
      <c r="C5" s="3849" t="s">
        <v>1000</v>
      </c>
      <c r="D5" s="3850"/>
      <c r="E5" s="3971" t="s">
        <v>2702</v>
      </c>
      <c r="F5" s="3890"/>
      <c r="G5" s="3972" t="s">
        <v>2701</v>
      </c>
      <c r="H5" s="3850"/>
      <c r="I5" s="3972" t="s">
        <v>992</v>
      </c>
      <c r="J5" s="3850"/>
      <c r="K5" s="911"/>
      <c r="L5" s="389"/>
      <c r="M5" s="390"/>
      <c r="N5" s="390"/>
      <c r="O5" s="390"/>
      <c r="P5" s="3879"/>
      <c r="Q5" s="3880"/>
      <c r="R5" s="3870"/>
      <c r="S5" s="3871"/>
      <c r="T5" s="3870"/>
      <c r="U5" s="3871"/>
      <c r="V5" s="3859"/>
      <c r="W5" s="3859"/>
      <c r="X5" s="460"/>
      <c r="Y5" s="3870"/>
      <c r="Z5" s="3871"/>
      <c r="AA5" s="3875"/>
      <c r="AB5" s="3875"/>
      <c r="AC5" s="3875"/>
    </row>
    <row r="6" spans="1:29" ht="15">
      <c r="A6" s="227"/>
      <c r="B6" s="228"/>
      <c r="C6" s="3853" t="s">
        <v>1001</v>
      </c>
      <c r="D6" s="3854"/>
      <c r="E6" s="3891" t="s">
        <v>1001</v>
      </c>
      <c r="F6" s="3892"/>
      <c r="G6" s="3853" t="s">
        <v>1001</v>
      </c>
      <c r="H6" s="3854"/>
      <c r="I6" s="3853" t="s">
        <v>1001</v>
      </c>
      <c r="J6" s="3854"/>
      <c r="K6" s="911" t="s">
        <v>1002</v>
      </c>
      <c r="L6" s="389"/>
      <c r="M6" s="390"/>
      <c r="N6" s="390"/>
      <c r="O6" s="390"/>
      <c r="P6" s="3881"/>
      <c r="Q6" s="3882"/>
      <c r="R6" s="3870"/>
      <c r="S6" s="3871"/>
      <c r="T6" s="3872"/>
      <c r="U6" s="3873"/>
      <c r="V6" s="3859"/>
      <c r="W6" s="3859"/>
      <c r="X6" s="460"/>
      <c r="Y6" s="3872"/>
      <c r="Z6" s="3873"/>
      <c r="AA6" s="3876"/>
      <c r="AB6" s="3876"/>
      <c r="AC6" s="3876"/>
    </row>
    <row r="7" spans="1:29" s="199" customFormat="1" ht="15">
      <c r="A7" s="229"/>
      <c r="B7" s="230" t="s">
        <v>1003</v>
      </c>
      <c r="C7" s="231">
        <f>'数据-取费表'!B2</f>
        <v>45271</v>
      </c>
      <c r="D7" s="232">
        <v>100</v>
      </c>
      <c r="E7" s="233">
        <f>C7</f>
        <v>45271</v>
      </c>
      <c r="F7" s="234">
        <f>SUMIF(58:58,YEAR(E7)&amp;"-"&amp;MONTH(E7),59:59)</f>
        <v>100</v>
      </c>
      <c r="G7" s="235">
        <f>C7</f>
        <v>45271</v>
      </c>
      <c r="H7" s="232">
        <f>SUMIF(58:58,YEAR(G7)&amp;"-"&amp;MONTH(G7),59:59)</f>
        <v>100</v>
      </c>
      <c r="I7" s="235">
        <f>C7</f>
        <v>45271</v>
      </c>
      <c r="J7" s="232">
        <f>SUMIF(58:58,YEAR(I7)&amp;"-"&amp;MONTH(I7),59:59)</f>
        <v>100</v>
      </c>
      <c r="K7" s="912"/>
      <c r="L7" s="392"/>
      <c r="M7" s="393"/>
      <c r="N7" s="393"/>
      <c r="O7" s="393"/>
      <c r="P7" s="3855" t="s">
        <v>1004</v>
      </c>
      <c r="Q7" s="3856"/>
      <c r="R7" s="461" t="s">
        <v>1005</v>
      </c>
      <c r="S7" s="462">
        <f t="shared" ref="S7:S15" si="0">F7</f>
        <v>100</v>
      </c>
      <c r="T7" s="461" t="s">
        <v>1005</v>
      </c>
      <c r="U7" s="462">
        <f t="shared" ref="U7:U15" si="1">H7</f>
        <v>100</v>
      </c>
      <c r="V7" s="461" t="s">
        <v>1005</v>
      </c>
      <c r="W7" s="462">
        <f t="shared" ref="W7:W15" si="2">J7</f>
        <v>100</v>
      </c>
      <c r="X7" s="463"/>
      <c r="Y7" s="3855" t="s">
        <v>1004</v>
      </c>
      <c r="Z7" s="3857"/>
      <c r="AA7" s="480">
        <f>D7/F7</f>
        <v>1</v>
      </c>
      <c r="AB7" s="480">
        <f>D7/H7</f>
        <v>1</v>
      </c>
      <c r="AC7" s="480">
        <f>D7/J7</f>
        <v>1</v>
      </c>
    </row>
    <row r="8" spans="1:29" s="199" customFormat="1" ht="15">
      <c r="A8" s="236"/>
      <c r="B8" s="237" t="s">
        <v>1006</v>
      </c>
      <c r="C8" s="238" t="s">
        <v>1007</v>
      </c>
      <c r="D8" s="232">
        <v>100</v>
      </c>
      <c r="E8" s="898" t="s">
        <v>1008</v>
      </c>
      <c r="F8" s="234">
        <f>SUMIF(61:61,E8,62:62)-SUMIF(61:61,C8,62:62)+100</f>
        <v>100</v>
      </c>
      <c r="G8" s="898" t="s">
        <v>1008</v>
      </c>
      <c r="H8" s="232">
        <f>SUMIF(61:61,G8,62:62)-SUMIF(61:61,C8,62:62)+100</f>
        <v>100</v>
      </c>
      <c r="I8" s="898" t="s">
        <v>1008</v>
      </c>
      <c r="J8" s="232">
        <f>SUMIF(61:61,I8,62:62)-SUMIF(61:61,C8,62:62)+100</f>
        <v>100</v>
      </c>
      <c r="K8" s="912"/>
      <c r="L8" s="392"/>
      <c r="M8" s="393"/>
      <c r="N8" s="393"/>
      <c r="O8" s="393"/>
      <c r="P8" s="3855" t="s">
        <v>1009</v>
      </c>
      <c r="Q8" s="3857"/>
      <c r="R8" s="461" t="s">
        <v>1005</v>
      </c>
      <c r="S8" s="462">
        <f t="shared" si="0"/>
        <v>100</v>
      </c>
      <c r="T8" s="461" t="s">
        <v>1005</v>
      </c>
      <c r="U8" s="462">
        <f t="shared" si="1"/>
        <v>100</v>
      </c>
      <c r="V8" s="461" t="s">
        <v>1005</v>
      </c>
      <c r="W8" s="462">
        <f t="shared" si="2"/>
        <v>100</v>
      </c>
      <c r="X8" s="463"/>
      <c r="Y8" s="3855" t="s">
        <v>1009</v>
      </c>
      <c r="Z8" s="3857"/>
      <c r="AA8" s="480">
        <f t="shared" ref="AA8:AA46" si="3">D8/F8</f>
        <v>1</v>
      </c>
      <c r="AB8" s="480">
        <f t="shared" ref="AB8:AB46" si="4">D8/H8</f>
        <v>1</v>
      </c>
      <c r="AC8" s="480">
        <f t="shared" ref="AC8:AC46" si="5">D8/J8</f>
        <v>1</v>
      </c>
    </row>
    <row r="9" spans="1:29" s="199" customFormat="1" ht="15">
      <c r="A9" s="239"/>
      <c r="B9" s="240" t="s">
        <v>1010</v>
      </c>
      <c r="C9" s="899" t="s">
        <v>402</v>
      </c>
      <c r="D9" s="242">
        <v>100</v>
      </c>
      <c r="E9" s="510" t="s">
        <v>402</v>
      </c>
      <c r="F9" s="900">
        <f>SUMIF(63:63,E9,64:64)-SUMIF(63:63,C9,64:64)+100</f>
        <v>100</v>
      </c>
      <c r="G9" s="510" t="s">
        <v>402</v>
      </c>
      <c r="H9" s="242">
        <f>SUMIF(63:63,G9,64:64)-SUMIF(63:63,C9,64:64)+100</f>
        <v>100</v>
      </c>
      <c r="I9" s="510" t="s">
        <v>402</v>
      </c>
      <c r="J9" s="242">
        <f>SUMIF(63:63,I9,64:64)-SUMIF(63:63,C9,64:64)+100</f>
        <v>100</v>
      </c>
      <c r="K9" s="912"/>
      <c r="L9" s="392"/>
      <c r="M9" s="393"/>
      <c r="N9" s="393"/>
      <c r="O9" s="394"/>
      <c r="P9" s="3858" t="s">
        <v>1011</v>
      </c>
      <c r="Q9" s="464" t="str">
        <f t="shared" ref="Q9:Q15" si="6">B9</f>
        <v>用途</v>
      </c>
      <c r="R9" s="461" t="s">
        <v>1005</v>
      </c>
      <c r="S9" s="462">
        <f t="shared" si="0"/>
        <v>100</v>
      </c>
      <c r="T9" s="461" t="s">
        <v>1005</v>
      </c>
      <c r="U9" s="462">
        <f t="shared" si="1"/>
        <v>100</v>
      </c>
      <c r="V9" s="461" t="s">
        <v>1005</v>
      </c>
      <c r="W9" s="462">
        <f t="shared" si="2"/>
        <v>100</v>
      </c>
      <c r="X9" s="463"/>
      <c r="Y9" s="377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7"/>
      <c r="F10" s="524">
        <f>SUMIF(65:65,E10,66:66)-SUMIF(65:65,C10,66:66)+100</f>
        <v>100</v>
      </c>
      <c r="G10" s="245"/>
      <c r="H10" s="246">
        <f>SUMIF(65:65,G10,66:66)-SUMIF(65:65,C10,66:66)+100</f>
        <v>100</v>
      </c>
      <c r="I10" s="245"/>
      <c r="J10" s="246">
        <f>SUMIF(65:65,I10,66:66)-SUMIF(65:65,C10,66:66)+100</f>
        <v>100</v>
      </c>
      <c r="K10" s="912"/>
      <c r="L10" s="396"/>
      <c r="M10" s="397"/>
      <c r="N10" s="397"/>
      <c r="O10" s="398"/>
      <c r="P10" s="3858"/>
      <c r="Q10" s="464" t="str">
        <f t="shared" si="6"/>
        <v>土地使用年限（年）</v>
      </c>
      <c r="R10" s="461" t="s">
        <v>1005</v>
      </c>
      <c r="S10" s="462">
        <f t="shared" si="0"/>
        <v>100</v>
      </c>
      <c r="T10" s="461" t="s">
        <v>1005</v>
      </c>
      <c r="U10" s="462">
        <f t="shared" si="1"/>
        <v>100</v>
      </c>
      <c r="V10" s="461" t="s">
        <v>1005</v>
      </c>
      <c r="W10" s="462">
        <f t="shared" si="2"/>
        <v>100</v>
      </c>
      <c r="X10" s="463"/>
      <c r="Y10" s="3776"/>
      <c r="Z10" s="481" t="str">
        <f t="shared" si="7"/>
        <v>土地使用年限（年）</v>
      </c>
      <c r="AA10" s="480">
        <f t="shared" si="3"/>
        <v>1</v>
      </c>
      <c r="AB10" s="480">
        <f t="shared" si="4"/>
        <v>1</v>
      </c>
      <c r="AC10" s="480">
        <f t="shared" si="5"/>
        <v>1</v>
      </c>
    </row>
    <row r="11" spans="1:29" ht="15">
      <c r="A11" s="511"/>
      <c r="B11" s="237" t="s">
        <v>1014</v>
      </c>
      <c r="C11" s="512">
        <v>2.2000000000000002</v>
      </c>
      <c r="D11" s="246">
        <v>100</v>
      </c>
      <c r="E11" s="513">
        <v>2</v>
      </c>
      <c r="F11" s="524">
        <f>LOOKUP(E11,68:68,69:69)-LOOKUP(C11,68:68,69:69)+100</f>
        <v>100</v>
      </c>
      <c r="G11" s="512">
        <v>2</v>
      </c>
      <c r="H11" s="246">
        <f>LOOKUP(G11,68:68,69:69)-LOOKUP(C11,68:68,69:69)+100</f>
        <v>100</v>
      </c>
      <c r="I11" s="512">
        <v>2</v>
      </c>
      <c r="J11" s="246">
        <f>LOOKUP(I11,68:68,69:69)-LOOKUP(C11,68:68,69:69)+100</f>
        <v>100</v>
      </c>
      <c r="K11" s="913">
        <f>'比较法-住宅、综合'!K13</f>
        <v>1</v>
      </c>
      <c r="L11" s="400"/>
      <c r="M11" s="390"/>
      <c r="N11" s="390"/>
      <c r="O11" s="401"/>
      <c r="P11" s="3858"/>
      <c r="Q11" s="464" t="str">
        <f t="shared" si="6"/>
        <v>容积率</v>
      </c>
      <c r="R11" s="461" t="s">
        <v>1005</v>
      </c>
      <c r="S11" s="462">
        <f t="shared" si="0"/>
        <v>100</v>
      </c>
      <c r="T11" s="461" t="s">
        <v>1005</v>
      </c>
      <c r="U11" s="462">
        <f t="shared" si="1"/>
        <v>100</v>
      </c>
      <c r="V11" s="461" t="s">
        <v>1005</v>
      </c>
      <c r="W11" s="462">
        <f t="shared" si="2"/>
        <v>100</v>
      </c>
      <c r="X11" s="463"/>
      <c r="Y11" s="3776"/>
      <c r="Z11" s="481" t="str">
        <f t="shared" si="7"/>
        <v>容积率</v>
      </c>
      <c r="AA11" s="480">
        <f t="shared" si="3"/>
        <v>1</v>
      </c>
      <c r="AB11" s="480">
        <f t="shared" si="4"/>
        <v>1</v>
      </c>
      <c r="AC11" s="480">
        <f t="shared" si="5"/>
        <v>1</v>
      </c>
    </row>
    <row r="12" spans="1:29" s="199" customFormat="1" ht="15">
      <c r="A12" s="248"/>
      <c r="B12" s="249">
        <v>111</v>
      </c>
      <c r="C12" s="250"/>
      <c r="D12" s="252">
        <v>100</v>
      </c>
      <c r="E12" s="250"/>
      <c r="F12" s="524">
        <f>SUMIF(70:70,E12,71:71)-SUMIF(70:70,C12,71:71)+100</f>
        <v>100</v>
      </c>
      <c r="G12" s="250"/>
      <c r="H12" s="246">
        <f>SUMIF(70:70,G12,71:71)-SUMIF(70:70,C12,71:71)+100</f>
        <v>100</v>
      </c>
      <c r="I12" s="250"/>
      <c r="J12" s="246">
        <f>SUMIF(70:70,I12,71:71)-SUMIF(70:70,C12,71:71)+100</f>
        <v>100</v>
      </c>
      <c r="K12" s="914"/>
      <c r="L12" s="392"/>
      <c r="M12" s="393"/>
      <c r="N12" s="393"/>
      <c r="O12" s="394"/>
      <c r="P12" s="3858"/>
      <c r="Q12" s="464">
        <f t="shared" si="6"/>
        <v>111</v>
      </c>
      <c r="R12" s="461" t="s">
        <v>1005</v>
      </c>
      <c r="S12" s="462">
        <f t="shared" si="0"/>
        <v>100</v>
      </c>
      <c r="T12" s="461" t="s">
        <v>1005</v>
      </c>
      <c r="U12" s="462">
        <f t="shared" si="1"/>
        <v>100</v>
      </c>
      <c r="V12" s="461" t="s">
        <v>1005</v>
      </c>
      <c r="W12" s="462">
        <f t="shared" si="2"/>
        <v>100</v>
      </c>
      <c r="X12" s="463"/>
      <c r="Y12" s="3776"/>
      <c r="Z12" s="481">
        <f t="shared" si="7"/>
        <v>111</v>
      </c>
      <c r="AA12" s="480">
        <f t="shared" si="3"/>
        <v>1</v>
      </c>
      <c r="AB12" s="480">
        <f t="shared" si="4"/>
        <v>1</v>
      </c>
      <c r="AC12" s="480">
        <f t="shared" si="5"/>
        <v>1</v>
      </c>
    </row>
    <row r="13" spans="1:29" ht="15">
      <c r="A13" s="248"/>
      <c r="B13" s="249">
        <v>111</v>
      </c>
      <c r="C13" s="255"/>
      <c r="D13" s="256">
        <v>100</v>
      </c>
      <c r="E13" s="255"/>
      <c r="F13" s="524">
        <f>SUMIF(72:72,E13,73:73)-SUMIF(72:72,C13,73:73)+100</f>
        <v>100</v>
      </c>
      <c r="G13" s="255"/>
      <c r="H13" s="256">
        <f>SUMIF(72:72,G13,73:73)-SUMIF(72:72,C13,73:73)+100</f>
        <v>100</v>
      </c>
      <c r="I13" s="255"/>
      <c r="J13" s="256">
        <f>SUMIF(72:72,I13,73:73)-SUMIF(72:72,C13,73:73)+100</f>
        <v>100</v>
      </c>
      <c r="K13" s="914"/>
      <c r="L13" s="402"/>
      <c r="M13" s="390"/>
      <c r="N13" s="390"/>
      <c r="O13" s="401"/>
      <c r="P13" s="3858"/>
      <c r="Q13" s="464">
        <f t="shared" si="6"/>
        <v>111</v>
      </c>
      <c r="R13" s="461" t="s">
        <v>1005</v>
      </c>
      <c r="S13" s="462">
        <f t="shared" si="0"/>
        <v>100</v>
      </c>
      <c r="T13" s="461" t="s">
        <v>1005</v>
      </c>
      <c r="U13" s="462">
        <f t="shared" si="1"/>
        <v>100</v>
      </c>
      <c r="V13" s="461" t="s">
        <v>1005</v>
      </c>
      <c r="W13" s="462">
        <f t="shared" si="2"/>
        <v>100</v>
      </c>
      <c r="X13" s="463"/>
      <c r="Y13" s="3776"/>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4"/>
      <c r="L14" s="402"/>
      <c r="M14" s="390"/>
      <c r="N14" s="390"/>
      <c r="O14" s="401"/>
      <c r="P14" s="3858"/>
      <c r="Q14" s="464">
        <f t="shared" si="6"/>
        <v>111</v>
      </c>
      <c r="R14" s="461" t="s">
        <v>1005</v>
      </c>
      <c r="S14" s="462">
        <f t="shared" si="0"/>
        <v>100</v>
      </c>
      <c r="T14" s="461" t="s">
        <v>1005</v>
      </c>
      <c r="U14" s="462">
        <f t="shared" si="1"/>
        <v>100</v>
      </c>
      <c r="V14" s="461" t="s">
        <v>1005</v>
      </c>
      <c r="W14" s="462">
        <f t="shared" si="2"/>
        <v>100</v>
      </c>
      <c r="X14" s="463"/>
      <c r="Y14" s="3776"/>
      <c r="Z14" s="481">
        <f t="shared" si="7"/>
        <v>111</v>
      </c>
      <c r="AA14" s="480">
        <f t="shared" si="3"/>
        <v>1</v>
      </c>
      <c r="AB14" s="480">
        <f t="shared" si="4"/>
        <v>1</v>
      </c>
      <c r="AC14" s="480">
        <f t="shared" si="5"/>
        <v>1</v>
      </c>
    </row>
    <row r="15" spans="1:29" ht="128.25">
      <c r="A15" s="257" t="s">
        <v>1016</v>
      </c>
      <c r="B15" s="258" t="s">
        <v>223</v>
      </c>
      <c r="C15" s="586" t="str">
        <f>估价对象房地状况!C3</f>
        <v>估价对象周边居住用地比例、居住小区规模和社区发展完善程度，有王各庄新庄、明珠花园、枫林园公寓综合评价居住社区成熟度一般</v>
      </c>
      <c r="D15" s="260">
        <v>100</v>
      </c>
      <c r="E15" s="261"/>
      <c r="F15" s="262">
        <f>SUMIF(76:76,E16,77:77)-SUMIF(76:76,C16,77:77)+100</f>
        <v>102</v>
      </c>
      <c r="G15" s="263"/>
      <c r="H15" s="260">
        <f>SUMIF(76:76,G16,77:77)-SUMIF(76:76,C16,77:77)+100</f>
        <v>102</v>
      </c>
      <c r="I15" s="261"/>
      <c r="J15" s="260">
        <f>SUMIF(76:76,I16,77:77)-SUMIF(76:76,C16,77:77)+100</f>
        <v>102</v>
      </c>
      <c r="K15" s="915">
        <f>'比较法-住宅、综合'!K17</f>
        <v>2</v>
      </c>
      <c r="L15" s="402"/>
      <c r="M15" s="390"/>
      <c r="N15" s="390"/>
      <c r="O15" s="401"/>
      <c r="P15" s="3860" t="s">
        <v>1017</v>
      </c>
      <c r="Q15" s="395" t="str">
        <f t="shared" si="6"/>
        <v>居住社区成熟度</v>
      </c>
      <c r="R15" s="465" t="s">
        <v>1005</v>
      </c>
      <c r="S15" s="466">
        <f t="shared" si="0"/>
        <v>102</v>
      </c>
      <c r="T15" s="465" t="s">
        <v>1005</v>
      </c>
      <c r="U15" s="466">
        <f t="shared" si="1"/>
        <v>102</v>
      </c>
      <c r="V15" s="465" t="s">
        <v>1005</v>
      </c>
      <c r="W15" s="466">
        <f t="shared" si="2"/>
        <v>102</v>
      </c>
      <c r="X15" s="460"/>
      <c r="Y15" s="3860" t="s">
        <v>1017</v>
      </c>
      <c r="Z15" s="459" t="str">
        <f t="shared" si="7"/>
        <v>居住社区成熟度</v>
      </c>
      <c r="AA15" s="471">
        <f t="shared" si="3"/>
        <v>0.98039215686274506</v>
      </c>
      <c r="AB15" s="471">
        <f t="shared" si="4"/>
        <v>0.98039215686274506</v>
      </c>
      <c r="AC15" s="471">
        <f t="shared" si="5"/>
        <v>0.98039215686274506</v>
      </c>
    </row>
    <row r="16" spans="1:29" ht="15">
      <c r="A16" s="264"/>
      <c r="B16" s="265"/>
      <c r="C16" s="266" t="s">
        <v>1018</v>
      </c>
      <c r="D16" s="267"/>
      <c r="E16" s="517" t="s">
        <v>1019</v>
      </c>
      <c r="F16" s="268"/>
      <c r="G16" s="518" t="s">
        <v>1019</v>
      </c>
      <c r="H16" s="269"/>
      <c r="I16" s="517" t="s">
        <v>1019</v>
      </c>
      <c r="J16" s="267"/>
      <c r="K16" s="916"/>
      <c r="L16" s="402"/>
      <c r="M16" s="390"/>
      <c r="N16" s="390"/>
      <c r="O16" s="401"/>
      <c r="P16" s="3861"/>
      <c r="Q16" s="395"/>
      <c r="R16" s="465"/>
      <c r="S16" s="466"/>
      <c r="T16" s="465"/>
      <c r="U16" s="466"/>
      <c r="V16" s="465"/>
      <c r="W16" s="466"/>
      <c r="X16" s="460"/>
      <c r="Y16" s="3861"/>
      <c r="Z16" s="459"/>
      <c r="AA16" s="471">
        <v>1</v>
      </c>
      <c r="AB16" s="471">
        <v>1</v>
      </c>
      <c r="AC16" s="471">
        <v>1</v>
      </c>
    </row>
    <row r="17" spans="1:29" ht="99.75">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915">
        <f>'比较法-住宅、综合'!K23</f>
        <v>2</v>
      </c>
      <c r="L17" s="402"/>
      <c r="M17" s="390"/>
      <c r="N17" s="390"/>
      <c r="O17" s="401"/>
      <c r="P17" s="3861"/>
      <c r="Q17" s="395" t="str">
        <f>B17</f>
        <v>交通便捷度</v>
      </c>
      <c r="R17" s="465" t="s">
        <v>1005</v>
      </c>
      <c r="S17" s="466">
        <f>F17</f>
        <v>100</v>
      </c>
      <c r="T17" s="465" t="s">
        <v>1005</v>
      </c>
      <c r="U17" s="466">
        <f>H17</f>
        <v>100</v>
      </c>
      <c r="V17" s="465" t="s">
        <v>1005</v>
      </c>
      <c r="W17" s="466">
        <f>J17</f>
        <v>100</v>
      </c>
      <c r="X17" s="460"/>
      <c r="Y17" s="3861"/>
      <c r="Z17" s="459" t="str">
        <f>Q17</f>
        <v>交通便捷度</v>
      </c>
      <c r="AA17" s="471">
        <f t="shared" si="3"/>
        <v>1</v>
      </c>
      <c r="AB17" s="471">
        <f t="shared" si="4"/>
        <v>1</v>
      </c>
      <c r="AC17" s="471">
        <f t="shared" si="5"/>
        <v>1</v>
      </c>
    </row>
    <row r="18" spans="1:29" ht="15">
      <c r="A18" s="264"/>
      <c r="B18" s="284"/>
      <c r="C18" s="277" t="s">
        <v>1018</v>
      </c>
      <c r="D18" s="269"/>
      <c r="E18" s="277" t="s">
        <v>1018</v>
      </c>
      <c r="F18" s="280"/>
      <c r="G18" s="277" t="s">
        <v>1018</v>
      </c>
      <c r="H18" s="267"/>
      <c r="I18" s="277" t="s">
        <v>1018</v>
      </c>
      <c r="J18" s="267"/>
      <c r="K18" s="916"/>
      <c r="L18" s="402"/>
      <c r="M18" s="390"/>
      <c r="N18" s="390"/>
      <c r="O18" s="401"/>
      <c r="P18" s="3861"/>
      <c r="Q18" s="395"/>
      <c r="R18" s="465"/>
      <c r="S18" s="466"/>
      <c r="T18" s="465"/>
      <c r="U18" s="466"/>
      <c r="V18" s="465"/>
      <c r="W18" s="466"/>
      <c r="X18" s="460"/>
      <c r="Y18" s="3861"/>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102</v>
      </c>
      <c r="G19" s="275"/>
      <c r="H19" s="269">
        <f>SUMIF(80:80,G20,81:81)-SUMIF(80:80,C20,81:81)+100</f>
        <v>102</v>
      </c>
      <c r="I19" s="273"/>
      <c r="J19" s="269">
        <f>SUMIF(80:80,I20,81:81)-SUMIF(80:80,C20,81:81)+100</f>
        <v>102</v>
      </c>
      <c r="K19" s="915">
        <f>'比较法-住宅、综合'!K29</f>
        <v>2</v>
      </c>
      <c r="L19" s="402"/>
      <c r="M19" s="390"/>
      <c r="N19" s="390"/>
      <c r="O19" s="401"/>
      <c r="P19" s="3861"/>
      <c r="Q19" s="395" t="str">
        <f>B19</f>
        <v>公共配套设施</v>
      </c>
      <c r="R19" s="465" t="s">
        <v>1005</v>
      </c>
      <c r="S19" s="466">
        <f>F19</f>
        <v>102</v>
      </c>
      <c r="T19" s="465" t="s">
        <v>1005</v>
      </c>
      <c r="U19" s="466">
        <f>H19</f>
        <v>102</v>
      </c>
      <c r="V19" s="465" t="s">
        <v>1005</v>
      </c>
      <c r="W19" s="466">
        <f>J19</f>
        <v>102</v>
      </c>
      <c r="X19" s="460"/>
      <c r="Y19" s="3861"/>
      <c r="Z19" s="459" t="str">
        <f>Q19</f>
        <v>公共配套设施</v>
      </c>
      <c r="AA19" s="471">
        <f t="shared" si="3"/>
        <v>0.98039215686274506</v>
      </c>
      <c r="AB19" s="471">
        <f t="shared" si="4"/>
        <v>0.98039215686274506</v>
      </c>
      <c r="AC19" s="471">
        <f t="shared" si="5"/>
        <v>0.98039215686274506</v>
      </c>
    </row>
    <row r="20" spans="1:29" ht="15">
      <c r="A20" s="264"/>
      <c r="B20" s="284"/>
      <c r="C20" s="266" t="s">
        <v>1021</v>
      </c>
      <c r="D20" s="267"/>
      <c r="E20" s="517" t="s">
        <v>1018</v>
      </c>
      <c r="F20" s="268"/>
      <c r="G20" s="517" t="s">
        <v>1018</v>
      </c>
      <c r="H20" s="267"/>
      <c r="I20" s="517" t="s">
        <v>1018</v>
      </c>
      <c r="J20" s="267"/>
      <c r="K20" s="916"/>
      <c r="L20" s="402"/>
      <c r="M20" s="390"/>
      <c r="N20" s="390"/>
      <c r="O20" s="401"/>
      <c r="P20" s="3861"/>
      <c r="Q20" s="395"/>
      <c r="R20" s="465"/>
      <c r="S20" s="466"/>
      <c r="T20" s="465"/>
      <c r="U20" s="466"/>
      <c r="V20" s="465"/>
      <c r="W20" s="466"/>
      <c r="X20" s="460"/>
      <c r="Y20" s="3861"/>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5">
        <v>1</v>
      </c>
      <c r="L21" s="402"/>
      <c r="M21" s="390"/>
      <c r="N21" s="390"/>
      <c r="O21" s="401"/>
      <c r="P21" s="3861"/>
      <c r="Q21" s="395" t="str">
        <f>B21</f>
        <v>基础设施水平</v>
      </c>
      <c r="R21" s="465" t="s">
        <v>1005</v>
      </c>
      <c r="S21" s="466">
        <f>F21</f>
        <v>100</v>
      </c>
      <c r="T21" s="465" t="s">
        <v>1005</v>
      </c>
      <c r="U21" s="466">
        <f>H21</f>
        <v>100</v>
      </c>
      <c r="V21" s="465" t="s">
        <v>1005</v>
      </c>
      <c r="W21" s="466">
        <f>J21</f>
        <v>100</v>
      </c>
      <c r="X21" s="460"/>
      <c r="Y21" s="3861"/>
      <c r="Z21" s="459" t="str">
        <f>Q21</f>
        <v>基础设施水平</v>
      </c>
      <c r="AA21" s="471">
        <f>D21/F21</f>
        <v>1</v>
      </c>
      <c r="AB21" s="471">
        <f>D21/H21</f>
        <v>1</v>
      </c>
      <c r="AC21" s="471">
        <f>D21/J21</f>
        <v>1</v>
      </c>
    </row>
    <row r="22" spans="1:29" ht="15">
      <c r="A22" s="264"/>
      <c r="B22" s="519"/>
      <c r="C22" s="277" t="s">
        <v>245</v>
      </c>
      <c r="D22" s="267"/>
      <c r="E22" s="277" t="s">
        <v>245</v>
      </c>
      <c r="F22" s="268"/>
      <c r="G22" s="277" t="s">
        <v>245</v>
      </c>
      <c r="H22" s="267"/>
      <c r="I22" s="277" t="s">
        <v>245</v>
      </c>
      <c r="J22" s="267"/>
      <c r="K22" s="917"/>
      <c r="L22" s="402"/>
      <c r="M22" s="390"/>
      <c r="N22" s="390"/>
      <c r="O22" s="401"/>
      <c r="P22" s="3861"/>
      <c r="Q22" s="395"/>
      <c r="R22" s="465"/>
      <c r="S22" s="466"/>
      <c r="T22" s="465"/>
      <c r="U22" s="466"/>
      <c r="V22" s="465"/>
      <c r="W22" s="466"/>
      <c r="X22" s="460"/>
      <c r="Y22" s="3861"/>
      <c r="Z22" s="459"/>
      <c r="AA22" s="471">
        <v>1</v>
      </c>
      <c r="AB22" s="471">
        <v>1</v>
      </c>
      <c r="AC22" s="471">
        <v>1</v>
      </c>
    </row>
    <row r="23" spans="1:29" ht="57">
      <c r="A23" s="264"/>
      <c r="B23" s="283" t="s">
        <v>2469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915">
        <f>'比较法-住宅、综合'!K27</f>
        <v>2</v>
      </c>
      <c r="L23" s="402"/>
      <c r="M23" s="390"/>
      <c r="N23" s="390"/>
      <c r="O23" s="401"/>
      <c r="P23" s="3861"/>
      <c r="Q23" s="395" t="str">
        <f>B23</f>
        <v>自然及人文环境</v>
      </c>
      <c r="R23" s="465" t="s">
        <v>1005</v>
      </c>
      <c r="S23" s="466">
        <f>F23</f>
        <v>100</v>
      </c>
      <c r="T23" s="465" t="s">
        <v>1005</v>
      </c>
      <c r="U23" s="466">
        <f>H23</f>
        <v>100</v>
      </c>
      <c r="V23" s="465" t="s">
        <v>1005</v>
      </c>
      <c r="W23" s="466">
        <f>J23</f>
        <v>100</v>
      </c>
      <c r="X23" s="460"/>
      <c r="Y23" s="3861"/>
      <c r="Z23" s="459" t="str">
        <f>Q23</f>
        <v>自然及人文环境</v>
      </c>
      <c r="AA23" s="471">
        <f t="shared" si="3"/>
        <v>1</v>
      </c>
      <c r="AB23" s="471">
        <f t="shared" si="4"/>
        <v>1</v>
      </c>
      <c r="AC23" s="471">
        <f t="shared" si="5"/>
        <v>1</v>
      </c>
    </row>
    <row r="24" spans="1:29" ht="15">
      <c r="A24" s="264"/>
      <c r="B24" s="284"/>
      <c r="C24" s="266" t="s">
        <v>1018</v>
      </c>
      <c r="D24" s="267"/>
      <c r="E24" s="266" t="s">
        <v>1018</v>
      </c>
      <c r="F24" s="268"/>
      <c r="G24" s="266" t="s">
        <v>1018</v>
      </c>
      <c r="H24" s="267"/>
      <c r="I24" s="266" t="s">
        <v>1018</v>
      </c>
      <c r="J24" s="267"/>
      <c r="K24" s="916"/>
      <c r="L24" s="402"/>
      <c r="M24" s="390"/>
      <c r="N24" s="390"/>
      <c r="O24" s="401"/>
      <c r="P24" s="3861"/>
      <c r="Q24" s="395"/>
      <c r="R24" s="465"/>
      <c r="S24" s="466"/>
      <c r="T24" s="465"/>
      <c r="U24" s="466"/>
      <c r="V24" s="465"/>
      <c r="W24" s="466"/>
      <c r="X24" s="460"/>
      <c r="Y24" s="3861"/>
      <c r="Z24" s="459"/>
      <c r="AA24" s="471">
        <v>1</v>
      </c>
      <c r="AB24" s="471">
        <v>1</v>
      </c>
      <c r="AC24" s="471">
        <v>1</v>
      </c>
    </row>
    <row r="25" spans="1:29" ht="15">
      <c r="A25" s="264"/>
      <c r="B25" s="525" t="s">
        <v>2470</v>
      </c>
      <c r="C25" s="303"/>
      <c r="D25" s="256">
        <v>100</v>
      </c>
      <c r="E25" s="901"/>
      <c r="F25" s="286">
        <f>SUMIF(86:86,E25,87:87)-SUMIF(86:86,C25,87:87)+100</f>
        <v>100</v>
      </c>
      <c r="G25" s="566"/>
      <c r="H25" s="256">
        <f>SUMIF(86:86,G25,87:87)-SUMIF(86:86,C25,87:87)+100</f>
        <v>100</v>
      </c>
      <c r="I25" s="901"/>
      <c r="J25" s="256">
        <f>SUMIF(86:86,I25,87:87)-SUMIF(86:86,C25,87:87)+100</f>
        <v>100</v>
      </c>
      <c r="K25" s="913"/>
      <c r="L25" s="402"/>
      <c r="M25" s="390"/>
      <c r="N25" s="390"/>
      <c r="O25" s="401"/>
      <c r="P25" s="3861"/>
      <c r="Q25" s="395" t="str">
        <f t="shared" ref="Q25:Q46" si="8">B25</f>
        <v>楼层-1</v>
      </c>
      <c r="R25" s="465" t="s">
        <v>1005</v>
      </c>
      <c r="S25" s="466">
        <f>F25</f>
        <v>100</v>
      </c>
      <c r="T25" s="465" t="s">
        <v>1005</v>
      </c>
      <c r="U25" s="466">
        <f>H25</f>
        <v>100</v>
      </c>
      <c r="V25" s="465" t="s">
        <v>1005</v>
      </c>
      <c r="W25" s="466">
        <f>J25</f>
        <v>100</v>
      </c>
      <c r="X25" s="460"/>
      <c r="Y25" s="3861"/>
      <c r="Z25" s="459" t="str">
        <f>Q25</f>
        <v>楼层-1</v>
      </c>
      <c r="AA25" s="471">
        <f t="shared" si="3"/>
        <v>1</v>
      </c>
      <c r="AB25" s="471">
        <f t="shared" si="4"/>
        <v>1</v>
      </c>
      <c r="AC25" s="471">
        <f t="shared" si="5"/>
        <v>1</v>
      </c>
    </row>
    <row r="26" spans="1:29" ht="15">
      <c r="A26" s="264"/>
      <c r="B26" s="298" t="s">
        <v>2471</v>
      </c>
      <c r="C26" s="303"/>
      <c r="D26" s="256">
        <v>100</v>
      </c>
      <c r="E26" s="901"/>
      <c r="F26" s="286">
        <f>SUMIF(88:88,E26,89:89)-SUMIF(88:88,C26,89:89)+100</f>
        <v>100</v>
      </c>
      <c r="G26" s="566"/>
      <c r="H26" s="256">
        <f>SUMIF(88:88,G26,89:89)-SUMIF(88:88,C26,89:89)+100</f>
        <v>100</v>
      </c>
      <c r="I26" s="901"/>
      <c r="J26" s="256">
        <f>SUMIF(88:88,I26,89:89)-SUMIF(88:88,C26,89:89)+100</f>
        <v>100</v>
      </c>
      <c r="K26" s="913"/>
      <c r="L26" s="402"/>
      <c r="M26" s="390"/>
      <c r="N26" s="390"/>
      <c r="O26" s="401"/>
      <c r="P26" s="3861"/>
      <c r="Q26" s="395" t="str">
        <f t="shared" si="8"/>
        <v>朝向</v>
      </c>
      <c r="R26" s="465" t="s">
        <v>1005</v>
      </c>
      <c r="S26" s="466">
        <f>F26</f>
        <v>100</v>
      </c>
      <c r="T26" s="465" t="s">
        <v>1005</v>
      </c>
      <c r="U26" s="466">
        <f>H26</f>
        <v>100</v>
      </c>
      <c r="V26" s="465" t="s">
        <v>1005</v>
      </c>
      <c r="W26" s="466">
        <f>J26</f>
        <v>100</v>
      </c>
      <c r="X26" s="460"/>
      <c r="Y26" s="3861"/>
      <c r="Z26" s="459" t="str">
        <f>Q26</f>
        <v>朝向</v>
      </c>
      <c r="AA26" s="471">
        <f t="shared" si="3"/>
        <v>1</v>
      </c>
      <c r="AB26" s="471">
        <f t="shared" si="4"/>
        <v>1</v>
      </c>
      <c r="AC26" s="471">
        <f t="shared" si="5"/>
        <v>1</v>
      </c>
    </row>
    <row r="27" spans="1:29" s="199" customFormat="1" ht="15">
      <c r="A27" s="288"/>
      <c r="B27" s="287" t="s">
        <v>2472</v>
      </c>
      <c r="C27" s="250"/>
      <c r="D27" s="521">
        <v>100</v>
      </c>
      <c r="E27" s="902"/>
      <c r="F27" s="522">
        <f>SUMIF(90:90,E27,91:91)-SUMIF(90:90,C27,91:91)+100</f>
        <v>100</v>
      </c>
      <c r="G27" s="903"/>
      <c r="H27" s="521">
        <f>SUMIF(90:90,G27,91:91)-SUMIF(90:90,C27,91:91)+100</f>
        <v>100</v>
      </c>
      <c r="I27" s="902"/>
      <c r="J27" s="521">
        <f>SUMIF(90:90,I27,91:91)-SUMIF(90:90,C27,91:91)+100</f>
        <v>100</v>
      </c>
      <c r="K27" s="914"/>
      <c r="L27" s="392"/>
      <c r="M27" s="393"/>
      <c r="N27" s="393"/>
      <c r="O27" s="394"/>
      <c r="P27" s="3861"/>
      <c r="Q27" s="464" t="str">
        <f t="shared" si="8"/>
        <v>道路级别</v>
      </c>
      <c r="R27" s="461" t="s">
        <v>1005</v>
      </c>
      <c r="S27" s="462">
        <f>F27</f>
        <v>100</v>
      </c>
      <c r="T27" s="461" t="s">
        <v>1005</v>
      </c>
      <c r="U27" s="462">
        <f>H27</f>
        <v>100</v>
      </c>
      <c r="V27" s="461" t="s">
        <v>1005</v>
      </c>
      <c r="W27" s="462">
        <f>J27</f>
        <v>100</v>
      </c>
      <c r="X27" s="463"/>
      <c r="Y27" s="3861"/>
      <c r="Z27" s="481" t="str">
        <f>Q27</f>
        <v>道路级别</v>
      </c>
      <c r="AA27" s="471">
        <f t="shared" si="3"/>
        <v>1</v>
      </c>
      <c r="AB27" s="471">
        <f t="shared" si="4"/>
        <v>1</v>
      </c>
      <c r="AC27" s="471">
        <f t="shared" si="5"/>
        <v>1</v>
      </c>
    </row>
    <row r="28" spans="1:29" ht="15">
      <c r="A28" s="264"/>
      <c r="B28" s="520">
        <v>111</v>
      </c>
      <c r="C28" s="255"/>
      <c r="D28" s="256">
        <v>100</v>
      </c>
      <c r="E28" s="255"/>
      <c r="F28" s="286">
        <f>SUMIF(92:92,E28,93:93)-SUMIF(92:92,C28,93:93)+100</f>
        <v>100</v>
      </c>
      <c r="G28" s="255"/>
      <c r="H28" s="256">
        <f>SUMIF(92:92,G28,93:93)-SUMIF(92:92,C28,93:93)+100</f>
        <v>100</v>
      </c>
      <c r="I28" s="255"/>
      <c r="J28" s="256">
        <f>SUMIF(92:92,I28,93:93)-SUMIF(92:92,C28,93:93)+100</f>
        <v>100</v>
      </c>
      <c r="K28" s="914"/>
      <c r="L28" s="402"/>
      <c r="M28" s="390"/>
      <c r="N28" s="390"/>
      <c r="O28" s="401"/>
      <c r="P28" s="3861"/>
      <c r="Q28" s="395">
        <f t="shared" si="8"/>
        <v>111</v>
      </c>
      <c r="R28" s="465" t="s">
        <v>1005</v>
      </c>
      <c r="S28" s="466">
        <f t="shared" ref="S28:S46" si="9">F28</f>
        <v>100</v>
      </c>
      <c r="T28" s="465" t="s">
        <v>1005</v>
      </c>
      <c r="U28" s="466">
        <f t="shared" ref="U28:U46" si="10">H28</f>
        <v>100</v>
      </c>
      <c r="V28" s="465" t="s">
        <v>1005</v>
      </c>
      <c r="W28" s="466">
        <f t="shared" ref="W28:W46" si="11">J28</f>
        <v>100</v>
      </c>
      <c r="X28" s="460"/>
      <c r="Y28" s="3861"/>
      <c r="Z28" s="459">
        <f t="shared" ref="Z28:Z46" si="12">Q28</f>
        <v>111</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914"/>
      <c r="L29" s="402"/>
      <c r="M29" s="390"/>
      <c r="N29" s="390"/>
      <c r="O29" s="401"/>
      <c r="P29" s="3861"/>
      <c r="Q29" s="395">
        <f t="shared" si="8"/>
        <v>111</v>
      </c>
      <c r="R29" s="465" t="s">
        <v>1005</v>
      </c>
      <c r="S29" s="466">
        <f t="shared" si="9"/>
        <v>100</v>
      </c>
      <c r="T29" s="465" t="s">
        <v>1005</v>
      </c>
      <c r="U29" s="466">
        <f t="shared" si="10"/>
        <v>100</v>
      </c>
      <c r="V29" s="465" t="s">
        <v>1005</v>
      </c>
      <c r="W29" s="466">
        <f t="shared" si="11"/>
        <v>100</v>
      </c>
      <c r="X29" s="460"/>
      <c r="Y29" s="3861"/>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914"/>
      <c r="L30" s="402"/>
      <c r="M30" s="390"/>
      <c r="N30" s="390"/>
      <c r="O30" s="401"/>
      <c r="P30" s="3861"/>
      <c r="Q30" s="395">
        <f t="shared" si="8"/>
        <v>111</v>
      </c>
      <c r="R30" s="465" t="s">
        <v>1005</v>
      </c>
      <c r="S30" s="466">
        <f t="shared" si="9"/>
        <v>100</v>
      </c>
      <c r="T30" s="465" t="s">
        <v>1005</v>
      </c>
      <c r="U30" s="466">
        <f t="shared" si="10"/>
        <v>100</v>
      </c>
      <c r="V30" s="465" t="s">
        <v>1005</v>
      </c>
      <c r="W30" s="466">
        <f t="shared" si="11"/>
        <v>100</v>
      </c>
      <c r="X30" s="460"/>
      <c r="Y30" s="3861"/>
      <c r="Z30" s="459">
        <f t="shared" si="12"/>
        <v>111</v>
      </c>
      <c r="AA30" s="471">
        <f t="shared" si="3"/>
        <v>1</v>
      </c>
      <c r="AB30" s="471">
        <f t="shared" si="4"/>
        <v>1</v>
      </c>
      <c r="AC30" s="471">
        <f t="shared" si="5"/>
        <v>1</v>
      </c>
    </row>
    <row r="31" spans="1:29" ht="15">
      <c r="A31" s="523"/>
      <c r="B31" s="520">
        <v>111</v>
      </c>
      <c r="C31" s="308"/>
      <c r="D31" s="309">
        <v>100</v>
      </c>
      <c r="E31" s="308"/>
      <c r="F31" s="311">
        <f>SUMIF(98:98,E31,99:99)-SUMIF(98:98,C31,99:99)+100</f>
        <v>100</v>
      </c>
      <c r="G31" s="308"/>
      <c r="H31" s="309">
        <f>SUMIF(98:98,G31,99:99)-SUMIF(98:98,C31,99:99)+100</f>
        <v>100</v>
      </c>
      <c r="I31" s="308"/>
      <c r="J31" s="309">
        <f>SUMIF(98:98,I31,99:99)-SUMIF(98:98,C31,99:99)+100</f>
        <v>100</v>
      </c>
      <c r="K31" s="914"/>
      <c r="L31" s="402"/>
      <c r="M31" s="390"/>
      <c r="N31" s="390"/>
      <c r="O31" s="401"/>
      <c r="P31" s="3861"/>
      <c r="Q31" s="395">
        <f t="shared" si="8"/>
        <v>111</v>
      </c>
      <c r="R31" s="465" t="s">
        <v>1005</v>
      </c>
      <c r="S31" s="466">
        <f t="shared" si="9"/>
        <v>100</v>
      </c>
      <c r="T31" s="465" t="s">
        <v>1005</v>
      </c>
      <c r="U31" s="466">
        <f t="shared" si="10"/>
        <v>100</v>
      </c>
      <c r="V31" s="465" t="s">
        <v>1005</v>
      </c>
      <c r="W31" s="466">
        <f t="shared" si="11"/>
        <v>100</v>
      </c>
      <c r="X31" s="460"/>
      <c r="Y31" s="3861"/>
      <c r="Z31" s="459">
        <f t="shared" si="12"/>
        <v>111</v>
      </c>
      <c r="AA31" s="471">
        <f t="shared" si="3"/>
        <v>1</v>
      </c>
      <c r="AB31" s="471">
        <f t="shared" si="4"/>
        <v>1</v>
      </c>
      <c r="AC31" s="471">
        <f t="shared" si="5"/>
        <v>1</v>
      </c>
    </row>
    <row r="32" spans="1:29" ht="15">
      <c r="A32" s="292" t="s">
        <v>1029</v>
      </c>
      <c r="B32" s="293" t="s">
        <v>2473</v>
      </c>
      <c r="C32" s="590" t="s">
        <v>2689</v>
      </c>
      <c r="D32" s="295">
        <v>100</v>
      </c>
      <c r="E32" s="590" t="s">
        <v>2689</v>
      </c>
      <c r="F32" s="286">
        <f>SUMIF(100:100,E32,101:101)-SUMIF(100:100,C32,101:101)+100</f>
        <v>100</v>
      </c>
      <c r="G32" s="590" t="s">
        <v>2689</v>
      </c>
      <c r="H32" s="295">
        <f>SUMIF(100:100,G32,101:101)-SUMIF(100:100,C32,101:101)+100</f>
        <v>100</v>
      </c>
      <c r="I32" s="590" t="s">
        <v>2689</v>
      </c>
      <c r="J32" s="256">
        <f>SUMIF(100:100,I32,101:101)-SUMIF(100:100,C32,101:101)+100</f>
        <v>100</v>
      </c>
      <c r="K32" s="913"/>
      <c r="L32" s="402"/>
      <c r="M32" s="390"/>
      <c r="N32" s="390"/>
      <c r="O32" s="401"/>
      <c r="P32" s="3862" t="s">
        <v>1028</v>
      </c>
      <c r="Q32" s="395" t="str">
        <f t="shared" si="8"/>
        <v>建筑类型</v>
      </c>
      <c r="R32" s="465" t="s">
        <v>1005</v>
      </c>
      <c r="S32" s="466">
        <f t="shared" si="9"/>
        <v>100</v>
      </c>
      <c r="T32" s="465" t="s">
        <v>1005</v>
      </c>
      <c r="U32" s="466">
        <f t="shared" si="10"/>
        <v>100</v>
      </c>
      <c r="V32" s="465" t="s">
        <v>1005</v>
      </c>
      <c r="W32" s="466">
        <f t="shared" si="11"/>
        <v>100</v>
      </c>
      <c r="X32" s="460"/>
      <c r="Y32" s="3863" t="s">
        <v>1028</v>
      </c>
      <c r="Z32" s="459" t="str">
        <f t="shared" si="12"/>
        <v>建筑类型</v>
      </c>
      <c r="AA32" s="471">
        <f t="shared" si="3"/>
        <v>1</v>
      </c>
      <c r="AB32" s="471">
        <f t="shared" si="4"/>
        <v>1</v>
      </c>
      <c r="AC32" s="471">
        <f t="shared" si="5"/>
        <v>1</v>
      </c>
    </row>
    <row r="33" spans="1:29" s="201" customFormat="1" ht="15">
      <c r="A33" s="297"/>
      <c r="B33" s="298" t="s">
        <v>2474</v>
      </c>
      <c r="C33" s="251">
        <f>'数据-基础表'!B3</f>
        <v>187307.45999999996</v>
      </c>
      <c r="D33" s="246">
        <v>100</v>
      </c>
      <c r="E33" s="513">
        <v>124000</v>
      </c>
      <c r="F33" s="524">
        <f>LOOKUP(E33,103:103,104:104)-LOOKUP(C33,103:103,104:104)+100</f>
        <v>98</v>
      </c>
      <c r="G33" s="512">
        <v>285000</v>
      </c>
      <c r="H33" s="246">
        <f>LOOKUP(G33,103:103,104:104)-LOOKUP(C33,103:103,104:104)+100</f>
        <v>102</v>
      </c>
      <c r="I33" s="513">
        <v>116703</v>
      </c>
      <c r="J33" s="246">
        <f>LOOKUP(I33,103:103,104:104)-LOOKUP(C33,103:103,104:104)+100</f>
        <v>98</v>
      </c>
      <c r="K33" s="914"/>
      <c r="L33" s="400"/>
      <c r="M33" s="407"/>
      <c r="N33" s="407"/>
      <c r="O33" s="408"/>
      <c r="P33" s="3863"/>
      <c r="Q33" s="467" t="str">
        <f t="shared" si="8"/>
        <v>项目建筑规模</v>
      </c>
      <c r="R33" s="468" t="s">
        <v>1005</v>
      </c>
      <c r="S33" s="469">
        <f t="shared" si="9"/>
        <v>98</v>
      </c>
      <c r="T33" s="468" t="s">
        <v>1005</v>
      </c>
      <c r="U33" s="469">
        <f t="shared" si="10"/>
        <v>102</v>
      </c>
      <c r="V33" s="468" t="s">
        <v>1005</v>
      </c>
      <c r="W33" s="469">
        <f t="shared" si="11"/>
        <v>98</v>
      </c>
      <c r="X33" s="470"/>
      <c r="Y33" s="3863"/>
      <c r="Z33" s="482" t="str">
        <f t="shared" si="12"/>
        <v>项目建筑规模</v>
      </c>
      <c r="AA33" s="471">
        <f t="shared" si="3"/>
        <v>1.0204081632653061</v>
      </c>
      <c r="AB33" s="471">
        <f t="shared" si="4"/>
        <v>0.98039215686274506</v>
      </c>
      <c r="AC33" s="471">
        <f t="shared" si="5"/>
        <v>1.0204081632653061</v>
      </c>
    </row>
    <row r="34" spans="1:29" ht="15">
      <c r="A34" s="302"/>
      <c r="B34" s="298" t="s">
        <v>2475</v>
      </c>
      <c r="C34" s="591" t="s">
        <v>2183</v>
      </c>
      <c r="D34" s="256">
        <v>100</v>
      </c>
      <c r="E34" s="591" t="s">
        <v>2183</v>
      </c>
      <c r="F34" s="286">
        <f>SUMIF(105:105,E34,106:106)-SUMIF(105:105,C34,106:106)+100</f>
        <v>100</v>
      </c>
      <c r="G34" s="591" t="s">
        <v>2183</v>
      </c>
      <c r="H34" s="256">
        <f>SUMIF(105:105,G34,106:106)-SUMIF(105:105,C34,106:106)+100</f>
        <v>100</v>
      </c>
      <c r="I34" s="591" t="s">
        <v>2183</v>
      </c>
      <c r="J34" s="256">
        <f>SUMIF(105:105,I34,106:106)-SUMIF(105:105,C34,106:106)+100</f>
        <v>100</v>
      </c>
      <c r="K34" s="913">
        <v>2</v>
      </c>
      <c r="L34" s="402"/>
      <c r="M34" s="390"/>
      <c r="N34" s="390"/>
      <c r="O34" s="401"/>
      <c r="P34" s="3863"/>
      <c r="Q34" s="395" t="str">
        <f t="shared" si="8"/>
        <v>建筑结构</v>
      </c>
      <c r="R34" s="465" t="s">
        <v>1005</v>
      </c>
      <c r="S34" s="466">
        <f t="shared" si="9"/>
        <v>100</v>
      </c>
      <c r="T34" s="465" t="s">
        <v>1005</v>
      </c>
      <c r="U34" s="466">
        <f t="shared" si="10"/>
        <v>100</v>
      </c>
      <c r="V34" s="465" t="s">
        <v>1005</v>
      </c>
      <c r="W34" s="466">
        <f t="shared" si="11"/>
        <v>100</v>
      </c>
      <c r="X34" s="460"/>
      <c r="Y34" s="3863"/>
      <c r="Z34" s="459" t="str">
        <f t="shared" si="12"/>
        <v>建筑结构</v>
      </c>
      <c r="AA34" s="471">
        <f t="shared" si="3"/>
        <v>1</v>
      </c>
      <c r="AB34" s="471">
        <f t="shared" si="4"/>
        <v>1</v>
      </c>
      <c r="AC34" s="471">
        <f t="shared" si="5"/>
        <v>1</v>
      </c>
    </row>
    <row r="35" spans="1:29" ht="15">
      <c r="A35" s="302"/>
      <c r="B35" s="298" t="s">
        <v>2476</v>
      </c>
      <c r="C35" s="566" t="s">
        <v>2690</v>
      </c>
      <c r="D35" s="256">
        <v>100</v>
      </c>
      <c r="E35" s="566" t="s">
        <v>2690</v>
      </c>
      <c r="F35" s="286">
        <f>SUMIF(107:107,E35,108:108)-SUMIF(107:107,C35,108:108)+100</f>
        <v>100</v>
      </c>
      <c r="G35" s="566" t="s">
        <v>2690</v>
      </c>
      <c r="H35" s="256">
        <f>SUMIF(107:107,G35,108:108)-SUMIF(107:107,C35,108:108)+100</f>
        <v>100</v>
      </c>
      <c r="I35" s="566" t="s">
        <v>2690</v>
      </c>
      <c r="J35" s="256">
        <f>SUMIF(107:107,I35,108:108)-SUMIF(107:107,C35,108:108)+100</f>
        <v>100</v>
      </c>
      <c r="K35" s="913">
        <v>2</v>
      </c>
      <c r="L35" s="402"/>
      <c r="M35" s="390"/>
      <c r="N35" s="390"/>
      <c r="O35" s="401"/>
      <c r="P35" s="3863"/>
      <c r="Q35" s="395" t="str">
        <f t="shared" si="8"/>
        <v>建筑品质</v>
      </c>
      <c r="R35" s="465" t="s">
        <v>1005</v>
      </c>
      <c r="S35" s="466">
        <f t="shared" si="9"/>
        <v>100</v>
      </c>
      <c r="T35" s="465" t="s">
        <v>1005</v>
      </c>
      <c r="U35" s="466">
        <f t="shared" si="10"/>
        <v>100</v>
      </c>
      <c r="V35" s="465" t="s">
        <v>1005</v>
      </c>
      <c r="W35" s="466">
        <f t="shared" si="11"/>
        <v>100</v>
      </c>
      <c r="X35" s="460"/>
      <c r="Y35" s="3863"/>
      <c r="Z35" s="459" t="str">
        <f t="shared" si="12"/>
        <v>建筑品质</v>
      </c>
      <c r="AA35" s="471">
        <f t="shared" si="3"/>
        <v>1</v>
      </c>
      <c r="AB35" s="471">
        <f t="shared" si="4"/>
        <v>1</v>
      </c>
      <c r="AC35" s="471">
        <f t="shared" si="5"/>
        <v>1</v>
      </c>
    </row>
    <row r="36" spans="1:29" ht="15">
      <c r="A36" s="302"/>
      <c r="B36" s="298" t="s">
        <v>2477</v>
      </c>
      <c r="C36" s="566" t="s">
        <v>2691</v>
      </c>
      <c r="D36" s="256">
        <v>100</v>
      </c>
      <c r="E36" s="566" t="s">
        <v>2691</v>
      </c>
      <c r="F36" s="286">
        <f>SUMIF(109:109,E36,110:110)-SUMIF(109:109,C36,110:110)+100</f>
        <v>100</v>
      </c>
      <c r="G36" s="566" t="s">
        <v>2691</v>
      </c>
      <c r="H36" s="256">
        <f>SUMIF(109:109,G36,110:110)-SUMIF(109:109,C36,110:110)+100</f>
        <v>100</v>
      </c>
      <c r="I36" s="566" t="s">
        <v>2691</v>
      </c>
      <c r="J36" s="256">
        <f>SUMIF(109:109,I36,110:110)-SUMIF(109:109,C36,110:110)+100</f>
        <v>100</v>
      </c>
      <c r="K36" s="913">
        <v>2</v>
      </c>
      <c r="L36" s="402"/>
      <c r="M36" s="390"/>
      <c r="N36" s="390"/>
      <c r="O36" s="401"/>
      <c r="P36" s="3863"/>
      <c r="Q36" s="395" t="str">
        <f t="shared" si="8"/>
        <v>公共部分装修</v>
      </c>
      <c r="R36" s="465" t="s">
        <v>1005</v>
      </c>
      <c r="S36" s="466">
        <f t="shared" si="9"/>
        <v>100</v>
      </c>
      <c r="T36" s="465" t="s">
        <v>1005</v>
      </c>
      <c r="U36" s="466">
        <f t="shared" si="10"/>
        <v>100</v>
      </c>
      <c r="V36" s="465" t="s">
        <v>1005</v>
      </c>
      <c r="W36" s="466">
        <f t="shared" si="11"/>
        <v>100</v>
      </c>
      <c r="X36" s="460"/>
      <c r="Y36" s="3863"/>
      <c r="Z36" s="459" t="str">
        <f t="shared" si="12"/>
        <v>公共部分装修</v>
      </c>
      <c r="AA36" s="471">
        <f t="shared" si="3"/>
        <v>1</v>
      </c>
      <c r="AB36" s="471">
        <f t="shared" si="4"/>
        <v>1</v>
      </c>
      <c r="AC36" s="471">
        <f t="shared" si="5"/>
        <v>1</v>
      </c>
    </row>
    <row r="37" spans="1:29" s="199" customFormat="1" ht="15">
      <c r="A37" s="305"/>
      <c r="B37" s="298" t="s">
        <v>2478</v>
      </c>
      <c r="C37" s="3657">
        <v>1</v>
      </c>
      <c r="D37" s="246">
        <v>100</v>
      </c>
      <c r="E37" s="3657">
        <v>1</v>
      </c>
      <c r="F37" s="524">
        <f>LOOKUP(E37,112:112,113:113)-LOOKUP(C37,112:112,113:113)+100</f>
        <v>100</v>
      </c>
      <c r="G37" s="3657">
        <v>1</v>
      </c>
      <c r="H37" s="246">
        <f>LOOKUP(G37,112:112,113:113)-LOOKUP(C37,112:112,113:113)+100</f>
        <v>100</v>
      </c>
      <c r="I37" s="3657">
        <v>1</v>
      </c>
      <c r="J37" s="246">
        <f>LOOKUP(I37,112:112,113:113)-LOOKUP(C37,112:112,113:113)+100</f>
        <v>100</v>
      </c>
      <c r="K37" s="913">
        <v>1</v>
      </c>
      <c r="L37" s="392"/>
      <c r="M37" s="393"/>
      <c r="N37" s="393"/>
      <c r="O37" s="394"/>
      <c r="P37" s="3863"/>
      <c r="Q37" s="464" t="str">
        <f t="shared" si="8"/>
        <v>成新度</v>
      </c>
      <c r="R37" s="461" t="s">
        <v>1005</v>
      </c>
      <c r="S37" s="462">
        <f t="shared" si="9"/>
        <v>100</v>
      </c>
      <c r="T37" s="461" t="s">
        <v>1005</v>
      </c>
      <c r="U37" s="462">
        <f t="shared" si="10"/>
        <v>100</v>
      </c>
      <c r="V37" s="461" t="s">
        <v>1005</v>
      </c>
      <c r="W37" s="462">
        <f t="shared" si="11"/>
        <v>100</v>
      </c>
      <c r="X37" s="463"/>
      <c r="Y37" s="3863"/>
      <c r="Z37" s="481" t="str">
        <f t="shared" si="12"/>
        <v>成新度</v>
      </c>
      <c r="AA37" s="480">
        <f t="shared" si="3"/>
        <v>1</v>
      </c>
      <c r="AB37" s="480">
        <f t="shared" si="4"/>
        <v>1</v>
      </c>
      <c r="AC37" s="480">
        <f t="shared" si="5"/>
        <v>1</v>
      </c>
    </row>
    <row r="38" spans="1:29" ht="15">
      <c r="A38" s="302"/>
      <c r="B38" s="298" t="s">
        <v>2479</v>
      </c>
      <c r="C38" s="566" t="s">
        <v>2692</v>
      </c>
      <c r="D38" s="256">
        <v>100</v>
      </c>
      <c r="E38" s="566" t="s">
        <v>2692</v>
      </c>
      <c r="F38" s="286">
        <f>SUMIF(114:114,E38,115:115)-SUMIF(114:114,C38,115:115)+100</f>
        <v>100</v>
      </c>
      <c r="G38" s="566" t="s">
        <v>2692</v>
      </c>
      <c r="H38" s="256">
        <f>SUMIF(114:114,G38,115:115)-SUMIF(114:114,C38,115:115)+100</f>
        <v>100</v>
      </c>
      <c r="I38" s="566" t="s">
        <v>2692</v>
      </c>
      <c r="J38" s="256">
        <f>SUMIF(114:114,I38,115:115)-SUMIF(114:114,C38,115:115)+100</f>
        <v>100</v>
      </c>
      <c r="K38" s="913">
        <v>2</v>
      </c>
      <c r="L38" s="402"/>
      <c r="M38" s="390"/>
      <c r="N38" s="390"/>
      <c r="O38" s="401"/>
      <c r="P38" s="3863" t="s">
        <v>1028</v>
      </c>
      <c r="Q38" s="395" t="str">
        <f t="shared" si="8"/>
        <v>物业管理</v>
      </c>
      <c r="R38" s="465" t="s">
        <v>1005</v>
      </c>
      <c r="S38" s="466">
        <f t="shared" si="9"/>
        <v>100</v>
      </c>
      <c r="T38" s="465" t="s">
        <v>1005</v>
      </c>
      <c r="U38" s="466">
        <f t="shared" si="10"/>
        <v>100</v>
      </c>
      <c r="V38" s="465" t="s">
        <v>1005</v>
      </c>
      <c r="W38" s="466">
        <f t="shared" si="11"/>
        <v>100</v>
      </c>
      <c r="X38" s="460"/>
      <c r="Y38" s="3863" t="s">
        <v>1028</v>
      </c>
      <c r="Z38" s="459" t="str">
        <f t="shared" si="12"/>
        <v>物业管理</v>
      </c>
      <c r="AA38" s="471">
        <f t="shared" si="3"/>
        <v>1</v>
      </c>
      <c r="AB38" s="471">
        <f t="shared" si="4"/>
        <v>1</v>
      </c>
      <c r="AC38" s="471">
        <f t="shared" si="5"/>
        <v>1</v>
      </c>
    </row>
    <row r="39" spans="1:29" ht="15">
      <c r="A39" s="302"/>
      <c r="B39" s="525" t="s">
        <v>2480</v>
      </c>
      <c r="C39" s="566" t="s">
        <v>245</v>
      </c>
      <c r="D39" s="256">
        <v>100</v>
      </c>
      <c r="E39" s="566" t="s">
        <v>245</v>
      </c>
      <c r="F39" s="286">
        <f>SUMIF(116:116,E39,117:117)-SUMIF(116:116,C39,117:117)+100</f>
        <v>100</v>
      </c>
      <c r="G39" s="566" t="s">
        <v>245</v>
      </c>
      <c r="H39" s="256">
        <f>SUMIF(116:116,G39,117:117)-SUMIF(116:116,C39,117:117)+100</f>
        <v>100</v>
      </c>
      <c r="I39" s="566" t="s">
        <v>245</v>
      </c>
      <c r="J39" s="256">
        <f>SUMIF(116:116,I39,117:117)-SUMIF(116:116,C39,117:117)+100</f>
        <v>100</v>
      </c>
      <c r="K39" s="913">
        <v>1</v>
      </c>
      <c r="L39" s="402"/>
      <c r="M39" s="390"/>
      <c r="N39" s="390"/>
      <c r="O39" s="401"/>
      <c r="P39" s="3863"/>
      <c r="Q39" s="395" t="str">
        <f t="shared" si="8"/>
        <v>市政基础设施</v>
      </c>
      <c r="R39" s="465" t="s">
        <v>1005</v>
      </c>
      <c r="S39" s="466">
        <f t="shared" si="9"/>
        <v>100</v>
      </c>
      <c r="T39" s="465" t="s">
        <v>1005</v>
      </c>
      <c r="U39" s="466">
        <f t="shared" si="10"/>
        <v>100</v>
      </c>
      <c r="V39" s="465" t="s">
        <v>1005</v>
      </c>
      <c r="W39" s="466">
        <f t="shared" si="11"/>
        <v>100</v>
      </c>
      <c r="X39" s="460"/>
      <c r="Y39" s="3863"/>
      <c r="Z39" s="459" t="str">
        <f t="shared" si="12"/>
        <v>市政基础设施</v>
      </c>
      <c r="AA39" s="471">
        <f t="shared" si="3"/>
        <v>1</v>
      </c>
      <c r="AB39" s="471">
        <f t="shared" si="4"/>
        <v>1</v>
      </c>
      <c r="AC39" s="471">
        <f t="shared" si="5"/>
        <v>1</v>
      </c>
    </row>
    <row r="40" spans="1:29" ht="15">
      <c r="A40" s="302"/>
      <c r="B40" s="298" t="s">
        <v>2481</v>
      </c>
      <c r="C40" s="566"/>
      <c r="D40" s="256">
        <v>100</v>
      </c>
      <c r="E40" s="566"/>
      <c r="F40" s="286">
        <f>SUMIF(118:118,E40,119:119)-SUMIF(118:118,C40,119:119)+100</f>
        <v>100</v>
      </c>
      <c r="G40" s="566"/>
      <c r="H40" s="256">
        <f>SUMIF(118:118,G40,119:119)-SUMIF(118:118,C40,119:119)+100</f>
        <v>100</v>
      </c>
      <c r="I40" s="566"/>
      <c r="J40" s="256">
        <f>SUMIF(118:118,I40,119:119)-SUMIF(118:118,C40,119:119)+100</f>
        <v>100</v>
      </c>
      <c r="K40" s="913"/>
      <c r="L40" s="402"/>
      <c r="M40" s="390"/>
      <c r="N40" s="390"/>
      <c r="O40" s="401"/>
      <c r="P40" s="3863"/>
      <c r="Q40" s="395" t="str">
        <f t="shared" si="8"/>
        <v>房型</v>
      </c>
      <c r="R40" s="465" t="s">
        <v>1005</v>
      </c>
      <c r="S40" s="466">
        <f t="shared" si="9"/>
        <v>100</v>
      </c>
      <c r="T40" s="465" t="s">
        <v>1005</v>
      </c>
      <c r="U40" s="466">
        <f t="shared" si="10"/>
        <v>100</v>
      </c>
      <c r="V40" s="465" t="s">
        <v>1005</v>
      </c>
      <c r="W40" s="466">
        <f t="shared" si="11"/>
        <v>100</v>
      </c>
      <c r="X40" s="460"/>
      <c r="Y40" s="3863"/>
      <c r="Z40" s="459" t="str">
        <f t="shared" si="12"/>
        <v>房型</v>
      </c>
      <c r="AA40" s="471">
        <f t="shared" si="3"/>
        <v>1</v>
      </c>
      <c r="AB40" s="471">
        <f t="shared" si="4"/>
        <v>1</v>
      </c>
      <c r="AC40" s="471">
        <f t="shared" si="5"/>
        <v>1</v>
      </c>
    </row>
    <row r="41" spans="1:29" s="201" customFormat="1" ht="28.5">
      <c r="A41" s="297"/>
      <c r="B41" s="298" t="s">
        <v>2482</v>
      </c>
      <c r="C41" s="3658"/>
      <c r="D41" s="246">
        <v>100</v>
      </c>
      <c r="E41" s="3658"/>
      <c r="F41" s="524">
        <f>SUMIF(120:120,E41,121:121)-SUMIF(120:120,C41,121:121)+100</f>
        <v>100</v>
      </c>
      <c r="G41" s="3658"/>
      <c r="H41" s="246">
        <f>SUMIF(120:120,G41,121:121)-SUMIF(120:120,C41,121:121)+100</f>
        <v>100</v>
      </c>
      <c r="I41" s="3658"/>
      <c r="J41" s="256">
        <f>SUMIF(120:120,I41,121:121)-SUMIF(120:120,C41,121:121)+100</f>
        <v>100</v>
      </c>
      <c r="K41" s="914"/>
      <c r="L41" s="400"/>
      <c r="M41" s="407"/>
      <c r="N41" s="407"/>
      <c r="O41" s="408"/>
      <c r="P41" s="3863"/>
      <c r="Q41" s="467" t="str">
        <f t="shared" si="8"/>
        <v>单套/主力户型建筑面积</v>
      </c>
      <c r="R41" s="468" t="s">
        <v>1005</v>
      </c>
      <c r="S41" s="469">
        <f t="shared" si="9"/>
        <v>100</v>
      </c>
      <c r="T41" s="468" t="s">
        <v>1005</v>
      </c>
      <c r="U41" s="469">
        <f t="shared" si="10"/>
        <v>100</v>
      </c>
      <c r="V41" s="468" t="s">
        <v>1005</v>
      </c>
      <c r="W41" s="469">
        <f t="shared" si="11"/>
        <v>100</v>
      </c>
      <c r="X41" s="470"/>
      <c r="Y41" s="3863"/>
      <c r="Z41" s="482" t="str">
        <f t="shared" si="12"/>
        <v>单套/主力户型建筑面积</v>
      </c>
      <c r="AA41" s="471">
        <f t="shared" si="3"/>
        <v>1</v>
      </c>
      <c r="AB41" s="471">
        <f t="shared" si="4"/>
        <v>1</v>
      </c>
      <c r="AC41" s="471">
        <f t="shared" si="5"/>
        <v>1</v>
      </c>
    </row>
    <row r="42" spans="1:29" ht="15">
      <c r="A42" s="302"/>
      <c r="B42" s="298" t="s">
        <v>2483</v>
      </c>
      <c r="C42" s="566" t="s">
        <v>2691</v>
      </c>
      <c r="D42" s="256">
        <v>100</v>
      </c>
      <c r="E42" s="566" t="s">
        <v>2691</v>
      </c>
      <c r="F42" s="286">
        <f>SUMIF(122:122,E42,123:123)-SUMIF(122:122,C42,123:123)+100</f>
        <v>100</v>
      </c>
      <c r="G42" s="566" t="s">
        <v>2691</v>
      </c>
      <c r="H42" s="256">
        <f>SUMIF(122:122,G42,123:123)-SUMIF(122:122,C42,123:123)+100</f>
        <v>100</v>
      </c>
      <c r="I42" s="566" t="s">
        <v>2691</v>
      </c>
      <c r="J42" s="256">
        <f>SUMIF(122:122,I42,123:123)-SUMIF(122:122,C42,123:123)+100</f>
        <v>100</v>
      </c>
      <c r="K42" s="913">
        <v>2</v>
      </c>
      <c r="L42" s="402"/>
      <c r="M42" s="390"/>
      <c r="N42" s="390"/>
      <c r="O42" s="401"/>
      <c r="P42" s="3863"/>
      <c r="Q42" s="395" t="str">
        <f t="shared" si="8"/>
        <v>内部装修</v>
      </c>
      <c r="R42" s="465" t="s">
        <v>1005</v>
      </c>
      <c r="S42" s="466">
        <f t="shared" si="9"/>
        <v>100</v>
      </c>
      <c r="T42" s="465" t="s">
        <v>1005</v>
      </c>
      <c r="U42" s="466">
        <f t="shared" si="10"/>
        <v>100</v>
      </c>
      <c r="V42" s="465" t="s">
        <v>1005</v>
      </c>
      <c r="W42" s="466">
        <f t="shared" si="11"/>
        <v>100</v>
      </c>
      <c r="X42" s="460"/>
      <c r="Y42" s="3863"/>
      <c r="Z42" s="459" t="str">
        <f t="shared" si="12"/>
        <v>内部装修</v>
      </c>
      <c r="AA42" s="471">
        <f t="shared" si="3"/>
        <v>1</v>
      </c>
      <c r="AB42" s="471">
        <f t="shared" si="4"/>
        <v>1</v>
      </c>
      <c r="AC42" s="471">
        <f t="shared" si="5"/>
        <v>1</v>
      </c>
    </row>
    <row r="43" spans="1:29" ht="27">
      <c r="A43" s="302"/>
      <c r="B43" s="298" t="s">
        <v>233</v>
      </c>
      <c r="C43" s="566" t="s">
        <v>1019</v>
      </c>
      <c r="D43" s="256">
        <v>100</v>
      </c>
      <c r="E43" s="566" t="s">
        <v>1019</v>
      </c>
      <c r="F43" s="286">
        <f>SUMIF(124:124,E43,125:125)-SUMIF(124:124,C43,125:125)+100</f>
        <v>100</v>
      </c>
      <c r="G43" s="566" t="s">
        <v>1019</v>
      </c>
      <c r="H43" s="256">
        <f>SUMIF(124:124,G43,125:125)-SUMIF(124:124,C43,125:125)+100</f>
        <v>100</v>
      </c>
      <c r="I43" s="566" t="s">
        <v>1019</v>
      </c>
      <c r="J43" s="256">
        <f>SUMIF(124:124,I43,125:125)-SUMIF(124:124,C43,125:125)+100</f>
        <v>100</v>
      </c>
      <c r="K43" s="913">
        <v>2</v>
      </c>
      <c r="L43" s="402"/>
      <c r="M43" s="390"/>
      <c r="N43" s="390"/>
      <c r="O43" s="401"/>
      <c r="P43" s="3863"/>
      <c r="Q43" s="395" t="str">
        <f t="shared" si="8"/>
        <v>内部装修维护情况</v>
      </c>
      <c r="R43" s="465" t="s">
        <v>1005</v>
      </c>
      <c r="S43" s="466">
        <f t="shared" si="9"/>
        <v>100</v>
      </c>
      <c r="T43" s="465" t="s">
        <v>1005</v>
      </c>
      <c r="U43" s="466">
        <f t="shared" si="10"/>
        <v>100</v>
      </c>
      <c r="V43" s="465" t="s">
        <v>1005</v>
      </c>
      <c r="W43" s="466">
        <f t="shared" si="11"/>
        <v>100</v>
      </c>
      <c r="X43" s="460"/>
      <c r="Y43" s="3863"/>
      <c r="Z43" s="459" t="str">
        <f t="shared" si="12"/>
        <v>内部装修维护情况</v>
      </c>
      <c r="AA43" s="471">
        <f t="shared" si="3"/>
        <v>1</v>
      </c>
      <c r="AB43" s="471">
        <f t="shared" si="4"/>
        <v>1</v>
      </c>
      <c r="AC43" s="471">
        <f t="shared" si="5"/>
        <v>1</v>
      </c>
    </row>
    <row r="44" spans="1:29" s="199" customFormat="1" ht="15">
      <c r="A44" s="305"/>
      <c r="B44" s="3650"/>
      <c r="C44" s="3659"/>
      <c r="D44" s="246">
        <v>100</v>
      </c>
      <c r="E44" s="3651"/>
      <c r="F44" s="524">
        <f>SUMIF(126:126,E44,127:127)-SUMIF(126:126,C44,127:127)+100</f>
        <v>100</v>
      </c>
      <c r="G44" s="3659"/>
      <c r="H44" s="246">
        <f>SUMIF(126:126,G44,127:127)-SUMIF(126:126,C44,127:127)+100</f>
        <v>100</v>
      </c>
      <c r="I44" s="3659"/>
      <c r="J44" s="246">
        <f>SUMIF(126:126,I44,127:127)-SUMIF(126:126,C44,127:127)+100</f>
        <v>100</v>
      </c>
      <c r="K44" s="914"/>
      <c r="L44" s="392"/>
      <c r="M44" s="393"/>
      <c r="N44" s="393"/>
      <c r="O44" s="394"/>
      <c r="P44" s="3863"/>
      <c r="Q44" s="464">
        <f t="shared" si="8"/>
        <v>0</v>
      </c>
      <c r="R44" s="461" t="s">
        <v>1005</v>
      </c>
      <c r="S44" s="462">
        <f t="shared" si="9"/>
        <v>100</v>
      </c>
      <c r="T44" s="461" t="s">
        <v>1005</v>
      </c>
      <c r="U44" s="462">
        <f t="shared" si="10"/>
        <v>100</v>
      </c>
      <c r="V44" s="461" t="s">
        <v>1005</v>
      </c>
      <c r="W44" s="462">
        <f t="shared" si="11"/>
        <v>100</v>
      </c>
      <c r="X44" s="463"/>
      <c r="Y44" s="3863"/>
      <c r="Z44" s="481">
        <f t="shared" si="12"/>
        <v>0</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4"/>
      <c r="L45" s="402"/>
      <c r="M45" s="390"/>
      <c r="N45" s="390"/>
      <c r="O45" s="401"/>
      <c r="P45" s="3863"/>
      <c r="Q45" s="395">
        <f t="shared" si="8"/>
        <v>111</v>
      </c>
      <c r="R45" s="465" t="s">
        <v>1005</v>
      </c>
      <c r="S45" s="466">
        <f t="shared" si="9"/>
        <v>100</v>
      </c>
      <c r="T45" s="465" t="s">
        <v>1005</v>
      </c>
      <c r="U45" s="466">
        <f t="shared" si="10"/>
        <v>100</v>
      </c>
      <c r="V45" s="465" t="s">
        <v>1005</v>
      </c>
      <c r="W45" s="466">
        <f t="shared" si="11"/>
        <v>100</v>
      </c>
      <c r="X45" s="460"/>
      <c r="Y45" s="3863"/>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4"/>
      <c r="L46" s="402"/>
      <c r="M46" s="390"/>
      <c r="N46" s="390"/>
      <c r="O46" s="401"/>
      <c r="P46" s="3974"/>
      <c r="Q46" s="395">
        <f t="shared" si="8"/>
        <v>111</v>
      </c>
      <c r="R46" s="465" t="s">
        <v>1005</v>
      </c>
      <c r="S46" s="466">
        <f t="shared" si="9"/>
        <v>100</v>
      </c>
      <c r="T46" s="465" t="s">
        <v>1005</v>
      </c>
      <c r="U46" s="466">
        <f t="shared" si="10"/>
        <v>100</v>
      </c>
      <c r="V46" s="465" t="s">
        <v>1005</v>
      </c>
      <c r="W46" s="466">
        <f t="shared" si="11"/>
        <v>100</v>
      </c>
      <c r="X46" s="460"/>
      <c r="Y46" s="3974"/>
      <c r="Z46" s="459">
        <f t="shared" si="12"/>
        <v>111</v>
      </c>
      <c r="AA46" s="471">
        <f t="shared" si="3"/>
        <v>1</v>
      </c>
      <c r="AB46" s="471">
        <f t="shared" si="4"/>
        <v>1</v>
      </c>
      <c r="AC46" s="471">
        <f t="shared" si="5"/>
        <v>1</v>
      </c>
    </row>
    <row r="47" spans="1:29" ht="15">
      <c r="A47" s="312" t="s">
        <v>2484</v>
      </c>
      <c r="B47" s="313"/>
      <c r="C47" s="314" t="s">
        <v>138</v>
      </c>
      <c r="D47" s="315"/>
      <c r="E47" s="316">
        <v>26228</v>
      </c>
      <c r="F47" s="317"/>
      <c r="G47" s="318">
        <v>28186</v>
      </c>
      <c r="H47" s="319"/>
      <c r="I47" s="316">
        <v>26962</v>
      </c>
      <c r="J47" s="319"/>
      <c r="K47" s="919"/>
      <c r="L47" s="410"/>
      <c r="M47" s="340"/>
      <c r="N47" s="390"/>
      <c r="O47" s="340"/>
      <c r="P47" s="3858" t="str">
        <f>A47</f>
        <v>成交单价（元/平方米）</v>
      </c>
      <c r="Q47" s="3858"/>
      <c r="R47" s="3973">
        <f>E47</f>
        <v>26228</v>
      </c>
      <c r="S47" s="3973"/>
      <c r="T47" s="3973">
        <f>G47</f>
        <v>28186</v>
      </c>
      <c r="U47" s="3973"/>
      <c r="V47" s="3973">
        <f>I47</f>
        <v>26962</v>
      </c>
      <c r="W47" s="3973"/>
      <c r="X47" s="342"/>
      <c r="Y47" s="483"/>
      <c r="Z47" s="342"/>
      <c r="AA47" s="342"/>
      <c r="AB47" s="342"/>
      <c r="AC47" s="342"/>
    </row>
    <row r="48" spans="1:29" ht="15">
      <c r="A48" s="320" t="s">
        <v>1037</v>
      </c>
      <c r="B48" s="321"/>
      <c r="C48" s="322">
        <f>R49</f>
        <v>26243</v>
      </c>
      <c r="D48" s="323" t="s">
        <v>1038</v>
      </c>
      <c r="E48" s="324">
        <f>R48</f>
        <v>25724</v>
      </c>
      <c r="F48" s="325"/>
      <c r="G48" s="322">
        <f>T48</f>
        <v>26560</v>
      </c>
      <c r="H48" s="325"/>
      <c r="I48" s="324">
        <f>V48</f>
        <v>26444</v>
      </c>
      <c r="J48" s="325"/>
      <c r="K48" s="411">
        <f>F48+H48+J48</f>
        <v>0</v>
      </c>
      <c r="L48" s="410"/>
      <c r="M48" s="340"/>
      <c r="N48" s="340"/>
      <c r="O48" s="340"/>
      <c r="P48" s="3858" t="str">
        <f>A48</f>
        <v>比较价格（元/平方米）</v>
      </c>
      <c r="Q48" s="3858"/>
      <c r="R48" s="3973">
        <f>IF(F1="售价",ROUND(PRODUCT(R47,AA7:AA46),0),ROUND(PRODUCT(R47,AA7:AA46),1))</f>
        <v>25724</v>
      </c>
      <c r="S48" s="3973"/>
      <c r="T48" s="3973">
        <f>IF(F1="售价",ROUND(PRODUCT(T47,AB7:AB46),0),ROUND(PRODUCT(T47,AB7:AB46),1))</f>
        <v>26560</v>
      </c>
      <c r="U48" s="3973"/>
      <c r="V48" s="3973">
        <f>IF(F1="售价",ROUND(PRODUCT(V47,AC7:AC46),0),ROUND(PRODUCT(V47,AC7:AC46),1))</f>
        <v>26444</v>
      </c>
      <c r="W48" s="3973"/>
      <c r="X48" s="342"/>
      <c r="Y48" s="342"/>
      <c r="Z48" s="342"/>
      <c r="AA48" s="342"/>
      <c r="AB48" s="342"/>
      <c r="AC48" s="342"/>
    </row>
    <row r="49" spans="1:29" ht="15">
      <c r="A49" s="326" t="s">
        <v>1039</v>
      </c>
      <c r="B49" s="327"/>
      <c r="C49" s="328">
        <f>R49</f>
        <v>26243</v>
      </c>
      <c r="D49" s="328"/>
      <c r="E49" s="328"/>
      <c r="F49" s="328"/>
      <c r="G49" s="328"/>
      <c r="H49" s="328"/>
      <c r="I49" s="328"/>
      <c r="J49" s="328"/>
      <c r="K49" s="920"/>
      <c r="L49" s="410"/>
      <c r="M49" s="340"/>
      <c r="N49" s="340"/>
      <c r="O49" s="340"/>
      <c r="P49" s="3884" t="str">
        <f>A49</f>
        <v>估价对象XX用房的比较价格（楼面单价，元/平方米）</v>
      </c>
      <c r="Q49" s="3885"/>
      <c r="R49" s="3975">
        <f>IF(F1="售价",ROUND(IF(D48="简单平均",AVERAGE(R48:V48),R48*F48+T48*H48+V48*J48),0),ROUND(IF(D48="简单平均",AVERAGE(R48:V48),R48*F48+T48*H48+V48*J48),1))</f>
        <v>26243</v>
      </c>
      <c r="S49" s="3975"/>
      <c r="T49" s="3975"/>
      <c r="U49" s="3975"/>
      <c r="V49" s="3975"/>
      <c r="W49" s="397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f>IF(E47&lt;E48,E48/E47-1,E47/E48-1)</f>
        <v>1.959259835173377E-2</v>
      </c>
      <c r="F52" s="334" t="str">
        <f>IF(OR(E52&gt;=0.3,E52&lt;=-0.3),"超过30%","")</f>
        <v/>
      </c>
      <c r="G52" s="333">
        <f>IF(G47&lt;G48,G48/G47-1,G47/G48-1)</f>
        <v>6.1219879518072284E-2</v>
      </c>
      <c r="H52" s="334" t="str">
        <f>IF(OR(G52&gt;=0.3,G52&lt;=-0.3),"超过30%","")</f>
        <v/>
      </c>
      <c r="I52" s="333">
        <f>IF(I47&lt;I48,I48/I47-1,I47/I48-1)</f>
        <v>1.9588564513689288E-2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f>IF(E48&lt;G48,G48/E48-1,E48/G48-1)</f>
        <v>3.2498833773907609E-2</v>
      </c>
      <c r="F53" s="334" t="str">
        <f>IF(OR(E53&gt;=0.2,E53&lt;=-0.2),"超过20%","")</f>
        <v/>
      </c>
      <c r="G53" s="333">
        <f>IF(G48&lt;I48,I48/G48-1,G48/I48-1)</f>
        <v>4.3866283466948985E-3</v>
      </c>
      <c r="H53" s="334" t="str">
        <f>IF(OR(G53&gt;=0.2,G53&lt;=-0.2),"超过20%","")</f>
        <v/>
      </c>
      <c r="I53" s="333">
        <f>IF(I48&lt;E48,E48/I48-1,I48/E48-1)</f>
        <v>2.7989426216762592E-2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f>IF(E47&lt;G47,G47/E47-1,E47/G47-1)</f>
        <v>7.4653042549946536E-2</v>
      </c>
      <c r="F54" s="334" t="str">
        <f>IF(OR(E54&gt;=0.3,E54&lt;=-0.3),"超过30%","")</f>
        <v/>
      </c>
      <c r="G54" s="333">
        <f>IF(G47&lt;I47,I47/G47-1,G47/I47-1)</f>
        <v>4.5397225725094525E-2</v>
      </c>
      <c r="H54" s="334" t="str">
        <f>IF(OR(G54&gt;=0.3,G54&lt;=-0.3),"超过30%","")</f>
        <v/>
      </c>
      <c r="I54" s="333">
        <f>IF(I47&lt;E47,E47/I47-1,I47/E47-1)</f>
        <v>2.798535915815159E-2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8"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1067</v>
      </c>
      <c r="B63" s="361" t="s">
        <v>1068</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4"/>
      <c r="F64" s="904"/>
      <c r="G64" s="904"/>
      <c r="H64" s="904"/>
      <c r="I64" s="904"/>
      <c r="J64" s="904"/>
      <c r="K64" s="904"/>
      <c r="L64" s="904"/>
      <c r="M64" s="921"/>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0（含）-1</v>
      </c>
      <c r="D67" s="526" t="str">
        <f t="shared" ref="D67:L67" si="14">D68&amp;"（含）"&amp;"-"&amp;E68</f>
        <v>1（含）-2</v>
      </c>
      <c r="E67" s="526" t="str">
        <f t="shared" si="14"/>
        <v>2（含）-3</v>
      </c>
      <c r="F67" s="526" t="str">
        <f t="shared" si="14"/>
        <v>3（含）-4</v>
      </c>
      <c r="G67" s="526" t="str">
        <f t="shared" si="14"/>
        <v>4（含）-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v>0</v>
      </c>
      <c r="D68" s="371">
        <v>1</v>
      </c>
      <c r="E68" s="371">
        <v>2</v>
      </c>
      <c r="F68" s="371">
        <v>3</v>
      </c>
      <c r="G68" s="371">
        <v>4</v>
      </c>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99</v>
      </c>
      <c r="E69" s="378">
        <f t="shared" si="15"/>
        <v>98</v>
      </c>
      <c r="F69" s="378">
        <f t="shared" si="15"/>
        <v>97</v>
      </c>
      <c r="G69" s="378">
        <f t="shared" si="15"/>
        <v>96</v>
      </c>
      <c r="H69" s="378">
        <f t="shared" si="15"/>
        <v>95</v>
      </c>
      <c r="I69" s="378">
        <f t="shared" si="15"/>
        <v>94</v>
      </c>
      <c r="J69" s="378">
        <f t="shared" si="15"/>
        <v>93</v>
      </c>
      <c r="K69" s="378">
        <f t="shared" si="15"/>
        <v>92</v>
      </c>
      <c r="L69" s="378">
        <f t="shared" si="15"/>
        <v>91</v>
      </c>
      <c r="M69" s="455">
        <f t="shared" si="15"/>
        <v>90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98</v>
      </c>
      <c r="E77" s="378">
        <f>D77-$K15</f>
        <v>96</v>
      </c>
      <c r="F77" s="378">
        <f>E77-$K15</f>
        <v>94</v>
      </c>
      <c r="G77" s="378">
        <f>F77-$K15</f>
        <v>92</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2470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2471</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652" t="s">
        <v>2672</v>
      </c>
      <c r="D90" s="3652" t="s">
        <v>2673</v>
      </c>
      <c r="E90" s="3652" t="s">
        <v>2674</v>
      </c>
      <c r="F90" s="3652" t="s">
        <v>2675</v>
      </c>
      <c r="G90" s="3652" t="s">
        <v>2676</v>
      </c>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653">
        <v>100</v>
      </c>
      <c r="D91" s="3653">
        <f>C91-1</f>
        <v>99</v>
      </c>
      <c r="E91" s="3653">
        <f t="shared" ref="E91:G91" si="18">D91-1</f>
        <v>98</v>
      </c>
      <c r="F91" s="3653">
        <f t="shared" si="18"/>
        <v>97</v>
      </c>
      <c r="G91" s="3653">
        <f t="shared" si="18"/>
        <v>96</v>
      </c>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31"/>
      <c r="D97" s="531"/>
      <c r="E97" s="531"/>
      <c r="F97" s="531"/>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33"/>
      <c r="D98" s="533"/>
      <c r="E98" s="533"/>
      <c r="F98" s="533"/>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5"/>
      <c r="D99" s="535"/>
      <c r="E99" s="535"/>
      <c r="F99" s="535"/>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2473</v>
      </c>
      <c r="C100" s="3654" t="s">
        <v>2677</v>
      </c>
      <c r="D100" s="3654" t="s">
        <v>2678</v>
      </c>
      <c r="E100" s="3654" t="s">
        <v>2679</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9">C101-$K32</f>
        <v>100</v>
      </c>
      <c r="E101" s="378">
        <f t="shared" si="19"/>
        <v>100</v>
      </c>
      <c r="F101" s="378">
        <f t="shared" si="19"/>
        <v>100</v>
      </c>
      <c r="G101" s="378">
        <f t="shared" si="19"/>
        <v>100</v>
      </c>
      <c r="H101" s="378">
        <f t="shared" si="19"/>
        <v>100</v>
      </c>
      <c r="I101" s="378">
        <f t="shared" si="19"/>
        <v>100</v>
      </c>
      <c r="J101" s="378">
        <f t="shared" si="19"/>
        <v>100</v>
      </c>
      <c r="K101" s="378">
        <f t="shared" si="19"/>
        <v>100</v>
      </c>
      <c r="L101" s="378">
        <f t="shared" si="19"/>
        <v>100</v>
      </c>
      <c r="M101" s="378">
        <f t="shared" si="19"/>
        <v>100</v>
      </c>
      <c r="N101" s="439"/>
      <c r="O101" s="439"/>
      <c r="P101" s="437"/>
      <c r="Q101" s="426"/>
      <c r="R101" s="340"/>
      <c r="S101" s="340"/>
      <c r="T101" s="340"/>
      <c r="U101" s="340"/>
      <c r="V101" s="340"/>
      <c r="W101" s="340"/>
      <c r="X101" s="340"/>
      <c r="Y101" s="340"/>
      <c r="Z101" s="340"/>
      <c r="AA101" s="340"/>
      <c r="AB101" s="340"/>
      <c r="AC101" s="340"/>
    </row>
    <row r="102" spans="1:29" ht="28.5">
      <c r="A102" s="364"/>
      <c r="B102" s="367" t="s">
        <v>2474</v>
      </c>
      <c r="C102" s="380" t="str">
        <f>C103&amp;"(含)"&amp;"-"&amp;D103</f>
        <v>0(含)-100000</v>
      </c>
      <c r="D102" s="380" t="str">
        <f t="shared" ref="D102:L102" si="20">D103&amp;"(含)"&amp;"-"&amp;E103</f>
        <v>100000(含)-150000</v>
      </c>
      <c r="E102" s="380" t="str">
        <f t="shared" si="20"/>
        <v>150000(含)-200000</v>
      </c>
      <c r="F102" s="380" t="str">
        <f t="shared" si="20"/>
        <v>200000(含)-</v>
      </c>
      <c r="G102" s="380" t="str">
        <f t="shared" si="20"/>
        <v>(含)-</v>
      </c>
      <c r="H102" s="380" t="str">
        <f t="shared" si="20"/>
        <v>(含)-</v>
      </c>
      <c r="I102" s="380" t="str">
        <f t="shared" si="20"/>
        <v>(含)-</v>
      </c>
      <c r="J102" s="380" t="str">
        <f t="shared" si="20"/>
        <v>(含)-</v>
      </c>
      <c r="K102" s="380" t="str">
        <f t="shared" si="20"/>
        <v>(含)-</v>
      </c>
      <c r="L102" s="380" t="str">
        <f t="shared" si="20"/>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v>0</v>
      </c>
      <c r="D103" s="491">
        <v>100000</v>
      </c>
      <c r="E103" s="491">
        <v>150000</v>
      </c>
      <c r="F103" s="491">
        <v>200000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C104+2</f>
        <v>102</v>
      </c>
      <c r="E104" s="366">
        <f t="shared" ref="E104:F104" si="21">D104+2</f>
        <v>104</v>
      </c>
      <c r="F104" s="366">
        <f t="shared" si="21"/>
        <v>106</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652" t="s">
        <v>2680</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C106-$K34</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c r="A107" s="490"/>
      <c r="B107" s="367" t="s">
        <v>2476</v>
      </c>
      <c r="C107" s="3655" t="s">
        <v>2681</v>
      </c>
      <c r="D107" s="3655" t="s">
        <v>2682</v>
      </c>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C108-$K35</f>
        <v>98</v>
      </c>
      <c r="E108" s="378">
        <f t="shared" si="23"/>
        <v>96</v>
      </c>
      <c r="F108" s="378">
        <f t="shared" si="23"/>
        <v>94</v>
      </c>
      <c r="G108" s="378">
        <f t="shared" si="23"/>
        <v>92</v>
      </c>
      <c r="H108" s="378">
        <f t="shared" si="23"/>
        <v>90</v>
      </c>
      <c r="I108" s="378">
        <f t="shared" si="23"/>
        <v>88</v>
      </c>
      <c r="J108" s="378">
        <f t="shared" si="23"/>
        <v>86</v>
      </c>
      <c r="K108" s="378">
        <f t="shared" si="23"/>
        <v>84</v>
      </c>
      <c r="L108" s="378">
        <f t="shared" si="23"/>
        <v>82</v>
      </c>
      <c r="M108" s="378">
        <f t="shared" si="23"/>
        <v>80</v>
      </c>
      <c r="N108" s="439"/>
      <c r="O108" s="439"/>
      <c r="P108" s="437"/>
      <c r="Q108" s="426"/>
      <c r="R108" s="340"/>
      <c r="S108" s="340"/>
      <c r="T108" s="340"/>
      <c r="U108" s="340"/>
      <c r="V108" s="340"/>
      <c r="W108" s="340"/>
      <c r="X108" s="340"/>
      <c r="Y108" s="340"/>
      <c r="Z108" s="340"/>
      <c r="AA108" s="340"/>
      <c r="AB108" s="340"/>
      <c r="AC108" s="340"/>
    </row>
    <row r="109" spans="1:29">
      <c r="A109" s="490"/>
      <c r="B109" s="367" t="s">
        <v>2477</v>
      </c>
      <c r="C109" s="3652" t="s">
        <v>2683</v>
      </c>
      <c r="D109" s="3652" t="s">
        <v>2684</v>
      </c>
      <c r="E109" s="3652" t="s">
        <v>2685</v>
      </c>
      <c r="F109" s="3655" t="s">
        <v>2686</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98</v>
      </c>
      <c r="E110" s="378">
        <f t="shared" si="24"/>
        <v>96</v>
      </c>
      <c r="F110" s="378">
        <f t="shared" si="24"/>
        <v>94</v>
      </c>
      <c r="G110" s="378">
        <f t="shared" si="24"/>
        <v>92</v>
      </c>
      <c r="H110" s="378">
        <f t="shared" si="24"/>
        <v>90</v>
      </c>
      <c r="I110" s="378">
        <f t="shared" si="24"/>
        <v>88</v>
      </c>
      <c r="J110" s="378">
        <f t="shared" si="24"/>
        <v>86</v>
      </c>
      <c r="K110" s="378">
        <f t="shared" si="24"/>
        <v>84</v>
      </c>
      <c r="L110" s="378">
        <f t="shared" si="24"/>
        <v>82</v>
      </c>
      <c r="M110" s="378">
        <f t="shared" si="24"/>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2478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4"/>
      <c r="K111" s="924"/>
      <c r="L111" s="925"/>
      <c r="M111" s="92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27"/>
      <c r="K112" s="927"/>
      <c r="L112" s="928"/>
      <c r="M112" s="92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930"/>
      <c r="K113" s="930"/>
      <c r="L113" s="930"/>
      <c r="M113" s="931"/>
      <c r="N113" s="448"/>
      <c r="O113" s="448"/>
      <c r="P113" s="449"/>
      <c r="Q113" s="474"/>
      <c r="R113" s="475"/>
      <c r="S113" s="475"/>
      <c r="T113" s="475"/>
      <c r="U113" s="475"/>
      <c r="V113" s="475"/>
      <c r="W113" s="475"/>
      <c r="X113" s="475"/>
      <c r="Y113" s="475"/>
      <c r="Z113" s="475"/>
      <c r="AA113" s="475"/>
      <c r="AB113" s="475"/>
      <c r="AC113" s="475"/>
    </row>
    <row r="114" spans="1:29">
      <c r="A114" s="490"/>
      <c r="B114" s="367" t="s">
        <v>2479</v>
      </c>
      <c r="C114" s="3652" t="s">
        <v>2687</v>
      </c>
      <c r="D114" s="3652" t="s">
        <v>2688</v>
      </c>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98</v>
      </c>
      <c r="E115" s="378">
        <f t="shared" si="25"/>
        <v>96</v>
      </c>
      <c r="F115" s="378">
        <f t="shared" si="25"/>
        <v>94</v>
      </c>
      <c r="G115" s="378">
        <f t="shared" si="25"/>
        <v>92</v>
      </c>
      <c r="H115" s="378">
        <f t="shared" si="25"/>
        <v>90</v>
      </c>
      <c r="I115" s="378">
        <f t="shared" si="25"/>
        <v>88</v>
      </c>
      <c r="J115" s="378">
        <f t="shared" si="25"/>
        <v>86</v>
      </c>
      <c r="K115" s="378">
        <f t="shared" si="25"/>
        <v>84</v>
      </c>
      <c r="L115" s="378">
        <f t="shared" si="25"/>
        <v>82</v>
      </c>
      <c r="M115" s="378">
        <f t="shared" si="25"/>
        <v>80</v>
      </c>
      <c r="N115" s="439"/>
      <c r="O115" s="439"/>
      <c r="P115" s="437"/>
      <c r="Q115" s="426"/>
      <c r="R115" s="340"/>
      <c r="S115" s="340"/>
      <c r="T115" s="340"/>
      <c r="U115" s="340"/>
      <c r="V115" s="340"/>
      <c r="W115" s="340"/>
      <c r="X115" s="340"/>
      <c r="Y115" s="340"/>
      <c r="Z115" s="340"/>
      <c r="AA115" s="340"/>
      <c r="AB115" s="340"/>
      <c r="AC115" s="340"/>
    </row>
    <row r="116" spans="1:29">
      <c r="A116" s="490"/>
      <c r="B116" s="379" t="s">
        <v>2480</v>
      </c>
      <c r="C116" s="3656" t="str">
        <f>C82</f>
        <v>七通</v>
      </c>
      <c r="D116" s="3656" t="str">
        <f>D82</f>
        <v>六通</v>
      </c>
      <c r="E116" s="3656" t="str">
        <f>E82</f>
        <v>五通</v>
      </c>
      <c r="F116" s="3656" t="str">
        <f>F82</f>
        <v>四通</v>
      </c>
      <c r="G116" s="3656" t="str">
        <f>G82</f>
        <v>三通</v>
      </c>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2481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6">C119-$K40</f>
        <v>100</v>
      </c>
      <c r="E119" s="378">
        <f t="shared" si="26"/>
        <v>100</v>
      </c>
      <c r="F119" s="378">
        <f t="shared" si="26"/>
        <v>100</v>
      </c>
      <c r="G119" s="378">
        <f t="shared" si="26"/>
        <v>100</v>
      </c>
      <c r="H119" s="378">
        <f t="shared" si="26"/>
        <v>100</v>
      </c>
      <c r="I119" s="378">
        <f t="shared" si="26"/>
        <v>100</v>
      </c>
      <c r="J119" s="378">
        <f t="shared" si="26"/>
        <v>100</v>
      </c>
      <c r="K119" s="378">
        <f t="shared" si="26"/>
        <v>100</v>
      </c>
      <c r="L119" s="378">
        <f t="shared" si="26"/>
        <v>100</v>
      </c>
      <c r="M119" s="378">
        <f t="shared" si="26"/>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2482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652" t="s">
        <v>2683</v>
      </c>
      <c r="D122" s="3652" t="s">
        <v>2684</v>
      </c>
      <c r="E122" s="3652" t="s">
        <v>2685</v>
      </c>
      <c r="F122" s="3655" t="s">
        <v>2686</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98</v>
      </c>
      <c r="E123" s="378">
        <f t="shared" si="27"/>
        <v>96</v>
      </c>
      <c r="F123" s="378">
        <f t="shared" si="27"/>
        <v>94</v>
      </c>
      <c r="G123" s="378">
        <f t="shared" si="27"/>
        <v>92</v>
      </c>
      <c r="H123" s="378">
        <f t="shared" si="27"/>
        <v>90</v>
      </c>
      <c r="I123" s="378">
        <f t="shared" si="27"/>
        <v>88</v>
      </c>
      <c r="J123" s="378">
        <f t="shared" si="27"/>
        <v>86</v>
      </c>
      <c r="K123" s="378">
        <f t="shared" si="27"/>
        <v>84</v>
      </c>
      <c r="L123" s="378">
        <f t="shared" si="27"/>
        <v>82</v>
      </c>
      <c r="M123" s="378">
        <f t="shared" si="27"/>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98</v>
      </c>
      <c r="E125" s="378">
        <f>D125-$K43</f>
        <v>96</v>
      </c>
      <c r="F125" s="378">
        <f>E125-$K43</f>
        <v>94</v>
      </c>
      <c r="G125" s="378">
        <f>F125-$K43</f>
        <v>92</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0</v>
      </c>
      <c r="C126" s="2358" t="s">
        <v>2671</v>
      </c>
      <c r="D126" s="2358" t="s">
        <v>2670</v>
      </c>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v>100</v>
      </c>
      <c r="D127" s="366">
        <v>98</v>
      </c>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2" t="s">
        <v>2485</v>
      </c>
      <c r="C136" s="933"/>
      <c r="D136" s="933"/>
      <c r="E136" s="933"/>
      <c r="F136" s="933"/>
      <c r="G136" s="933"/>
      <c r="H136" s="933"/>
      <c r="I136" s="933"/>
      <c r="J136" s="933"/>
      <c r="K136" s="96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4" t="s">
        <v>2486</v>
      </c>
      <c r="C137" s="935"/>
      <c r="D137" s="935"/>
      <c r="E137" s="935"/>
      <c r="F137" s="935"/>
      <c r="G137" s="936"/>
      <c r="H137" s="937"/>
      <c r="I137" s="965" t="s">
        <v>2487</v>
      </c>
      <c r="J137" s="935"/>
      <c r="K137" s="96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38"/>
      <c r="C138" s="939" t="s">
        <v>2488</v>
      </c>
      <c r="D138" s="939" t="s">
        <v>2489</v>
      </c>
      <c r="E138" s="940" t="s">
        <v>2490</v>
      </c>
      <c r="F138" s="941" t="s">
        <v>2491</v>
      </c>
      <c r="G138" s="939" t="s">
        <v>2489</v>
      </c>
      <c r="H138" s="942" t="s">
        <v>2490</v>
      </c>
      <c r="I138" s="967"/>
      <c r="J138" s="939" t="s">
        <v>2492</v>
      </c>
      <c r="K138" s="942" t="s">
        <v>2493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3">
        <v>6</v>
      </c>
      <c r="C139" s="944">
        <v>96</v>
      </c>
      <c r="D139" s="945" t="s">
        <v>2494</v>
      </c>
      <c r="E139" s="946">
        <v>100</v>
      </c>
      <c r="F139" s="947">
        <v>102.5</v>
      </c>
      <c r="G139" s="945" t="s">
        <v>2494</v>
      </c>
      <c r="H139" s="948">
        <v>105</v>
      </c>
      <c r="I139" s="968" t="s">
        <v>2495</v>
      </c>
      <c r="J139" s="944">
        <v>20</v>
      </c>
      <c r="K139" s="96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49">
        <v>5</v>
      </c>
      <c r="C140" s="950">
        <v>100</v>
      </c>
      <c r="D140" s="951"/>
      <c r="E140" s="952"/>
      <c r="F140" s="953">
        <v>102</v>
      </c>
      <c r="G140" s="951"/>
      <c r="H140" s="954"/>
      <c r="I140" s="970" t="s">
        <v>2496</v>
      </c>
      <c r="J140" s="827">
        <f>ROUNDUP((J139-1)/2,0)</f>
        <v>10</v>
      </c>
      <c r="K140" s="848">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49">
        <v>4</v>
      </c>
      <c r="C141" s="950">
        <v>102</v>
      </c>
      <c r="D141" s="951"/>
      <c r="E141" s="952"/>
      <c r="F141" s="953">
        <v>101.5</v>
      </c>
      <c r="G141" s="951"/>
      <c r="H141" s="954"/>
      <c r="I141" s="970" t="s">
        <v>2497</v>
      </c>
      <c r="J141" s="827">
        <v>1</v>
      </c>
      <c r="K141" s="971">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49">
        <v>3</v>
      </c>
      <c r="C142" s="950">
        <v>103</v>
      </c>
      <c r="D142" s="951"/>
      <c r="E142" s="952"/>
      <c r="F142" s="953">
        <v>101</v>
      </c>
      <c r="G142" s="951"/>
      <c r="H142" s="954"/>
      <c r="I142" s="970" t="s">
        <v>2498</v>
      </c>
      <c r="J142" s="827">
        <f>J139</f>
        <v>20</v>
      </c>
      <c r="K142" s="972">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49">
        <v>2</v>
      </c>
      <c r="C143" s="950">
        <v>100</v>
      </c>
      <c r="D143" s="951"/>
      <c r="E143" s="952"/>
      <c r="F143" s="953">
        <v>100.5</v>
      </c>
      <c r="G143" s="951"/>
      <c r="H143" s="954"/>
      <c r="I143" s="970" t="s">
        <v>1262</v>
      </c>
      <c r="J143" s="950">
        <v>15</v>
      </c>
      <c r="K143" s="971">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49">
        <v>1</v>
      </c>
      <c r="C144" s="950">
        <v>98</v>
      </c>
      <c r="D144" s="955" t="s">
        <v>2499</v>
      </c>
      <c r="E144" s="952">
        <v>102</v>
      </c>
      <c r="F144" s="956">
        <v>100</v>
      </c>
      <c r="G144" s="955" t="s">
        <v>2499</v>
      </c>
      <c r="H144" s="954">
        <v>105</v>
      </c>
      <c r="I144" s="970" t="s">
        <v>1262</v>
      </c>
      <c r="J144" s="950">
        <v>18</v>
      </c>
      <c r="K144" s="971">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57" t="s">
        <v>2500</v>
      </c>
      <c r="C145" s="958">
        <f>ROUND(MAX(C139:C144)/MIN(C139:C144)-1,3)</f>
        <v>7.2999999999999995E-2</v>
      </c>
      <c r="D145" s="959"/>
      <c r="E145" s="959"/>
      <c r="F145" s="960" t="s">
        <v>2501</v>
      </c>
      <c r="G145" s="961"/>
      <c r="H145" s="962"/>
      <c r="I145" s="973" t="s">
        <v>1262</v>
      </c>
      <c r="J145" s="974">
        <v>8</v>
      </c>
      <c r="K145" s="975">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3" t="s">
        <v>2502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3" t="s">
        <v>2503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34" sqref="L34"/>
    </sheetView>
  </sheetViews>
  <sheetFormatPr defaultColWidth="9" defaultRowHeight="15"/>
  <cols>
    <col min="1" max="1" width="9" style="624"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5.875" style="623" customWidth="1"/>
    <col min="16" max="16" width="27.625" style="623" customWidth="1"/>
    <col min="17" max="17" width="13.75" style="627" customWidth="1"/>
    <col min="18" max="18" width="23.5" style="623" customWidth="1"/>
    <col min="19" max="19" width="1.5" style="623" customWidth="1"/>
    <col min="20" max="33" width="9" style="623"/>
    <col min="34" max="16384" width="9" style="624"/>
  </cols>
  <sheetData>
    <row r="1" spans="1:33" s="621" customFormat="1" ht="21">
      <c r="A1" s="628" t="s">
        <v>2504</v>
      </c>
      <c r="B1" s="629"/>
      <c r="C1" s="630" t="s">
        <v>437</v>
      </c>
      <c r="D1" s="631" t="s">
        <v>138</v>
      </c>
      <c r="E1" s="632" t="s">
        <v>617</v>
      </c>
      <c r="F1" s="633">
        <f ca="1">J53</f>
        <v>48.82</v>
      </c>
      <c r="G1" s="634">
        <f>MATCH(C1,'数据-取费表'!A6:A16,0)+5</f>
        <v>7</v>
      </c>
      <c r="H1" s="635"/>
      <c r="I1" s="779"/>
      <c r="J1" s="779"/>
      <c r="K1" s="780"/>
      <c r="L1" s="779"/>
      <c r="M1" s="779"/>
      <c r="N1" s="781"/>
      <c r="O1" s="781"/>
      <c r="P1" s="781"/>
      <c r="Q1" s="880"/>
      <c r="R1" s="781"/>
      <c r="S1" s="781"/>
      <c r="T1" s="781"/>
      <c r="U1" s="781"/>
      <c r="V1" s="781"/>
      <c r="W1" s="781"/>
      <c r="X1" s="781"/>
      <c r="Y1" s="781"/>
      <c r="Z1" s="781"/>
      <c r="AA1" s="781"/>
      <c r="AB1" s="781"/>
      <c r="AC1" s="781"/>
      <c r="AD1" s="781"/>
      <c r="AE1" s="781"/>
      <c r="AF1" s="781"/>
      <c r="AG1" s="781"/>
    </row>
    <row r="2" spans="1:33" ht="18" customHeight="1">
      <c r="A2" s="214" t="s">
        <v>942</v>
      </c>
      <c r="B2" s="125">
        <f ca="1">C40+J29+L46</f>
        <v>-3744</v>
      </c>
      <c r="C2" s="636"/>
      <c r="D2" s="637"/>
      <c r="E2" s="638"/>
      <c r="F2" s="638"/>
      <c r="G2" s="639"/>
      <c r="H2" s="640"/>
      <c r="I2" s="640"/>
      <c r="J2" s="640"/>
      <c r="K2" s="782"/>
      <c r="L2" s="640"/>
      <c r="M2" s="640"/>
    </row>
    <row r="3" spans="1:33" ht="18" customHeight="1">
      <c r="A3" s="641" t="s">
        <v>2467</v>
      </c>
      <c r="B3" s="642">
        <f ca="1">IF(ISERROR(B2*10000/F43),0,ROUND(B2*10000/F43,0))</f>
        <v>-805</v>
      </c>
      <c r="C3" s="636"/>
      <c r="D3" s="637"/>
      <c r="E3" s="638"/>
      <c r="F3" s="638"/>
      <c r="G3" s="639"/>
      <c r="H3" s="643" t="s">
        <v>2020</v>
      </c>
      <c r="I3" s="783"/>
      <c r="J3" s="783"/>
      <c r="K3" s="784"/>
      <c r="L3" s="783"/>
      <c r="M3" s="783"/>
    </row>
    <row r="4" spans="1:33" ht="18" customHeight="1">
      <c r="A4" s="644" t="s">
        <v>2021</v>
      </c>
      <c r="B4" s="645" t="s">
        <v>2022</v>
      </c>
      <c r="C4" s="645" t="s">
        <v>2023</v>
      </c>
      <c r="D4" s="645" t="s">
        <v>2024</v>
      </c>
      <c r="E4" s="646" t="s">
        <v>2025</v>
      </c>
      <c r="F4" s="647"/>
      <c r="G4" s="648"/>
      <c r="H4" s="644" t="s">
        <v>2021</v>
      </c>
      <c r="I4" s="645" t="s">
        <v>2022</v>
      </c>
      <c r="J4" s="645" t="s">
        <v>2023</v>
      </c>
      <c r="K4" s="645" t="s">
        <v>2024</v>
      </c>
      <c r="L4" s="646" t="s">
        <v>2025</v>
      </c>
      <c r="M4" s="647"/>
    </row>
    <row r="5" spans="1:33" ht="18" customHeight="1">
      <c r="A5" s="649">
        <v>1</v>
      </c>
      <c r="B5" s="650" t="s">
        <v>2026</v>
      </c>
      <c r="C5" s="651">
        <f ca="1">C6+C10+C12</f>
        <v>0</v>
      </c>
      <c r="D5" s="652" t="s">
        <v>2027</v>
      </c>
      <c r="E5" s="653"/>
      <c r="F5" s="654"/>
      <c r="G5" s="648"/>
      <c r="H5" s="649">
        <v>1</v>
      </c>
      <c r="I5" s="650" t="s">
        <v>2026</v>
      </c>
      <c r="J5" s="651">
        <f ca="1">J6+J10+J12</f>
        <v>0</v>
      </c>
      <c r="K5" s="652" t="s">
        <v>2027</v>
      </c>
      <c r="L5" s="653"/>
      <c r="M5" s="654"/>
    </row>
    <row r="6" spans="1:33" ht="18" customHeight="1">
      <c r="A6" s="655" t="s">
        <v>879</v>
      </c>
      <c r="B6" s="3947" t="s">
        <v>2028</v>
      </c>
      <c r="C6" s="656">
        <f ca="1">ROUND(F6*F8*F7*(1-F9)/10000,0)</f>
        <v>0</v>
      </c>
      <c r="D6" s="657" t="s">
        <v>2505</v>
      </c>
      <c r="E6" s="658" t="s">
        <v>2030</v>
      </c>
      <c r="F6" s="659">
        <f ca="1">INDIRECT("'数据-取费表'!u"&amp;$G$1)</f>
        <v>0</v>
      </c>
      <c r="G6" s="648"/>
      <c r="H6" s="660" t="s">
        <v>879</v>
      </c>
      <c r="I6" s="3947" t="s">
        <v>2028</v>
      </c>
      <c r="J6" s="656">
        <f ca="1">ROUND(M6*M8*M7*(1-M9)/10000,0)</f>
        <v>0</v>
      </c>
      <c r="K6" s="730" t="s">
        <v>2506</v>
      </c>
      <c r="L6" s="658" t="s">
        <v>2030</v>
      </c>
      <c r="M6" s="659">
        <f ca="1">INDIRECT("'数据-取费表'!z"&amp;$G$1)</f>
        <v>0</v>
      </c>
    </row>
    <row r="7" spans="1:33" ht="18" customHeight="1">
      <c r="A7" s="661"/>
      <c r="B7" s="3948"/>
      <c r="C7" s="662"/>
      <c r="D7" s="663"/>
      <c r="E7" s="658" t="s">
        <v>2031</v>
      </c>
      <c r="F7" s="659">
        <f ca="1">IF(INDIRECT("'数据-取费表'!ah"&amp;$G$1)="",INDIRECT("'数据-取费表'!k"&amp;$G$1),INDIRECT("'数据-取费表'!ah"&amp;$G$1))</f>
        <v>1223</v>
      </c>
      <c r="G7" s="648"/>
      <c r="H7" s="664"/>
      <c r="I7" s="3948"/>
      <c r="J7" s="662"/>
      <c r="K7" s="663"/>
      <c r="L7" s="658" t="s">
        <v>2031</v>
      </c>
      <c r="M7" s="659">
        <f ca="1">F7</f>
        <v>1223</v>
      </c>
    </row>
    <row r="8" spans="1:33" ht="18" customHeight="1">
      <c r="A8" s="665"/>
      <c r="B8" s="3949"/>
      <c r="C8" s="662"/>
      <c r="D8" s="663"/>
      <c r="E8" s="658" t="s">
        <v>2032</v>
      </c>
      <c r="F8" s="659">
        <f ca="1">INDIRECT("'数据-取费表'!ai"&amp;$G$1)</f>
        <v>12</v>
      </c>
      <c r="G8" s="648"/>
      <c r="H8" s="664"/>
      <c r="I8" s="3949"/>
      <c r="J8" s="662"/>
      <c r="K8" s="663"/>
      <c r="L8" s="658" t="s">
        <v>2032</v>
      </c>
      <c r="M8" s="659">
        <f ca="1">INDIRECT("'数据-取费表'!ai"&amp;$G$1)</f>
        <v>12</v>
      </c>
    </row>
    <row r="9" spans="1:33" ht="18" customHeight="1">
      <c r="A9" s="666"/>
      <c r="B9" s="3950"/>
      <c r="C9" s="662"/>
      <c r="D9" s="663"/>
      <c r="E9" s="658" t="s">
        <v>2033</v>
      </c>
      <c r="F9" s="667">
        <f ca="1">INDIRECT("'数据-取费表'!w"&amp;$G$1)</f>
        <v>0.1</v>
      </c>
      <c r="G9" s="648"/>
      <c r="H9" s="668"/>
      <c r="I9" s="3949"/>
      <c r="J9" s="662"/>
      <c r="K9" s="663"/>
      <c r="L9" s="711" t="s">
        <v>2033</v>
      </c>
      <c r="M9" s="677">
        <f ca="1">INDIRECT("'数据-取费表'!ab"&amp;$G$1)</f>
        <v>0</v>
      </c>
    </row>
    <row r="10" spans="1:33" ht="18" customHeight="1">
      <c r="A10" s="655" t="s">
        <v>881</v>
      </c>
      <c r="B10" s="669" t="s">
        <v>2034</v>
      </c>
      <c r="C10" s="126">
        <f ca="1">ROUND(IF(F10="押一",C6/12*F11,IF(F10="押二",C6/12*2*F11,IF(F10="押三",C6/12*3*F11,C11*F11))),0)</f>
        <v>0</v>
      </c>
      <c r="D10" s="670" t="s">
        <v>2035</v>
      </c>
      <c r="E10" s="671" t="s">
        <v>2036</v>
      </c>
      <c r="F10" s="672" t="s">
        <v>2507</v>
      </c>
      <c r="G10" s="648"/>
      <c r="H10" s="673" t="s">
        <v>881</v>
      </c>
      <c r="I10" s="785" t="s">
        <v>2034</v>
      </c>
      <c r="J10" s="656">
        <f ca="1">ROUND(IF(M10="押一",J6/12*M11,IF(M10="押二",J6/12*2*M11,IF(M10="押三",J6/12*3*M11,J11*M11))),0)</f>
        <v>0</v>
      </c>
      <c r="K10" s="670" t="s">
        <v>2035</v>
      </c>
      <c r="L10" s="671" t="s">
        <v>2036</v>
      </c>
      <c r="M10" s="672"/>
    </row>
    <row r="11" spans="1:33" ht="18" customHeight="1">
      <c r="A11" s="674"/>
      <c r="B11" s="675" t="s">
        <v>2037</v>
      </c>
      <c r="C11" s="676"/>
      <c r="D11" s="663"/>
      <c r="E11" s="671" t="s">
        <v>664</v>
      </c>
      <c r="F11" s="677">
        <f ca="1">'数据-取费表'!B39</f>
        <v>1.4999999999999999E-2</v>
      </c>
      <c r="G11" s="648"/>
      <c r="H11" s="678"/>
      <c r="I11" s="675" t="s">
        <v>2037</v>
      </c>
      <c r="J11" s="676"/>
      <c r="K11" s="786"/>
      <c r="L11" s="671" t="s">
        <v>664</v>
      </c>
      <c r="M11" s="787">
        <f ca="1">'数据-取费表'!B39</f>
        <v>1.4999999999999999E-2</v>
      </c>
    </row>
    <row r="12" spans="1:33" ht="18" customHeight="1">
      <c r="A12" s="679" t="s">
        <v>950</v>
      </c>
      <c r="B12" s="680" t="s">
        <v>2038</v>
      </c>
      <c r="C12" s="681"/>
      <c r="D12" s="682"/>
      <c r="E12" s="683"/>
      <c r="F12" s="684"/>
      <c r="G12" s="648"/>
      <c r="H12" s="685" t="s">
        <v>950</v>
      </c>
      <c r="I12" s="788" t="s">
        <v>2038</v>
      </c>
      <c r="J12" s="789"/>
      <c r="K12" s="682"/>
      <c r="L12" s="683"/>
      <c r="M12" s="790"/>
    </row>
    <row r="13" spans="1:33" ht="18" customHeight="1">
      <c r="A13" s="686">
        <v>2</v>
      </c>
      <c r="B13" s="687" t="s">
        <v>2042</v>
      </c>
      <c r="C13" s="688">
        <f ca="1">ROUND(C29*F13,0)</f>
        <v>24628</v>
      </c>
      <c r="D13" s="689" t="s">
        <v>2508</v>
      </c>
      <c r="E13" s="689" t="s">
        <v>2041</v>
      </c>
      <c r="F13" s="690">
        <f ca="1">INDIRECT("'数据-取费表'!y"&amp;$G$1)</f>
        <v>1</v>
      </c>
      <c r="G13" s="648"/>
      <c r="H13" s="686">
        <v>2</v>
      </c>
      <c r="I13" s="687" t="s">
        <v>2042</v>
      </c>
      <c r="J13" s="791">
        <f ca="1">ROUND(J14*J15,0)</f>
        <v>0</v>
      </c>
      <c r="K13" s="720" t="s">
        <v>2040</v>
      </c>
      <c r="L13" s="792"/>
      <c r="M13" s="793"/>
    </row>
    <row r="14" spans="1:33" ht="18" customHeight="1">
      <c r="A14" s="691" t="s">
        <v>904</v>
      </c>
      <c r="B14" s="658" t="s">
        <v>957</v>
      </c>
      <c r="C14" s="692">
        <f ca="1">INDIRECT("'数据-取费表'!m"&amp;$G$1)+INDIRECT("'数据-取费表'!t"&amp;$G$1)</f>
        <v>19029</v>
      </c>
      <c r="D14" s="693" t="s">
        <v>2043</v>
      </c>
      <c r="E14" s="694"/>
      <c r="F14" s="695"/>
      <c r="G14" s="648"/>
      <c r="H14" s="696" t="s">
        <v>879</v>
      </c>
      <c r="I14" s="777" t="s">
        <v>2044</v>
      </c>
      <c r="J14" s="127">
        <f ca="1">C29</f>
        <v>24628</v>
      </c>
      <c r="K14" s="778"/>
      <c r="L14" s="794"/>
      <c r="M14" s="795"/>
    </row>
    <row r="15" spans="1:33" s="622" customFormat="1" ht="18" customHeight="1">
      <c r="A15" s="691" t="s">
        <v>908</v>
      </c>
      <c r="B15" s="658" t="s">
        <v>959</v>
      </c>
      <c r="C15" s="127">
        <f ca="1">ROUND(C14*F15,0)</f>
        <v>571</v>
      </c>
      <c r="D15" s="697" t="s">
        <v>2045</v>
      </c>
      <c r="E15" s="697" t="s">
        <v>2046</v>
      </c>
      <c r="F15" s="698">
        <f>'数据-取费表'!B33</f>
        <v>0.03</v>
      </c>
      <c r="G15" s="699"/>
      <c r="H15" s="685" t="s">
        <v>881</v>
      </c>
      <c r="I15" s="717" t="s">
        <v>2041</v>
      </c>
      <c r="J15" s="796">
        <f ca="1">INDIRECT("'数据-取费表'!ad"&amp;$G$1)</f>
        <v>0</v>
      </c>
      <c r="K15" s="797"/>
      <c r="L15" s="798"/>
      <c r="M15" s="799"/>
      <c r="N15" s="800"/>
      <c r="O15" s="800"/>
      <c r="P15" s="800"/>
      <c r="Q15" s="881"/>
      <c r="R15" s="800"/>
      <c r="S15" s="800"/>
      <c r="T15" s="800"/>
      <c r="U15" s="800"/>
      <c r="V15" s="800"/>
      <c r="W15" s="800"/>
      <c r="X15" s="800"/>
      <c r="Y15" s="800"/>
      <c r="Z15" s="800"/>
      <c r="AA15" s="800"/>
      <c r="AB15" s="800"/>
      <c r="AC15" s="800"/>
      <c r="AD15" s="800"/>
      <c r="AE15" s="800"/>
      <c r="AF15" s="800"/>
      <c r="AG15" s="800"/>
    </row>
    <row r="16" spans="1:33" ht="18" customHeight="1">
      <c r="A16" s="691" t="s">
        <v>911</v>
      </c>
      <c r="B16" s="658" t="s">
        <v>962</v>
      </c>
      <c r="C16" s="127">
        <f ca="1">ROUND(INDIRECT("'数据-取费表'!m"&amp;$G$1)*F16,0)</f>
        <v>0</v>
      </c>
      <c r="D16" s="658" t="s">
        <v>2045</v>
      </c>
      <c r="E16" s="658" t="s">
        <v>2046</v>
      </c>
      <c r="F16" s="700">
        <f ca="1">IF(INDIRECT("'数据-取费表'!c"&amp;$G$1)="住宅",'数据-取费表'!B34,0)</f>
        <v>0</v>
      </c>
      <c r="G16" s="648"/>
      <c r="H16" s="686" t="s">
        <v>2106</v>
      </c>
      <c r="I16" s="687" t="s">
        <v>2047</v>
      </c>
      <c r="J16" s="688">
        <f ca="1">ROUND(J17+J22+J23+J24,0)</f>
        <v>125</v>
      </c>
      <c r="K16" s="720" t="s">
        <v>2048</v>
      </c>
      <c r="L16" s="721"/>
      <c r="M16" s="654"/>
    </row>
    <row r="17" spans="1:33" s="622" customFormat="1" ht="18" customHeight="1">
      <c r="A17" s="691" t="s">
        <v>2509</v>
      </c>
      <c r="B17" s="658" t="s">
        <v>2049</v>
      </c>
      <c r="C17" s="127">
        <f ca="1">ROUND(F17*(F43+INDIRECT("'数据-取费表'!S"&amp;$G$1))/10000,0)</f>
        <v>951</v>
      </c>
      <c r="D17" s="658" t="s">
        <v>2050</v>
      </c>
      <c r="E17" s="658" t="s">
        <v>2051</v>
      </c>
      <c r="F17" s="701">
        <f>'数据-取费表'!B35</f>
        <v>200</v>
      </c>
      <c r="G17" s="699"/>
      <c r="H17" s="696" t="s">
        <v>879</v>
      </c>
      <c r="I17" s="658" t="s">
        <v>2052</v>
      </c>
      <c r="J17" s="723">
        <f ca="1">ROUND(IF(AND(项目基本情况!B11="自然人",项目基本情况!B10="北京市"),J6*M17/(1+'数据-取费表'!C42),J18+J19+J20),2)</f>
        <v>2.12</v>
      </c>
      <c r="K17" s="693" t="s">
        <v>2053</v>
      </c>
      <c r="L17" s="724" t="s">
        <v>2054</v>
      </c>
      <c r="M17" s="725" t="str">
        <f>IF(项目基本情况!B11="企业","——",IF('数据-取费表'!B10="住宅",IF(M6*M7*M8/12/(1+'数据-取费表'!F30)&gt;100000,4%,2.5%),IF(M6*M7*M8/12/(1+'数据-取费表'!F30)&gt;100000,12%,7%)))</f>
        <v>——</v>
      </c>
      <c r="N17" s="800"/>
      <c r="O17" s="800"/>
      <c r="P17" s="800"/>
      <c r="Q17" s="881"/>
      <c r="R17" s="800"/>
      <c r="S17" s="800"/>
      <c r="T17" s="800"/>
      <c r="U17" s="800"/>
      <c r="V17" s="800"/>
      <c r="W17" s="800"/>
      <c r="X17" s="800"/>
      <c r="Y17" s="800"/>
      <c r="Z17" s="800"/>
      <c r="AA17" s="800"/>
      <c r="AB17" s="800"/>
      <c r="AC17" s="800"/>
      <c r="AD17" s="800"/>
      <c r="AE17" s="800"/>
      <c r="AF17" s="800"/>
      <c r="AG17" s="800"/>
    </row>
    <row r="18" spans="1:33" s="622" customFormat="1" ht="18" customHeight="1">
      <c r="A18" s="691" t="s">
        <v>2510</v>
      </c>
      <c r="B18" s="658" t="s">
        <v>966</v>
      </c>
      <c r="C18" s="127">
        <f ca="1">ROUND(C14*F18,0)</f>
        <v>285</v>
      </c>
      <c r="D18" s="658" t="s">
        <v>2045</v>
      </c>
      <c r="E18" s="658" t="s">
        <v>2046</v>
      </c>
      <c r="F18" s="700">
        <f>'数据-取费表'!B36</f>
        <v>1.4999999999999999E-2</v>
      </c>
      <c r="G18" s="699"/>
      <c r="H18" s="691" t="s">
        <v>904</v>
      </c>
      <c r="I18" s="658" t="s">
        <v>2055</v>
      </c>
      <c r="J18" s="127">
        <f ca="1">ROUND(J6*M18/(1+'数据-取费表'!C42),2)</f>
        <v>0</v>
      </c>
      <c r="K18" s="724" t="s">
        <v>2056</v>
      </c>
      <c r="L18" s="658" t="s">
        <v>2046</v>
      </c>
      <c r="M18" s="700">
        <f>'数据-取费表'!B41</f>
        <v>5.5E-2</v>
      </c>
      <c r="N18" s="800"/>
      <c r="O18" s="800"/>
      <c r="P18" s="800"/>
      <c r="Q18" s="881"/>
      <c r="R18" s="800"/>
      <c r="S18" s="800"/>
      <c r="T18" s="800"/>
      <c r="U18" s="800"/>
      <c r="V18" s="800"/>
      <c r="W18" s="800"/>
      <c r="X18" s="800"/>
      <c r="Y18" s="800"/>
      <c r="Z18" s="800"/>
      <c r="AA18" s="800"/>
      <c r="AB18" s="800"/>
      <c r="AC18" s="800"/>
      <c r="AD18" s="800"/>
      <c r="AE18" s="800"/>
      <c r="AF18" s="800"/>
      <c r="AG18" s="800"/>
    </row>
    <row r="19" spans="1:33" ht="18" customHeight="1">
      <c r="A19" s="696" t="s">
        <v>879</v>
      </c>
      <c r="B19" s="658" t="s">
        <v>2057</v>
      </c>
      <c r="C19" s="127">
        <f ca="1">SUM(C14:C18)</f>
        <v>20836</v>
      </c>
      <c r="D19" s="702" t="s">
        <v>2058</v>
      </c>
      <c r="E19" s="129"/>
      <c r="F19" s="701"/>
      <c r="G19" s="648"/>
      <c r="H19" s="691" t="s">
        <v>908</v>
      </c>
      <c r="I19" s="658" t="s">
        <v>2059</v>
      </c>
      <c r="J19" s="127">
        <f ca="1">IF(K19="按租金收入计税",ROUND(J6*M19/(1+'数据-取费表'!C42),1),ROUND(C29*F33*0.7,2))</f>
        <v>0</v>
      </c>
      <c r="K19" s="728" t="s">
        <v>2060</v>
      </c>
      <c r="L19" s="658" t="s">
        <v>2046</v>
      </c>
      <c r="M19" s="700">
        <f>IF(K19="按租金收入计税",'数据-取费表'!B51,'数据-取费表'!B50)</f>
        <v>0.12</v>
      </c>
    </row>
    <row r="20" spans="1:33" s="622" customFormat="1" ht="18" customHeight="1">
      <c r="A20" s="696" t="s">
        <v>881</v>
      </c>
      <c r="B20" s="658" t="s">
        <v>2062</v>
      </c>
      <c r="C20" s="127">
        <f ca="1">ROUND(C19*F20,0)</f>
        <v>313</v>
      </c>
      <c r="D20" s="703" t="s">
        <v>2063</v>
      </c>
      <c r="E20" s="658" t="s">
        <v>2046</v>
      </c>
      <c r="F20" s="700">
        <f>'数据-取费表'!B37</f>
        <v>1.4999999999999999E-2</v>
      </c>
      <c r="G20" s="699"/>
      <c r="H20" s="704" t="s">
        <v>911</v>
      </c>
      <c r="I20" s="730" t="s">
        <v>2064</v>
      </c>
      <c r="J20" s="731">
        <f ca="1">ROUND(M20*M21/10000,2)</f>
        <v>2.12</v>
      </c>
      <c r="K20" s="732" t="s">
        <v>2065</v>
      </c>
      <c r="L20" s="658" t="s">
        <v>2066</v>
      </c>
      <c r="M20" s="708">
        <f>'数据-取费表'!B52</f>
        <v>1.5</v>
      </c>
      <c r="N20" s="800"/>
      <c r="O20" s="800"/>
      <c r="P20" s="800"/>
      <c r="Q20" s="881"/>
      <c r="R20" s="800"/>
      <c r="S20" s="800"/>
      <c r="T20" s="800"/>
      <c r="U20" s="800"/>
      <c r="V20" s="800"/>
      <c r="W20" s="800"/>
      <c r="X20" s="800"/>
      <c r="Y20" s="800"/>
      <c r="Z20" s="800"/>
      <c r="AA20" s="800"/>
      <c r="AB20" s="800"/>
      <c r="AC20" s="800"/>
      <c r="AD20" s="800"/>
      <c r="AE20" s="800"/>
      <c r="AF20" s="800"/>
      <c r="AG20" s="800"/>
    </row>
    <row r="21" spans="1:33" s="622" customFormat="1" ht="18" customHeight="1">
      <c r="A21" s="696" t="s">
        <v>950</v>
      </c>
      <c r="B21" s="658" t="s">
        <v>2068</v>
      </c>
      <c r="C21" s="127" t="s">
        <v>138</v>
      </c>
      <c r="D21" s="703" t="s">
        <v>2511</v>
      </c>
      <c r="E21" s="658" t="s">
        <v>2070</v>
      </c>
      <c r="F21" s="700">
        <f>'数据-取费表'!B38</f>
        <v>1.4999999999999999E-2</v>
      </c>
      <c r="G21" s="699"/>
      <c r="H21" s="705"/>
      <c r="I21" s="734"/>
      <c r="J21" s="735"/>
      <c r="K21" s="736"/>
      <c r="L21" s="658" t="s">
        <v>2071</v>
      </c>
      <c r="M21" s="659">
        <f ca="1">INDIRECT("'数据-取费表'!r"&amp;$G$1)</f>
        <v>14114.16</v>
      </c>
      <c r="N21" s="800"/>
      <c r="O21" s="800"/>
      <c r="P21" s="800"/>
      <c r="Q21" s="881"/>
      <c r="R21" s="800"/>
      <c r="S21" s="800"/>
      <c r="T21" s="800"/>
      <c r="U21" s="800"/>
      <c r="V21" s="800"/>
      <c r="W21" s="800"/>
      <c r="X21" s="800"/>
      <c r="Y21" s="800"/>
      <c r="Z21" s="800"/>
      <c r="AA21" s="800"/>
      <c r="AB21" s="800"/>
      <c r="AC21" s="800"/>
      <c r="AD21" s="800"/>
      <c r="AE21" s="800"/>
      <c r="AF21" s="800"/>
      <c r="AG21" s="800"/>
    </row>
    <row r="22" spans="1:33" ht="18" customHeight="1">
      <c r="A22" s="696" t="s">
        <v>2512</v>
      </c>
      <c r="B22" s="658" t="s">
        <v>2073</v>
      </c>
      <c r="C22" s="127"/>
      <c r="D22" s="706" t="str">
        <f>IF(F23&lt;=1,"单利计息。","复利计息。")&amp;"建造成本、管理费用、销售费用产生的利息。"</f>
        <v>复利计息。建造成本、管理费用、销售费用产生的利息。</v>
      </c>
      <c r="E22" s="129"/>
      <c r="F22" s="701"/>
      <c r="G22" s="648"/>
      <c r="H22" s="696" t="s">
        <v>881</v>
      </c>
      <c r="I22" s="658" t="s">
        <v>2074</v>
      </c>
      <c r="J22" s="127">
        <f ca="1">ROUND(J14*M22,2)</f>
        <v>123.14</v>
      </c>
      <c r="K22" s="724" t="s">
        <v>2075</v>
      </c>
      <c r="L22" s="658" t="s">
        <v>2046</v>
      </c>
      <c r="M22" s="737">
        <f ca="1">INDIRECT("'数据-取费表'!Ak"&amp;$G$1)</f>
        <v>5.0000000000000001E-3</v>
      </c>
    </row>
    <row r="23" spans="1:33" s="622" customFormat="1" ht="18" customHeight="1">
      <c r="A23" s="691" t="s">
        <v>904</v>
      </c>
      <c r="B23" s="658" t="s">
        <v>2076</v>
      </c>
      <c r="C23" s="127">
        <f ca="1">ROUND(IF('数据-取费表'!B22&lt;=1,(C19+C20)*F24*F23/2,(C19+C20)*(POWER((1+F24),F23/2)-1)),0)</f>
        <v>730</v>
      </c>
      <c r="D23" s="707" t="str">
        <f>IF(F23&lt;=1,"(建造成本+管理费用)×利率×(建设周期÷2)","(建造成本+管理费用)×((1+利率)^(建设周期÷2)-1)")</f>
        <v>(建造成本+管理费用)×((1+利率)^(建设周期÷2)-1)</v>
      </c>
      <c r="E23" s="658" t="s">
        <v>2077</v>
      </c>
      <c r="F23" s="708">
        <f>'数据-取费表'!B20</f>
        <v>2</v>
      </c>
      <c r="G23" s="699"/>
      <c r="H23" s="696" t="s">
        <v>950</v>
      </c>
      <c r="I23" s="658" t="s">
        <v>2078</v>
      </c>
      <c r="J23" s="127">
        <f ca="1">ROUND(J13*M23,2)</f>
        <v>0</v>
      </c>
      <c r="K23" s="724" t="s">
        <v>2079</v>
      </c>
      <c r="L23" s="658" t="s">
        <v>2046</v>
      </c>
      <c r="M23" s="738">
        <f ca="1">INDIRECT("'数据-取费表'!Al"&amp;$G$1)</f>
        <v>1.5E-3</v>
      </c>
      <c r="N23" s="800"/>
      <c r="O23" s="800"/>
      <c r="P23" s="800"/>
      <c r="Q23" s="881"/>
      <c r="R23" s="800"/>
      <c r="S23" s="800"/>
      <c r="T23" s="800"/>
      <c r="U23" s="800"/>
      <c r="V23" s="800"/>
      <c r="W23" s="800"/>
      <c r="X23" s="800"/>
      <c r="Y23" s="800"/>
      <c r="Z23" s="800"/>
      <c r="AA23" s="800"/>
      <c r="AB23" s="800"/>
      <c r="AC23" s="800"/>
      <c r="AD23" s="800"/>
      <c r="AE23" s="800"/>
      <c r="AF23" s="800"/>
      <c r="AG23" s="800"/>
    </row>
    <row r="24" spans="1:33" s="622" customFormat="1" ht="18" customHeight="1">
      <c r="A24" s="691" t="s">
        <v>908</v>
      </c>
      <c r="B24" s="658" t="s">
        <v>2080</v>
      </c>
      <c r="C24" s="127">
        <f ca="1">ROUND(IF('数据-取费表'!B22&lt;=1,F21*F24*F23/2,F21*(POWER((1+F24),F23/2)-1)),4)</f>
        <v>5.0000000000000001E-4</v>
      </c>
      <c r="D24" s="707" t="str">
        <f>IF(F23&lt;=1,"销售费用×利率×(建设周期÷2)","销售费用×((1+利率)^(建设周期÷2)-1)")</f>
        <v>销售费用×((1+利率)^(建设周期÷2)-1)</v>
      </c>
      <c r="E24" s="658" t="s">
        <v>2081</v>
      </c>
      <c r="F24" s="709">
        <f ca="1">'数据-取费表'!B40</f>
        <v>3.4500000000000003E-2</v>
      </c>
      <c r="G24" s="699"/>
      <c r="H24" s="685" t="s">
        <v>2512</v>
      </c>
      <c r="I24" s="717" t="s">
        <v>2062</v>
      </c>
      <c r="J24" s="715">
        <f ca="1">ROUND(J5*M24,2)</f>
        <v>0</v>
      </c>
      <c r="K24" s="716" t="s">
        <v>2082</v>
      </c>
      <c r="L24" s="717" t="s">
        <v>2046</v>
      </c>
      <c r="M24" s="684">
        <f ca="1">INDIRECT("'数据-取费表'!Am"&amp;$G$1)</f>
        <v>0.01</v>
      </c>
      <c r="N24" s="800"/>
      <c r="O24" s="800"/>
      <c r="P24" s="800"/>
      <c r="Q24" s="881"/>
      <c r="R24" s="800"/>
      <c r="S24" s="800"/>
      <c r="T24" s="800"/>
      <c r="U24" s="800"/>
      <c r="V24" s="800"/>
      <c r="W24" s="800"/>
      <c r="X24" s="800"/>
      <c r="Y24" s="800"/>
      <c r="Z24" s="800"/>
      <c r="AA24" s="800"/>
      <c r="AB24" s="800"/>
      <c r="AC24" s="800"/>
      <c r="AD24" s="800"/>
      <c r="AE24" s="800"/>
      <c r="AF24" s="800"/>
      <c r="AG24" s="800"/>
    </row>
    <row r="25" spans="1:33" ht="18" customHeight="1">
      <c r="A25" s="710" t="s">
        <v>937</v>
      </c>
      <c r="B25" s="658" t="s">
        <v>2084</v>
      </c>
      <c r="C25" s="127"/>
      <c r="D25" s="702" t="s">
        <v>2085</v>
      </c>
      <c r="E25" s="129"/>
      <c r="F25" s="701"/>
      <c r="G25" s="648"/>
      <c r="H25" s="686" t="s">
        <v>2513</v>
      </c>
      <c r="I25" s="739" t="s">
        <v>2086</v>
      </c>
      <c r="J25" s="688">
        <f ca="1">J5-J16</f>
        <v>-125</v>
      </c>
      <c r="K25" s="740" t="s">
        <v>2087</v>
      </c>
      <c r="L25" s="741"/>
      <c r="M25" s="742"/>
    </row>
    <row r="26" spans="1:33" ht="18" customHeight="1">
      <c r="A26" s="691" t="s">
        <v>904</v>
      </c>
      <c r="B26" s="658" t="s">
        <v>2088</v>
      </c>
      <c r="C26" s="127">
        <f ca="1">ROUND((C19+C20)*F26,0)</f>
        <v>1057</v>
      </c>
      <c r="D26" s="703" t="s">
        <v>2089</v>
      </c>
      <c r="E26" s="711" t="s">
        <v>2090</v>
      </c>
      <c r="F26" s="667">
        <f ca="1">INDIRECT("'数据-取费表'!q"&amp;$G$1)</f>
        <v>0.05</v>
      </c>
      <c r="G26" s="648"/>
      <c r="H26" s="712" t="s">
        <v>2514</v>
      </c>
      <c r="I26" s="743" t="s">
        <v>2515</v>
      </c>
      <c r="J26" s="656">
        <f ca="1">IF(J5&lt;&gt;0,ROUND(J25*(1-((1+M28)/(1+M26))^M27)/(M26-M28),0),0)</f>
        <v>0</v>
      </c>
      <c r="K26" s="732" t="s">
        <v>2092</v>
      </c>
      <c r="L26" s="658" t="s">
        <v>2516</v>
      </c>
      <c r="M26" s="667">
        <f ca="1">INDIRECT("'数据-取费表'!I"&amp;$G$1)</f>
        <v>0.05</v>
      </c>
    </row>
    <row r="27" spans="1:33" ht="18" customHeight="1">
      <c r="A27" s="691" t="s">
        <v>908</v>
      </c>
      <c r="B27" s="658" t="s">
        <v>2094</v>
      </c>
      <c r="C27" s="127">
        <f ca="1">ROUND(F21*F26,4)</f>
        <v>8.0000000000000004E-4</v>
      </c>
      <c r="D27" s="703" t="s">
        <v>2095</v>
      </c>
      <c r="E27" s="697"/>
      <c r="F27" s="698"/>
      <c r="G27" s="648"/>
      <c r="H27" s="713"/>
      <c r="I27" s="744"/>
      <c r="J27" s="662"/>
      <c r="K27" s="745" t="s">
        <v>2096</v>
      </c>
      <c r="L27" s="658" t="s">
        <v>2097</v>
      </c>
      <c r="M27" s="746">
        <f ca="1">INDIRECT("'数据-取费表'!ag"&amp;$G$1)</f>
        <v>0</v>
      </c>
    </row>
    <row r="28" spans="1:33" s="622" customFormat="1" ht="18" customHeight="1">
      <c r="A28" s="710" t="s">
        <v>938</v>
      </c>
      <c r="B28" s="658" t="s">
        <v>2099</v>
      </c>
      <c r="C28" s="127">
        <f>ROUND(F28/(1+'数据-取费表'!C42),4)</f>
        <v>5.2400000000000002E-2</v>
      </c>
      <c r="D28" s="703" t="s">
        <v>2517</v>
      </c>
      <c r="E28" s="658" t="s">
        <v>2046</v>
      </c>
      <c r="F28" s="700">
        <f>'数据-取费表'!B41</f>
        <v>5.5E-2</v>
      </c>
      <c r="G28" s="699"/>
      <c r="H28" s="686"/>
      <c r="I28" s="748"/>
      <c r="J28" s="688"/>
      <c r="K28" s="736"/>
      <c r="L28" s="658" t="s">
        <v>2101</v>
      </c>
      <c r="M28" s="667">
        <f ca="1">INDIRECT("'数据-取费表'!aa"&amp;$G$1)</f>
        <v>0</v>
      </c>
      <c r="N28" s="800"/>
      <c r="O28" s="800"/>
      <c r="P28" s="800"/>
      <c r="Q28" s="881"/>
      <c r="R28" s="800"/>
      <c r="S28" s="800"/>
      <c r="T28" s="800"/>
      <c r="U28" s="800"/>
      <c r="V28" s="800"/>
      <c r="W28" s="800"/>
      <c r="X28" s="800"/>
      <c r="Y28" s="800"/>
      <c r="Z28" s="800"/>
      <c r="AA28" s="800"/>
      <c r="AB28" s="800"/>
      <c r="AC28" s="800"/>
      <c r="AD28" s="800"/>
      <c r="AE28" s="800"/>
      <c r="AF28" s="800"/>
      <c r="AG28" s="800"/>
    </row>
    <row r="29" spans="1:33" s="622" customFormat="1" ht="18" customHeight="1">
      <c r="A29" s="714" t="s">
        <v>2518</v>
      </c>
      <c r="B29" s="683" t="s">
        <v>2103</v>
      </c>
      <c r="C29" s="715">
        <f ca="1">ROUND((C19+C20+C23+C26)/(1-F21-C24-C27-C28),0)</f>
        <v>24628</v>
      </c>
      <c r="D29" s="716"/>
      <c r="E29" s="717"/>
      <c r="F29" s="718"/>
      <c r="G29" s="699"/>
      <c r="H29" s="719" t="s">
        <v>2519</v>
      </c>
      <c r="I29" s="749" t="s">
        <v>2520</v>
      </c>
      <c r="J29" s="750">
        <f ca="1">ROUND(J26/(1+F40)^F41,0)</f>
        <v>0</v>
      </c>
      <c r="K29" s="751" t="s">
        <v>2105</v>
      </c>
      <c r="L29" s="752"/>
      <c r="M29" s="753">
        <f ca="1">INDIRECT("'数据-取费表'!k"&amp;$G$1)</f>
        <v>46502.98</v>
      </c>
      <c r="N29" s="800"/>
      <c r="O29" s="800"/>
      <c r="P29" s="800"/>
      <c r="Q29" s="881"/>
      <c r="R29" s="800"/>
      <c r="S29" s="800"/>
      <c r="T29" s="800"/>
      <c r="U29" s="800"/>
      <c r="V29" s="800"/>
      <c r="W29" s="800"/>
      <c r="X29" s="800"/>
      <c r="Y29" s="800"/>
      <c r="Z29" s="800"/>
      <c r="AA29" s="800"/>
      <c r="AB29" s="800"/>
      <c r="AC29" s="800"/>
      <c r="AD29" s="800"/>
      <c r="AE29" s="800"/>
      <c r="AF29" s="800"/>
      <c r="AG29" s="800"/>
    </row>
    <row r="30" spans="1:33" ht="18" customHeight="1">
      <c r="A30" s="686" t="s">
        <v>2106</v>
      </c>
      <c r="B30" s="687" t="s">
        <v>2047</v>
      </c>
      <c r="C30" s="688">
        <f ca="1">ROUND(C31+C36+C37+C38,0)</f>
        <v>162</v>
      </c>
      <c r="D30" s="720" t="s">
        <v>2048</v>
      </c>
      <c r="E30" s="721"/>
      <c r="F30" s="654"/>
      <c r="G30" s="648"/>
      <c r="H30" s="722"/>
      <c r="I30" s="801"/>
      <c r="J30" s="802"/>
      <c r="K30" s="803"/>
      <c r="L30" s="804"/>
      <c r="M30" s="805"/>
    </row>
    <row r="31" spans="1:33" ht="18" customHeight="1">
      <c r="A31" s="696" t="s">
        <v>879</v>
      </c>
      <c r="B31" s="658" t="s">
        <v>2052</v>
      </c>
      <c r="C31" s="723">
        <f ca="1">ROUND(IF(AND(项目基本情况!B11="自然人",项目基本情况!B10="北京市"),C6*F31/(1+'数据-取费表'!C42),C32+C33+C34),2)</f>
        <v>2.12</v>
      </c>
      <c r="D31" s="693" t="s">
        <v>2053</v>
      </c>
      <c r="E31" s="724" t="s">
        <v>2054</v>
      </c>
      <c r="F31" s="725" t="str">
        <f>IF(项目基本情况!B11="企业","——",IF(M47="住宅",IF(F6*F7*F8/12/(1+'数据-取费表'!F30)&gt;100000,4%,2.5%),IF(F6*F7*F8/12/(1+'数据-取费表'!F30)&gt;100000,12%,7%)))</f>
        <v>——</v>
      </c>
      <c r="G31" s="648"/>
      <c r="H31" s="726" t="s">
        <v>2108</v>
      </c>
      <c r="I31" s="801"/>
      <c r="J31" s="802"/>
      <c r="K31" s="803"/>
      <c r="L31" s="804"/>
      <c r="M31" s="805"/>
    </row>
    <row r="32" spans="1:33" ht="18" customHeight="1">
      <c r="A32" s="691" t="s">
        <v>904</v>
      </c>
      <c r="B32" s="658" t="s">
        <v>2055</v>
      </c>
      <c r="C32" s="127">
        <f ca="1">ROUND(C6*F32/(1+'数据-取费表'!C42),2)</f>
        <v>0</v>
      </c>
      <c r="D32" s="724" t="s">
        <v>2056</v>
      </c>
      <c r="E32" s="658" t="s">
        <v>2046</v>
      </c>
      <c r="F32" s="700">
        <f>'数据-取费表'!B41</f>
        <v>5.5E-2</v>
      </c>
      <c r="G32" s="648"/>
      <c r="H32" s="727"/>
      <c r="I32" s="806"/>
      <c r="J32" s="807"/>
      <c r="K32" s="808"/>
      <c r="L32" s="809"/>
      <c r="M32" s="810"/>
    </row>
    <row r="33" spans="1:18" ht="18" customHeight="1">
      <c r="A33" s="691" t="s">
        <v>908</v>
      </c>
      <c r="B33" s="658" t="s">
        <v>2059</v>
      </c>
      <c r="C33" s="127">
        <f ca="1">IF(D33="按租金收入计税",ROUND(C6*F33/(1+'数据-取费表'!C42),2),IF(D33="按房产原值计税",ROUND(C29*F33*0.7,2),INDIRECT("'数据-取费表'!Aj"&amp;$G$1)))</f>
        <v>0</v>
      </c>
      <c r="D33" s="728" t="s">
        <v>2060</v>
      </c>
      <c r="E33" s="658" t="s">
        <v>2046</v>
      </c>
      <c r="F33" s="700">
        <f>IF(D33="按租金收入计税",'数据-取费表'!B51,'数据-取费表'!B50)</f>
        <v>0.12</v>
      </c>
      <c r="G33" s="648"/>
      <c r="H33" s="729"/>
      <c r="I33" s="729"/>
      <c r="J33" s="729"/>
      <c r="K33" s="811"/>
      <c r="L33" s="729"/>
      <c r="M33" s="729"/>
    </row>
    <row r="34" spans="1:18" ht="18" customHeight="1">
      <c r="A34" s="704" t="s">
        <v>911</v>
      </c>
      <c r="B34" s="730" t="s">
        <v>2064</v>
      </c>
      <c r="C34" s="731">
        <f ca="1">ROUND(F34*F35/10000,2)</f>
        <v>2.12</v>
      </c>
      <c r="D34" s="732" t="s">
        <v>2065</v>
      </c>
      <c r="E34" s="658" t="s">
        <v>2066</v>
      </c>
      <c r="F34" s="708">
        <f>'数据-取费表'!B52</f>
        <v>1.5</v>
      </c>
      <c r="G34" s="648"/>
      <c r="H34" s="722"/>
      <c r="I34" s="812" t="s">
        <v>2521</v>
      </c>
      <c r="J34" s="813"/>
      <c r="K34" s="814"/>
      <c r="L34" s="815"/>
      <c r="M34" s="815"/>
    </row>
    <row r="35" spans="1:18" ht="18" customHeight="1">
      <c r="A35" s="733"/>
      <c r="B35" s="734"/>
      <c r="C35" s="735"/>
      <c r="D35" s="736"/>
      <c r="E35" s="658" t="s">
        <v>2071</v>
      </c>
      <c r="F35" s="659">
        <f ca="1">INDIRECT("'数据-取费表'!r"&amp;$G$1)</f>
        <v>14114.16</v>
      </c>
      <c r="G35" s="648"/>
      <c r="H35" s="722"/>
      <c r="I35" s="816" t="s">
        <v>2522</v>
      </c>
      <c r="J35" s="817">
        <f ca="1">ROUND(C13*J36,0)</f>
        <v>1724</v>
      </c>
      <c r="K35" s="811"/>
      <c r="L35" s="729"/>
      <c r="M35" s="729"/>
    </row>
    <row r="36" spans="1:18" ht="18" customHeight="1">
      <c r="A36" s="696" t="s">
        <v>881</v>
      </c>
      <c r="B36" s="658" t="s">
        <v>2074</v>
      </c>
      <c r="C36" s="127">
        <f ca="1">ROUND(C29*F36,2)</f>
        <v>123.14</v>
      </c>
      <c r="D36" s="724" t="s">
        <v>2109</v>
      </c>
      <c r="E36" s="658" t="s">
        <v>2046</v>
      </c>
      <c r="F36" s="737">
        <f ca="1">INDIRECT("'数据-取费表'!Ak"&amp;$G$1)</f>
        <v>5.0000000000000001E-3</v>
      </c>
      <c r="G36" s="648"/>
      <c r="H36" s="729"/>
      <c r="I36" s="818" t="s">
        <v>2523</v>
      </c>
      <c r="J36" s="819">
        <f ca="1">INDIRECT("'数据-取费表'!j"&amp;$G$1)</f>
        <v>7.0000000000000007E-2</v>
      </c>
      <c r="K36" s="820"/>
      <c r="L36" s="729"/>
      <c r="M36" s="729"/>
    </row>
    <row r="37" spans="1:18" ht="18" customHeight="1">
      <c r="A37" s="696" t="s">
        <v>950</v>
      </c>
      <c r="B37" s="658" t="s">
        <v>2078</v>
      </c>
      <c r="C37" s="127">
        <f ca="1">ROUND(C13*F37,2)</f>
        <v>36.94</v>
      </c>
      <c r="D37" s="724" t="s">
        <v>2079</v>
      </c>
      <c r="E37" s="658" t="s">
        <v>2046</v>
      </c>
      <c r="F37" s="738">
        <f ca="1">INDIRECT("'数据-取费表'!Al"&amp;$G$1)</f>
        <v>1.5E-3</v>
      </c>
      <c r="G37" s="648"/>
      <c r="H37" s="729"/>
      <c r="I37" s="821" t="s">
        <v>2524</v>
      </c>
      <c r="J37" s="822"/>
      <c r="K37" s="820"/>
      <c r="L37" s="729"/>
      <c r="M37" s="729"/>
    </row>
    <row r="38" spans="1:18" ht="18" customHeight="1">
      <c r="A38" s="685" t="s">
        <v>2512</v>
      </c>
      <c r="B38" s="717" t="s">
        <v>2062</v>
      </c>
      <c r="C38" s="715">
        <f ca="1">ROUND(C5*F38,2)</f>
        <v>0</v>
      </c>
      <c r="D38" s="716" t="s">
        <v>2082</v>
      </c>
      <c r="E38" s="717" t="s">
        <v>2046</v>
      </c>
      <c r="F38" s="684">
        <f ca="1">INDIRECT("'数据-取费表'!Am"&amp;$G$1)</f>
        <v>0.01</v>
      </c>
      <c r="G38" s="648"/>
      <c r="H38" s="729"/>
      <c r="I38" s="823" t="s">
        <v>2525</v>
      </c>
      <c r="J38" s="824"/>
      <c r="K38" s="825"/>
      <c r="L38" s="729"/>
      <c r="M38" s="729"/>
    </row>
    <row r="39" spans="1:18" ht="24.6" customHeight="1">
      <c r="A39" s="686" t="s">
        <v>2513</v>
      </c>
      <c r="B39" s="739" t="s">
        <v>2086</v>
      </c>
      <c r="C39" s="688">
        <f ca="1">C5-C30</f>
        <v>-162</v>
      </c>
      <c r="D39" s="740" t="s">
        <v>2087</v>
      </c>
      <c r="E39" s="741"/>
      <c r="F39" s="742"/>
      <c r="G39" s="648"/>
      <c r="H39" s="729"/>
      <c r="I39" s="816" t="s">
        <v>2526</v>
      </c>
      <c r="J39" s="826">
        <f ca="1">ROUND(J35/C39,3)</f>
        <v>-10.641999999999999</v>
      </c>
      <c r="K39" s="825"/>
      <c r="L39" s="729"/>
      <c r="M39" s="729"/>
    </row>
    <row r="40" spans="1:18" ht="18" customHeight="1">
      <c r="A40" s="649" t="s">
        <v>2514</v>
      </c>
      <c r="B40" s="743" t="s">
        <v>2527</v>
      </c>
      <c r="C40" s="656">
        <f ca="1">ROUND(C39*(1-((1+F42)/(1+F40))^F41)/(F40-F42),0)</f>
        <v>-3744</v>
      </c>
      <c r="D40" s="732" t="s">
        <v>2092</v>
      </c>
      <c r="E40" s="658" t="s">
        <v>2516</v>
      </c>
      <c r="F40" s="667">
        <f ca="1">INDIRECT("'数据-取费表'!I"&amp;$G$1)</f>
        <v>0.05</v>
      </c>
      <c r="G40" s="648"/>
      <c r="H40" s="648"/>
      <c r="I40" s="816" t="s">
        <v>2528</v>
      </c>
      <c r="J40" s="826">
        <f ca="1">1-J39</f>
        <v>11.641999999999999</v>
      </c>
      <c r="K40" s="825"/>
      <c r="L40" s="648"/>
      <c r="M40" s="648"/>
    </row>
    <row r="41" spans="1:18" ht="18" customHeight="1">
      <c r="A41" s="666"/>
      <c r="B41" s="744"/>
      <c r="C41" s="662"/>
      <c r="D41" s="745" t="s">
        <v>2096</v>
      </c>
      <c r="E41" s="658" t="s">
        <v>2097</v>
      </c>
      <c r="F41" s="746">
        <f ca="1">IF(INDIRECT("'数据-取费表'!af"&amp;$G$1)=0,INDIRECT("'数据-取费表'!ae"&amp;$G$1),INDIRECT("'数据-取费表'!af"&amp;$G$1))</f>
        <v>48.82</v>
      </c>
      <c r="G41" s="648"/>
      <c r="H41" s="747"/>
      <c r="I41" s="823" t="s">
        <v>2529</v>
      </c>
      <c r="J41" s="827"/>
      <c r="K41" s="820"/>
      <c r="L41" s="747"/>
      <c r="M41" s="747"/>
    </row>
    <row r="42" spans="1:18" ht="18" customHeight="1">
      <c r="A42" s="674"/>
      <c r="B42" s="748"/>
      <c r="C42" s="688"/>
      <c r="D42" s="736"/>
      <c r="E42" s="658" t="s">
        <v>2101</v>
      </c>
      <c r="F42" s="667">
        <f ca="1">INDIRECT("'数据-取费表'!v"&amp;$G$1)</f>
        <v>1.4999999999999999E-2</v>
      </c>
      <c r="G42" s="648"/>
      <c r="H42" s="747"/>
      <c r="I42" s="828" t="s">
        <v>2530</v>
      </c>
      <c r="J42" s="826">
        <f ca="1">ROUND(C13/C40,3)</f>
        <v>-6.5780000000000003</v>
      </c>
      <c r="K42" s="820"/>
      <c r="L42" s="747"/>
      <c r="M42" s="747"/>
    </row>
    <row r="43" spans="1:18" ht="18" customHeight="1">
      <c r="A43" s="719" t="s">
        <v>2519</v>
      </c>
      <c r="B43" s="749" t="s">
        <v>2531</v>
      </c>
      <c r="C43" s="750">
        <f ca="1">ROUND(C40*10000/F43,0)</f>
        <v>-805</v>
      </c>
      <c r="D43" s="751" t="s">
        <v>2532</v>
      </c>
      <c r="E43" s="752" t="s">
        <v>2533</v>
      </c>
      <c r="F43" s="753">
        <f ca="1">INDIRECT("'数据-取费表'!k"&amp;$G$1)</f>
        <v>46502.98</v>
      </c>
      <c r="G43" s="648"/>
      <c r="H43" s="747"/>
      <c r="I43" s="828" t="s">
        <v>2534</v>
      </c>
      <c r="J43" s="829">
        <f ca="1">1-J42</f>
        <v>7.5780000000000003</v>
      </c>
      <c r="K43" s="820"/>
      <c r="L43" s="747"/>
      <c r="M43" s="747"/>
    </row>
    <row r="44" spans="1:18" s="623" customFormat="1" ht="18" customHeight="1">
      <c r="A44" s="754"/>
      <c r="B44" s="754"/>
      <c r="C44" s="755"/>
      <c r="D44" s="754"/>
      <c r="E44" s="754"/>
      <c r="F44" s="754"/>
      <c r="K44" s="830"/>
      <c r="Q44" s="627"/>
    </row>
    <row r="45" spans="1:18" s="623" customFormat="1" ht="18" customHeight="1">
      <c r="A45" s="754"/>
      <c r="B45" s="754"/>
      <c r="C45" s="755"/>
      <c r="D45" s="754"/>
      <c r="E45" s="754"/>
      <c r="F45" s="754"/>
      <c r="K45" s="830"/>
      <c r="Q45" s="627"/>
    </row>
    <row r="46" spans="1:18" s="623" customFormat="1" ht="18" customHeight="1">
      <c r="A46" s="756" t="s">
        <v>2535</v>
      </c>
      <c r="B46" s="754"/>
      <c r="C46" s="757">
        <f ca="1">C67-C40</f>
        <v>803</v>
      </c>
      <c r="D46" s="758"/>
      <c r="E46" s="758"/>
      <c r="F46" s="758"/>
      <c r="I46" s="831" t="s">
        <v>2122</v>
      </c>
      <c r="J46" s="832"/>
      <c r="K46" s="833"/>
      <c r="L46" s="834" t="str">
        <f ca="1">IF(OR(M47="住宅",D1="土地（套用方法）"),0,IF(L48&gt;J51,L60,J60))</f>
        <v>0</v>
      </c>
      <c r="M46" s="835"/>
      <c r="O46" s="836" t="s">
        <v>2123</v>
      </c>
      <c r="P46" s="837"/>
      <c r="Q46" s="842"/>
      <c r="R46" s="837"/>
    </row>
    <row r="47" spans="1:18" s="623" customFormat="1" ht="18" customHeight="1">
      <c r="A47" s="759">
        <v>1</v>
      </c>
      <c r="B47" s="760" t="s">
        <v>2536</v>
      </c>
      <c r="C47" s="761">
        <f ca="1">C48+C52+C54</f>
        <v>0</v>
      </c>
      <c r="D47" s="762"/>
      <c r="E47" s="762"/>
      <c r="F47" s="763"/>
      <c r="I47" s="838" t="s">
        <v>2124</v>
      </c>
      <c r="J47" s="839" t="s">
        <v>2183</v>
      </c>
      <c r="K47" s="840" t="s">
        <v>2125</v>
      </c>
      <c r="L47" s="841">
        <f ca="1">INDIRECT("'数据-取费表'!d"&amp;$G$1)</f>
        <v>50</v>
      </c>
      <c r="M47" s="842" t="str">
        <f>IF(ISNUMBER(FIND("住宅",C1)),"住宅","非住宅")</f>
        <v>非住宅</v>
      </c>
      <c r="O47" s="843" t="s">
        <v>1354</v>
      </c>
      <c r="P47" s="844" t="s">
        <v>2126</v>
      </c>
      <c r="Q47" s="882" t="s">
        <v>2127</v>
      </c>
      <c r="R47" s="844" t="s">
        <v>2128</v>
      </c>
    </row>
    <row r="48" spans="1:18" s="623" customFormat="1" ht="18" customHeight="1">
      <c r="A48" s="764" t="s">
        <v>1112</v>
      </c>
      <c r="B48" s="765" t="s">
        <v>2537</v>
      </c>
      <c r="C48" s="766">
        <f ca="1">ROUND(F48*F50*F49*(1-F51)/10000,0)</f>
        <v>0</v>
      </c>
      <c r="D48" s="767" t="s">
        <v>2506</v>
      </c>
      <c r="E48" s="768" t="s">
        <v>2538</v>
      </c>
      <c r="F48" s="769">
        <f ca="1">M6</f>
        <v>0</v>
      </c>
      <c r="G48" s="770"/>
      <c r="I48" s="845" t="s">
        <v>2129</v>
      </c>
      <c r="J48" s="846" t="s">
        <v>2178</v>
      </c>
      <c r="K48" s="847" t="s">
        <v>359</v>
      </c>
      <c r="L48" s="848">
        <f ca="1">INDIRECT("'数据-取费表'!f"&amp;$G$1)</f>
        <v>48.82</v>
      </c>
      <c r="M48" s="835"/>
      <c r="O48" s="849" t="s">
        <v>2130</v>
      </c>
      <c r="P48" s="850" t="s">
        <v>2131</v>
      </c>
      <c r="Q48" s="883">
        <f ca="1">C40+J29</f>
        <v>-3744</v>
      </c>
      <c r="R48" s="850" t="s">
        <v>2132</v>
      </c>
    </row>
    <row r="49" spans="1:18" s="623" customFormat="1" ht="18" customHeight="1">
      <c r="A49" s="666"/>
      <c r="B49" s="744"/>
      <c r="C49" s="662"/>
      <c r="D49" s="663"/>
      <c r="E49" s="658" t="s">
        <v>2031</v>
      </c>
      <c r="F49" s="659">
        <f ca="1">F7</f>
        <v>1223</v>
      </c>
      <c r="G49" s="770"/>
      <c r="H49" s="771"/>
      <c r="I49" s="845" t="s">
        <v>2133</v>
      </c>
      <c r="J49" s="851"/>
      <c r="K49" s="852" t="s">
        <v>2134</v>
      </c>
      <c r="L49" s="853"/>
      <c r="M49" s="835"/>
      <c r="O49" s="849" t="s">
        <v>2135</v>
      </c>
      <c r="P49" s="850" t="s">
        <v>2136</v>
      </c>
      <c r="Q49" s="883" t="str">
        <f ca="1">J60</f>
        <v>0</v>
      </c>
      <c r="R49" s="850" t="s">
        <v>2137</v>
      </c>
    </row>
    <row r="50" spans="1:18" s="623" customFormat="1" ht="18" customHeight="1">
      <c r="A50" s="666"/>
      <c r="B50" s="744"/>
      <c r="C50" s="662"/>
      <c r="D50" s="663"/>
      <c r="E50" s="658" t="s">
        <v>2032</v>
      </c>
      <c r="F50" s="659">
        <f ca="1">F8</f>
        <v>12</v>
      </c>
      <c r="G50" s="772"/>
      <c r="H50" s="771"/>
      <c r="I50" s="845" t="s">
        <v>2138</v>
      </c>
      <c r="J50" s="854">
        <f>SUMPRODUCT((I63:I65=J47)*(J62:L62=J48)*(J63:L65))</f>
        <v>60</v>
      </c>
      <c r="K50" s="852" t="s">
        <v>2139</v>
      </c>
      <c r="L50" s="853"/>
      <c r="M50" s="835"/>
      <c r="O50" s="855" t="s">
        <v>2140</v>
      </c>
      <c r="P50" s="850" t="s">
        <v>2141</v>
      </c>
      <c r="Q50" s="883">
        <f ca="1">C29</f>
        <v>24628</v>
      </c>
      <c r="R50" s="850" t="s">
        <v>2132</v>
      </c>
    </row>
    <row r="51" spans="1:18" s="623" customFormat="1" ht="18" customHeight="1">
      <c r="A51" s="666"/>
      <c r="B51" s="744"/>
      <c r="C51" s="662"/>
      <c r="D51" s="663"/>
      <c r="E51" s="658" t="s">
        <v>2033</v>
      </c>
      <c r="F51" s="773"/>
      <c r="H51" s="771"/>
      <c r="I51" s="856" t="s">
        <v>2142</v>
      </c>
      <c r="J51" s="857">
        <f>IF(J49="",J50,J49+J50-YEAR('数据-取费表'!B2))</f>
        <v>60</v>
      </c>
      <c r="K51" s="845" t="s">
        <v>2143</v>
      </c>
      <c r="L51" s="858">
        <f ca="1">ROUND(-PV(INDIRECT("'数据-取费表'!h"&amp;$G$1),J51,(C39-C13*J36),0),0)</f>
        <v>-38922</v>
      </c>
      <c r="M51" s="835"/>
      <c r="O51" s="855" t="s">
        <v>2144</v>
      </c>
      <c r="P51" s="850" t="s">
        <v>2145</v>
      </c>
      <c r="Q51" s="884" t="e">
        <f ca="1">J58</f>
        <v>#VALUE!</v>
      </c>
      <c r="R51" s="885"/>
    </row>
    <row r="52" spans="1:18" s="623" customFormat="1" ht="18" customHeight="1">
      <c r="A52" s="649" t="s">
        <v>2539</v>
      </c>
      <c r="B52" s="669" t="s">
        <v>2034</v>
      </c>
      <c r="C52" s="126">
        <f ca="1">ROUND(IF(F52="押一",C48/12*F11,IF(F52="押二",C48/12*2*F11,IF(F52="押三",C48/12*3*F11,C53*F11))),0)</f>
        <v>0</v>
      </c>
      <c r="D52" s="670" t="s">
        <v>2035</v>
      </c>
      <c r="E52" s="671" t="s">
        <v>2036</v>
      </c>
      <c r="F52" s="672"/>
      <c r="I52" s="859" t="s">
        <v>2146</v>
      </c>
      <c r="J52" s="860"/>
      <c r="K52" s="859" t="s">
        <v>1183</v>
      </c>
      <c r="L52" s="860"/>
      <c r="M52" s="835"/>
      <c r="O52" s="855" t="s">
        <v>2147</v>
      </c>
      <c r="P52" s="850" t="s">
        <v>2148</v>
      </c>
      <c r="Q52" s="884">
        <f>J52</f>
        <v>0</v>
      </c>
      <c r="R52" s="885"/>
    </row>
    <row r="53" spans="1:18" s="623" customFormat="1" ht="39.75" customHeight="1">
      <c r="A53" s="666"/>
      <c r="B53" s="675" t="s">
        <v>2037</v>
      </c>
      <c r="C53" s="676"/>
      <c r="D53" s="670"/>
      <c r="E53" s="671"/>
      <c r="F53" s="774"/>
      <c r="I53" s="861" t="s">
        <v>2149</v>
      </c>
      <c r="J53" s="862">
        <f ca="1">IF(M47="住宅",IF(D1="——",MAX(J51,L48),MAX(J51,L48-'数据-取费表'!B20)),IF(D1="——",MIN(J51,L48),MIN(J51,L48-'数据-取费表'!B20)))</f>
        <v>48.82</v>
      </c>
      <c r="K53" s="3976" t="s">
        <v>2540</v>
      </c>
      <c r="L53" s="3977"/>
      <c r="M53" s="835"/>
      <c r="O53" s="855" t="s">
        <v>2150</v>
      </c>
      <c r="P53" s="850" t="s">
        <v>2151</v>
      </c>
      <c r="Q53" s="883">
        <f ca="1">J53</f>
        <v>48.82</v>
      </c>
      <c r="R53" s="850" t="s">
        <v>2152</v>
      </c>
    </row>
    <row r="54" spans="1:18" s="623" customFormat="1" ht="18" customHeight="1">
      <c r="A54" s="679" t="s">
        <v>950</v>
      </c>
      <c r="B54" s="680" t="s">
        <v>2038</v>
      </c>
      <c r="C54" s="681"/>
      <c r="D54" s="670"/>
      <c r="E54" s="671"/>
      <c r="F54" s="774"/>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0"/>
      <c r="M54" s="835"/>
      <c r="O54" s="849" t="s">
        <v>2153</v>
      </c>
      <c r="P54" s="850" t="s">
        <v>2154</v>
      </c>
      <c r="Q54" s="883">
        <f ca="1">Q48+Q49</f>
        <v>-3744</v>
      </c>
      <c r="R54" s="885" t="s">
        <v>2155</v>
      </c>
    </row>
    <row r="55" spans="1:18" s="623" customFormat="1" ht="18" customHeight="1">
      <c r="A55" s="775">
        <v>2</v>
      </c>
      <c r="B55" s="776" t="s">
        <v>2042</v>
      </c>
      <c r="C55" s="126">
        <f ca="1">C13</f>
        <v>24628</v>
      </c>
      <c r="D55" s="711"/>
      <c r="E55" s="711"/>
      <c r="F55" s="774"/>
      <c r="I55" s="863" t="s">
        <v>2156</v>
      </c>
      <c r="J55" s="864" t="e">
        <f ca="1">ROUND(IF(J47="钢混",J57/J50,1-(1-2%)*(J50-J57)/J50),3)</f>
        <v>#VALUE!</v>
      </c>
      <c r="K55" s="865" t="s">
        <v>2157</v>
      </c>
      <c r="L55" s="866"/>
      <c r="M55" s="835"/>
      <c r="O55" s="867" t="s">
        <v>2158</v>
      </c>
      <c r="P55" s="837"/>
      <c r="Q55" s="842"/>
      <c r="R55" s="837"/>
    </row>
    <row r="56" spans="1:18" s="623" customFormat="1" ht="42.75" customHeight="1">
      <c r="A56" s="710"/>
      <c r="B56" s="777" t="s">
        <v>2103</v>
      </c>
      <c r="C56" s="127">
        <f ca="1">C29</f>
        <v>24628</v>
      </c>
      <c r="D56" s="724"/>
      <c r="E56" s="658"/>
      <c r="F56" s="700"/>
      <c r="I56" s="868" t="s">
        <v>2159</v>
      </c>
      <c r="J56" s="869" t="s">
        <v>541</v>
      </c>
      <c r="K56" s="845" t="s">
        <v>2160</v>
      </c>
      <c r="L56" s="848" t="str">
        <f ca="1">IF(L48&lt;J51,"——",L48-J51)</f>
        <v>——</v>
      </c>
      <c r="M56" s="835"/>
      <c r="O56" s="843" t="s">
        <v>1354</v>
      </c>
      <c r="P56" s="844" t="s">
        <v>2126</v>
      </c>
      <c r="Q56" s="882" t="s">
        <v>2127</v>
      </c>
      <c r="R56" s="844" t="s">
        <v>2128</v>
      </c>
    </row>
    <row r="57" spans="1:18" s="623" customFormat="1" ht="28.5" customHeight="1">
      <c r="A57" s="775" t="s">
        <v>2106</v>
      </c>
      <c r="B57" s="776" t="s">
        <v>2047</v>
      </c>
      <c r="C57" s="126">
        <f ca="1">ROUND(C58+C63+C64+C65,0)</f>
        <v>162</v>
      </c>
      <c r="D57" s="778" t="s">
        <v>2048</v>
      </c>
      <c r="E57" s="129"/>
      <c r="F57" s="701"/>
      <c r="I57" s="870" t="s">
        <v>2161</v>
      </c>
      <c r="J57" s="871" t="str">
        <f ca="1">IF(OR(M47="住宅",J51&lt;L48,J56="是"),"——",J51-L48)</f>
        <v>——</v>
      </c>
      <c r="K57" s="845" t="s">
        <v>2162</v>
      </c>
      <c r="L57" s="848" t="str">
        <f ca="1">IF(L48&lt;J51,"——",IF(L55="比较法",L49,IF(L55="基准地价",L50,L51)))</f>
        <v>——</v>
      </c>
      <c r="M57" s="835"/>
      <c r="O57" s="849" t="s">
        <v>2130</v>
      </c>
      <c r="P57" s="850" t="s">
        <v>2131</v>
      </c>
      <c r="Q57" s="883">
        <f ca="1">C40+J29</f>
        <v>-3744</v>
      </c>
      <c r="R57" s="850" t="s">
        <v>2132</v>
      </c>
    </row>
    <row r="58" spans="1:18" s="623" customFormat="1" ht="28.5" customHeight="1">
      <c r="A58" s="696" t="s">
        <v>879</v>
      </c>
      <c r="B58" s="658" t="s">
        <v>2052</v>
      </c>
      <c r="C58" s="723">
        <f ca="1">ROUND(IF(AND(项目基本情况!B11="自然人",项目基本情况!B10="北京市"),C48*F58/(1+'数据-取费表'!C42),C59+C60+C61),2)</f>
        <v>2.12</v>
      </c>
      <c r="D58" s="693" t="s">
        <v>2053</v>
      </c>
      <c r="E58" s="724" t="s">
        <v>2054</v>
      </c>
      <c r="F58" s="725" t="str">
        <f>IF(项目基本情况!B11="企业","——",IF('数据-取费表'!B10="住宅",IF(F48*F49*F50/12/(1+'数据-取费表'!F30)&gt;100000,4%,2.5%),IF(F48*F49*F50/12/(1+'数据-取费表'!F30)&gt;100000,12%,7%)))</f>
        <v>——</v>
      </c>
      <c r="I58" s="870" t="s">
        <v>2163</v>
      </c>
      <c r="J58" s="872" t="e">
        <f ca="1">IF(J55&lt;0.4,0.4,J55)</f>
        <v>#VALUE!</v>
      </c>
      <c r="K58" s="845" t="s">
        <v>2164</v>
      </c>
      <c r="L58" s="848" t="e">
        <f ca="1">ROUND(POWER(1+L52,L47-L48)*(POWER(1+L52,L48)-1)/(POWER(1+L52,L47)-1),4)</f>
        <v>#DIV/0!</v>
      </c>
      <c r="M58" s="835"/>
      <c r="O58" s="849" t="s">
        <v>2135</v>
      </c>
      <c r="P58" s="850" t="s">
        <v>2165</v>
      </c>
      <c r="Q58" s="883">
        <f ca="1">L60</f>
        <v>0</v>
      </c>
      <c r="R58" s="885" t="s">
        <v>2166</v>
      </c>
    </row>
    <row r="59" spans="1:18" s="623" customFormat="1" ht="28.5" customHeight="1">
      <c r="A59" s="691" t="s">
        <v>904</v>
      </c>
      <c r="B59" s="658" t="s">
        <v>2055</v>
      </c>
      <c r="C59" s="127">
        <f ca="1">ROUND(C47*F59/1.05,2)</f>
        <v>0</v>
      </c>
      <c r="D59" s="724" t="s">
        <v>2056</v>
      </c>
      <c r="E59" s="658" t="s">
        <v>2046</v>
      </c>
      <c r="F59" s="700">
        <f t="shared" ref="F59:F65" si="0">F32</f>
        <v>5.5E-2</v>
      </c>
      <c r="I59" s="870" t="s">
        <v>2167</v>
      </c>
      <c r="J59" s="871" t="str">
        <f ca="1">IF(OR(M47="住宅",J51&lt;L48,J56="是"),"——",ROUND(C29*J58,0))</f>
        <v>——</v>
      </c>
      <c r="K59" s="845" t="str">
        <f>IF(D1="——","建筑物剩余耐用年限下的土地年期修正系数Kn","建设期及建筑物耐用年限下的土地年期修正系数Kn")</f>
        <v>建筑物剩余耐用年限下的土地年期修正系数Kn</v>
      </c>
      <c r="L59" s="848" t="e">
        <f ca="1">ROUND(IF(D1="土地（套用方法）",POWER(1+L52,L47-(J51+'数据-取费表'!B20))*(POWER(1+L52,(J51+'数据-取费表'!B20))-1)/(POWER(1+L52,L47)-1),POWER(1+L52,L47-J51)*(POWER(1+L52,J51)-1)/(POWER(1+L52,L47)-1)),4)</f>
        <v>#DIV/0!</v>
      </c>
      <c r="M59" s="835"/>
      <c r="O59" s="855" t="s">
        <v>2140</v>
      </c>
      <c r="P59" s="850" t="s">
        <v>2169</v>
      </c>
      <c r="Q59" s="883">
        <f>IF(L55="比较法",L49,IF(L55="基准地价",L50,0))</f>
        <v>0</v>
      </c>
      <c r="R59" s="850" t="s">
        <v>2132</v>
      </c>
    </row>
    <row r="60" spans="1:18" s="623" customFormat="1" ht="18" customHeight="1">
      <c r="A60" s="691" t="s">
        <v>908</v>
      </c>
      <c r="B60" s="658" t="s">
        <v>2059</v>
      </c>
      <c r="C60" s="127">
        <f ca="1">IF(D60="按租金收入计税",ROUND(C48*F60/(1+'数据-取费表'!C42),2),IF(D60="按房产原值计税",ROUND(C56*F60*0.7,2),INDIRECT("'数据-取费表'!Aj"&amp;$G$1)))</f>
        <v>0</v>
      </c>
      <c r="D60" s="724" t="str">
        <f>D33</f>
        <v>按租金收入计税</v>
      </c>
      <c r="E60" s="658" t="s">
        <v>2046</v>
      </c>
      <c r="F60" s="700">
        <f t="shared" si="0"/>
        <v>0.12</v>
      </c>
      <c r="I60" s="873" t="s">
        <v>2170</v>
      </c>
      <c r="J60" s="874" t="str">
        <f ca="1">IF(OR(M47="住宅",J51&lt;L48,J56="是"),"0",ROUND(J59/(1+J52)^J53,0))</f>
        <v>0</v>
      </c>
      <c r="K60" s="875" t="s">
        <v>2171</v>
      </c>
      <c r="L60" s="874">
        <f ca="1">IF(OR(M47="住宅",L48&lt;J51),0,ROUND(L57*(L58/L59-1),0))</f>
        <v>0</v>
      </c>
      <c r="M60" s="835"/>
      <c r="O60" s="855" t="s">
        <v>2144</v>
      </c>
      <c r="P60" s="850" t="s">
        <v>2172</v>
      </c>
      <c r="Q60" s="884">
        <f>L52</f>
        <v>0</v>
      </c>
      <c r="R60" s="885"/>
    </row>
    <row r="61" spans="1:18" s="623" customFormat="1" ht="18" customHeight="1">
      <c r="A61" s="704" t="s">
        <v>911</v>
      </c>
      <c r="B61" s="730" t="s">
        <v>2064</v>
      </c>
      <c r="C61" s="731">
        <f ca="1">ROUND(F61*F62/10000,2)</f>
        <v>2.12</v>
      </c>
      <c r="D61" s="732" t="s">
        <v>2065</v>
      </c>
      <c r="E61" s="658" t="s">
        <v>2066</v>
      </c>
      <c r="F61" s="708">
        <f t="shared" si="0"/>
        <v>1.5</v>
      </c>
      <c r="K61" s="830"/>
      <c r="O61" s="855" t="s">
        <v>2147</v>
      </c>
      <c r="P61" s="850" t="s">
        <v>2173</v>
      </c>
      <c r="Q61" s="883" t="e">
        <f ca="1">L58</f>
        <v>#DIV/0!</v>
      </c>
      <c r="R61" s="885" t="s">
        <v>2174</v>
      </c>
    </row>
    <row r="62" spans="1:18" s="623" customFormat="1">
      <c r="A62" s="733"/>
      <c r="B62" s="734"/>
      <c r="C62" s="735"/>
      <c r="D62" s="736"/>
      <c r="E62" s="658" t="s">
        <v>2071</v>
      </c>
      <c r="F62" s="659">
        <f t="shared" ca="1" si="0"/>
        <v>14114.16</v>
      </c>
      <c r="I62" s="876" t="s">
        <v>2175</v>
      </c>
      <c r="J62" s="877" t="s">
        <v>2176</v>
      </c>
      <c r="K62" s="877" t="s">
        <v>2177</v>
      </c>
      <c r="L62" s="877" t="s">
        <v>2178</v>
      </c>
      <c r="M62" s="878" t="s">
        <v>2179</v>
      </c>
      <c r="O62" s="855" t="s">
        <v>2150</v>
      </c>
      <c r="P62" s="850" t="str">
        <f>K59</f>
        <v>建筑物剩余耐用年限下的土地年期修正系数Kn</v>
      </c>
      <c r="Q62" s="883" t="e">
        <f ca="1">L59</f>
        <v>#DIV/0!</v>
      </c>
      <c r="R62" s="885" t="s">
        <v>2181</v>
      </c>
    </row>
    <row r="63" spans="1:18" s="623" customFormat="1">
      <c r="A63" s="696" t="s">
        <v>881</v>
      </c>
      <c r="B63" s="658" t="s">
        <v>2074</v>
      </c>
      <c r="C63" s="127">
        <f ca="1">ROUND(C56*F63,2)</f>
        <v>123.14</v>
      </c>
      <c r="D63" s="724" t="s">
        <v>2109</v>
      </c>
      <c r="E63" s="658" t="s">
        <v>2046</v>
      </c>
      <c r="F63" s="737">
        <f t="shared" ca="1" si="0"/>
        <v>5.0000000000000001E-3</v>
      </c>
      <c r="I63" s="876" t="s">
        <v>2182</v>
      </c>
      <c r="J63" s="877">
        <v>70</v>
      </c>
      <c r="K63" s="877">
        <v>50</v>
      </c>
      <c r="L63" s="877">
        <v>80</v>
      </c>
      <c r="M63" s="879">
        <v>0.02</v>
      </c>
      <c r="O63" s="849" t="s">
        <v>2153</v>
      </c>
      <c r="P63" s="850" t="s">
        <v>2154</v>
      </c>
      <c r="Q63" s="883">
        <f ca="1">Q57+Q58</f>
        <v>-3744</v>
      </c>
      <c r="R63" s="885" t="s">
        <v>2155</v>
      </c>
    </row>
    <row r="64" spans="1:18" s="623" customFormat="1" ht="15.75">
      <c r="A64" s="696" t="s">
        <v>950</v>
      </c>
      <c r="B64" s="658" t="s">
        <v>2078</v>
      </c>
      <c r="C64" s="127">
        <f ca="1">ROUND(C55*F64,2)</f>
        <v>36.94</v>
      </c>
      <c r="D64" s="724" t="s">
        <v>2079</v>
      </c>
      <c r="E64" s="658" t="s">
        <v>2046</v>
      </c>
      <c r="F64" s="738">
        <f t="shared" ca="1" si="0"/>
        <v>1.5E-3</v>
      </c>
      <c r="I64" s="876" t="s">
        <v>2183</v>
      </c>
      <c r="J64" s="877">
        <v>50</v>
      </c>
      <c r="K64" s="877">
        <v>35</v>
      </c>
      <c r="L64" s="877">
        <v>60</v>
      </c>
      <c r="M64" s="827">
        <v>0</v>
      </c>
      <c r="O64" s="867" t="s">
        <v>2184</v>
      </c>
      <c r="P64" s="837"/>
      <c r="Q64" s="842"/>
      <c r="R64" s="837"/>
    </row>
    <row r="65" spans="1:18" s="623" customFormat="1">
      <c r="A65" s="696" t="s">
        <v>2512</v>
      </c>
      <c r="B65" s="658" t="s">
        <v>2062</v>
      </c>
      <c r="C65" s="127">
        <f ca="1">ROUND(C47*F65,2)</f>
        <v>0</v>
      </c>
      <c r="D65" s="724" t="s">
        <v>2082</v>
      </c>
      <c r="E65" s="658" t="s">
        <v>2046</v>
      </c>
      <c r="F65" s="667">
        <f t="shared" ca="1" si="0"/>
        <v>0.01</v>
      </c>
      <c r="I65" s="876" t="s">
        <v>2185</v>
      </c>
      <c r="J65" s="877">
        <v>40</v>
      </c>
      <c r="K65" s="877">
        <v>30</v>
      </c>
      <c r="L65" s="877">
        <v>50</v>
      </c>
      <c r="M65" s="879">
        <v>0.02</v>
      </c>
      <c r="O65" s="843" t="s">
        <v>1354</v>
      </c>
      <c r="P65" s="844" t="s">
        <v>2126</v>
      </c>
      <c r="Q65" s="882" t="s">
        <v>2127</v>
      </c>
      <c r="R65" s="844" t="s">
        <v>2128</v>
      </c>
    </row>
    <row r="66" spans="1:18" s="623" customFormat="1" ht="24">
      <c r="A66" s="775" t="s">
        <v>2513</v>
      </c>
      <c r="B66" s="886" t="s">
        <v>2086</v>
      </c>
      <c r="C66" s="126">
        <f ca="1">C47-C57</f>
        <v>-162</v>
      </c>
      <c r="D66" s="693" t="s">
        <v>2087</v>
      </c>
      <c r="E66" s="887"/>
      <c r="F66" s="888"/>
      <c r="K66" s="830"/>
      <c r="O66" s="849" t="s">
        <v>2130</v>
      </c>
      <c r="P66" s="850" t="s">
        <v>2131</v>
      </c>
      <c r="Q66" s="883">
        <f ca="1">C40+J29</f>
        <v>-3744</v>
      </c>
      <c r="R66" s="850" t="s">
        <v>2132</v>
      </c>
    </row>
    <row r="67" spans="1:18" s="623" customFormat="1" ht="19.5">
      <c r="A67" s="649" t="s">
        <v>2514</v>
      </c>
      <c r="B67" s="743" t="s">
        <v>2527</v>
      </c>
      <c r="C67" s="656">
        <f ca="1">ROUND(C66*(1-((1+F69)/(1+F67))^F68)/(F67-F69),0)</f>
        <v>-2941</v>
      </c>
      <c r="D67" s="732" t="s">
        <v>2092</v>
      </c>
      <c r="E67" s="658" t="s">
        <v>2093</v>
      </c>
      <c r="F67" s="667">
        <f ca="1">F40</f>
        <v>0.05</v>
      </c>
      <c r="K67" s="830"/>
      <c r="O67" s="849" t="s">
        <v>2135</v>
      </c>
      <c r="P67" s="850" t="s">
        <v>2165</v>
      </c>
      <c r="Q67" s="883">
        <f ca="1">L60</f>
        <v>0</v>
      </c>
      <c r="R67" s="885" t="s">
        <v>2166</v>
      </c>
    </row>
    <row r="68" spans="1:18" ht="21">
      <c r="A68" s="666"/>
      <c r="B68" s="744"/>
      <c r="C68" s="662"/>
      <c r="D68" s="745" t="s">
        <v>2096</v>
      </c>
      <c r="E68" s="658" t="s">
        <v>2097</v>
      </c>
      <c r="F68" s="746">
        <f ca="1">F41</f>
        <v>48.82</v>
      </c>
      <c r="O68" s="855" t="s">
        <v>2140</v>
      </c>
      <c r="P68" s="850" t="s">
        <v>2169</v>
      </c>
      <c r="Q68" s="890">
        <f ca="1">L51</f>
        <v>-38922</v>
      </c>
      <c r="R68" s="891" t="s">
        <v>2186</v>
      </c>
    </row>
    <row r="69" spans="1:18" ht="19.5">
      <c r="A69" s="674"/>
      <c r="B69" s="748"/>
      <c r="C69" s="688"/>
      <c r="D69" s="736"/>
      <c r="E69" s="658" t="s">
        <v>2101</v>
      </c>
      <c r="F69" s="773"/>
      <c r="O69" s="855" t="s">
        <v>2144</v>
      </c>
      <c r="P69" s="889" t="s">
        <v>2187</v>
      </c>
      <c r="Q69" s="883">
        <f ca="1">ROUND(Q70-Q71*Q72,0)</f>
        <v>-1886</v>
      </c>
      <c r="R69" s="885"/>
    </row>
    <row r="70" spans="1:18">
      <c r="A70" s="719" t="s">
        <v>2519</v>
      </c>
      <c r="B70" s="749" t="s">
        <v>2531</v>
      </c>
      <c r="C70" s="750">
        <f ca="1">ROUND(C67*10000/F70,0)</f>
        <v>-632</v>
      </c>
      <c r="D70" s="751" t="s">
        <v>2532</v>
      </c>
      <c r="E70" s="752" t="s">
        <v>2533</v>
      </c>
      <c r="F70" s="753">
        <f ca="1">F43</f>
        <v>46502.98</v>
      </c>
      <c r="O70" s="855" t="s">
        <v>2188</v>
      </c>
      <c r="P70" s="889" t="s">
        <v>2189</v>
      </c>
      <c r="Q70" s="883">
        <f ca="1">C39</f>
        <v>-162</v>
      </c>
      <c r="R70" s="850" t="s">
        <v>2132</v>
      </c>
    </row>
    <row r="71" spans="1:18">
      <c r="O71" s="855" t="s">
        <v>2190</v>
      </c>
      <c r="P71" s="889" t="s">
        <v>2191</v>
      </c>
      <c r="Q71" s="883">
        <f ca="1">C13</f>
        <v>24628</v>
      </c>
      <c r="R71" s="850" t="s">
        <v>2132</v>
      </c>
    </row>
    <row r="72" spans="1:18">
      <c r="O72" s="855" t="s">
        <v>2192</v>
      </c>
      <c r="P72" s="889" t="s">
        <v>2193</v>
      </c>
      <c r="Q72" s="884">
        <f ca="1">J36</f>
        <v>7.0000000000000007E-2</v>
      </c>
      <c r="R72" s="885"/>
    </row>
    <row r="73" spans="1:18">
      <c r="O73" s="855" t="s">
        <v>2147</v>
      </c>
      <c r="P73" s="850" t="s">
        <v>2172</v>
      </c>
      <c r="Q73" s="884">
        <f>L52</f>
        <v>0</v>
      </c>
      <c r="R73" s="885"/>
    </row>
    <row r="74" spans="1:18" ht="19.5">
      <c r="O74" s="855" t="s">
        <v>2150</v>
      </c>
      <c r="P74" s="850" t="s">
        <v>2173</v>
      </c>
      <c r="Q74" s="883" t="e">
        <f ca="1">L58</f>
        <v>#DIV/0!</v>
      </c>
      <c r="R74" s="885" t="s">
        <v>2174</v>
      </c>
    </row>
    <row r="75" spans="1:18">
      <c r="O75" s="855" t="s">
        <v>2194</v>
      </c>
      <c r="P75" s="850" t="str">
        <f>K59</f>
        <v>建筑物剩余耐用年限下的土地年期修正系数Kn</v>
      </c>
      <c r="Q75" s="883" t="e">
        <f ca="1">L59</f>
        <v>#DIV/0!</v>
      </c>
      <c r="R75" s="885" t="s">
        <v>2181</v>
      </c>
    </row>
    <row r="76" spans="1:18">
      <c r="O76" s="849" t="s">
        <v>2153</v>
      </c>
      <c r="P76" s="850" t="s">
        <v>2154</v>
      </c>
      <c r="Q76" s="883">
        <f ca="1">Q66+Q67</f>
        <v>-3744</v>
      </c>
      <c r="R76" s="885" t="s">
        <v>2155</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R39" sqref="R39:W39"/>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t="s">
        <v>437</v>
      </c>
      <c r="C1" s="209" t="s">
        <v>2464</v>
      </c>
      <c r="D1" s="210" t="s">
        <v>437</v>
      </c>
      <c r="E1" s="211"/>
      <c r="F1" s="212" t="s">
        <v>2465</v>
      </c>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f>IF(B37="元/平方米",ROUND(B3*D3/10000,0),ROUND(F3*C39/10000,0))</f>
        <v>16382</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f>IF(B37="元/平方米",C39,ROUND(B2*10000/D3,0))</f>
        <v>3523</v>
      </c>
      <c r="C3" s="221" t="s">
        <v>2468</v>
      </c>
      <c r="D3" s="222">
        <f>SUMIF('数据-汇总表'!$C19:$C33,D1,'数据-汇总表'!$E19:$E33)</f>
        <v>46502.98</v>
      </c>
      <c r="E3" s="597" t="s">
        <v>2541</v>
      </c>
      <c r="F3" s="222">
        <f>SUMIF('数据-取费表'!A5:A15,D1,'数据-取费表'!AH5:AH15)</f>
        <v>1223</v>
      </c>
      <c r="G3" s="217"/>
      <c r="H3" s="217">
        <f>B2/F3</f>
        <v>13.394930498773508</v>
      </c>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47" t="s">
        <v>994</v>
      </c>
      <c r="D4" s="3848"/>
      <c r="E4" s="3847" t="s">
        <v>995</v>
      </c>
      <c r="F4" s="3848"/>
      <c r="G4" s="3847" t="s">
        <v>996</v>
      </c>
      <c r="H4" s="3848"/>
      <c r="I4" s="3847" t="s">
        <v>997</v>
      </c>
      <c r="J4" s="3848"/>
      <c r="K4" s="388" t="s">
        <v>998</v>
      </c>
      <c r="L4" s="389"/>
      <c r="M4" s="390"/>
      <c r="N4" s="390"/>
      <c r="O4" s="390"/>
      <c r="P4" s="3877" t="s">
        <v>999</v>
      </c>
      <c r="Q4" s="3878"/>
      <c r="R4" s="3868" t="s">
        <v>995</v>
      </c>
      <c r="S4" s="3869"/>
      <c r="T4" s="3868" t="s">
        <v>996</v>
      </c>
      <c r="U4" s="3869"/>
      <c r="V4" s="3859" t="s">
        <v>997</v>
      </c>
      <c r="W4" s="3859"/>
      <c r="X4" s="460"/>
      <c r="Y4" s="3868" t="s">
        <v>999</v>
      </c>
      <c r="Z4" s="3869"/>
      <c r="AA4" s="3874" t="s">
        <v>995</v>
      </c>
      <c r="AB4" s="3875" t="s">
        <v>996</v>
      </c>
      <c r="AC4" s="3874" t="s">
        <v>997</v>
      </c>
    </row>
    <row r="5" spans="1:29" ht="15">
      <c r="A5" s="225"/>
      <c r="B5" s="226"/>
      <c r="C5" s="3849" t="s">
        <v>1000</v>
      </c>
      <c r="D5" s="3850"/>
      <c r="E5" s="3972" t="s">
        <v>2709</v>
      </c>
      <c r="F5" s="3850"/>
      <c r="G5" s="3972" t="s">
        <v>2701</v>
      </c>
      <c r="H5" s="3850"/>
      <c r="I5" s="3972" t="s">
        <v>2707</v>
      </c>
      <c r="J5" s="3850"/>
      <c r="K5" s="388"/>
      <c r="L5" s="389"/>
      <c r="M5" s="390"/>
      <c r="N5" s="390"/>
      <c r="O5" s="390"/>
      <c r="P5" s="3879"/>
      <c r="Q5" s="3880"/>
      <c r="R5" s="3870"/>
      <c r="S5" s="3871"/>
      <c r="T5" s="3870"/>
      <c r="U5" s="3871"/>
      <c r="V5" s="3859"/>
      <c r="W5" s="3859"/>
      <c r="X5" s="460"/>
      <c r="Y5" s="3870"/>
      <c r="Z5" s="3871"/>
      <c r="AA5" s="3875"/>
      <c r="AB5" s="3875"/>
      <c r="AC5" s="3875"/>
    </row>
    <row r="6" spans="1:29" ht="15">
      <c r="A6" s="227"/>
      <c r="B6" s="228"/>
      <c r="C6" s="3853" t="s">
        <v>1001</v>
      </c>
      <c r="D6" s="3854"/>
      <c r="E6" s="3851" t="s">
        <v>1001</v>
      </c>
      <c r="F6" s="3852"/>
      <c r="G6" s="3853" t="s">
        <v>1001</v>
      </c>
      <c r="H6" s="3854"/>
      <c r="I6" s="3853" t="s">
        <v>1001</v>
      </c>
      <c r="J6" s="3854"/>
      <c r="K6" s="388" t="s">
        <v>1002</v>
      </c>
      <c r="L6" s="389"/>
      <c r="M6" s="390"/>
      <c r="N6" s="390"/>
      <c r="O6" s="390"/>
      <c r="P6" s="3881"/>
      <c r="Q6" s="3882"/>
      <c r="R6" s="3870"/>
      <c r="S6" s="3871"/>
      <c r="T6" s="3872"/>
      <c r="U6" s="3873"/>
      <c r="V6" s="3859"/>
      <c r="W6" s="3859"/>
      <c r="X6" s="460"/>
      <c r="Y6" s="3872"/>
      <c r="Z6" s="3873"/>
      <c r="AA6" s="3876"/>
      <c r="AB6" s="3876"/>
      <c r="AC6" s="3876"/>
    </row>
    <row r="7" spans="1:29" s="199" customFormat="1" ht="15">
      <c r="A7" s="229"/>
      <c r="B7" s="230" t="s">
        <v>1003</v>
      </c>
      <c r="C7" s="231">
        <f>'数据-取费表'!B2</f>
        <v>45271</v>
      </c>
      <c r="D7" s="232">
        <v>100</v>
      </c>
      <c r="E7" s="233">
        <v>45261</v>
      </c>
      <c r="F7" s="234">
        <f>SUMIF(48:48,YEAR(E7)&amp;"-"&amp;MONTH(E7),49:49)</f>
        <v>100</v>
      </c>
      <c r="G7" s="233">
        <v>45261</v>
      </c>
      <c r="H7" s="232">
        <f>SUMIF(48:48,YEAR(G7)&amp;"-"&amp;MONTH(G7),49:49)</f>
        <v>100</v>
      </c>
      <c r="I7" s="233">
        <v>45261</v>
      </c>
      <c r="J7" s="232">
        <f>SUMIF(48:48,YEAR(I7)&amp;"-"&amp;MONTH(I7),49:49)</f>
        <v>100</v>
      </c>
      <c r="K7" s="391"/>
      <c r="L7" s="392"/>
      <c r="M7" s="393"/>
      <c r="N7" s="393"/>
      <c r="O7" s="393"/>
      <c r="P7" s="3855" t="s">
        <v>1004</v>
      </c>
      <c r="Q7" s="3856"/>
      <c r="R7" s="461" t="s">
        <v>1005</v>
      </c>
      <c r="S7" s="462">
        <f t="shared" ref="S7:S14" si="0">F7</f>
        <v>100</v>
      </c>
      <c r="T7" s="461" t="s">
        <v>1005</v>
      </c>
      <c r="U7" s="462">
        <f t="shared" ref="U7:U14" si="1">H7</f>
        <v>100</v>
      </c>
      <c r="V7" s="461" t="s">
        <v>1005</v>
      </c>
      <c r="W7" s="462">
        <f t="shared" ref="W7:W14" si="2">J7</f>
        <v>100</v>
      </c>
      <c r="X7" s="463"/>
      <c r="Y7" s="3855" t="s">
        <v>1004</v>
      </c>
      <c r="Z7" s="3857"/>
      <c r="AA7" s="480">
        <f>D7/F7</f>
        <v>1</v>
      </c>
      <c r="AB7" s="480">
        <f>D7/H7</f>
        <v>1</v>
      </c>
      <c r="AC7" s="480">
        <f>D7/J7</f>
        <v>1</v>
      </c>
    </row>
    <row r="8" spans="1:29" s="199" customFormat="1" ht="15">
      <c r="A8" s="236"/>
      <c r="B8" s="237" t="s">
        <v>1006</v>
      </c>
      <c r="C8" s="238" t="s">
        <v>1007</v>
      </c>
      <c r="D8" s="232">
        <v>100</v>
      </c>
      <c r="E8" s="238" t="s">
        <v>1008</v>
      </c>
      <c r="F8" s="234">
        <f>SUMIF(51:51,E8,52:52)-SUMIF(51:51,C8,52:52)+100</f>
        <v>100</v>
      </c>
      <c r="G8" s="238" t="s">
        <v>1008</v>
      </c>
      <c r="H8" s="232">
        <f>SUMIF(51:51,G8,52:52)-SUMIF(51:51,C8,52:52)+100</f>
        <v>100</v>
      </c>
      <c r="I8" s="238" t="s">
        <v>1008</v>
      </c>
      <c r="J8" s="232">
        <f>SUMIF(51:51,I8,52:52)-SUMIF(51:51,C8,52:52)+100</f>
        <v>100</v>
      </c>
      <c r="K8" s="391"/>
      <c r="L8" s="392"/>
      <c r="M8" s="393"/>
      <c r="N8" s="393"/>
      <c r="O8" s="393"/>
      <c r="P8" s="3855" t="s">
        <v>1009</v>
      </c>
      <c r="Q8" s="3857"/>
      <c r="R8" s="461" t="s">
        <v>1005</v>
      </c>
      <c r="S8" s="462">
        <f t="shared" si="0"/>
        <v>100</v>
      </c>
      <c r="T8" s="461" t="s">
        <v>1005</v>
      </c>
      <c r="U8" s="462">
        <f t="shared" si="1"/>
        <v>100</v>
      </c>
      <c r="V8" s="461" t="s">
        <v>1005</v>
      </c>
      <c r="W8" s="462">
        <f t="shared" si="2"/>
        <v>100</v>
      </c>
      <c r="X8" s="463"/>
      <c r="Y8" s="3855" t="s">
        <v>1009</v>
      </c>
      <c r="Z8" s="3857"/>
      <c r="AA8" s="480">
        <f t="shared" ref="AA8:AA36" si="3">D8/F8</f>
        <v>1</v>
      </c>
      <c r="AB8" s="480">
        <f t="shared" ref="AB8:AB36" si="4">D8/H8</f>
        <v>1</v>
      </c>
      <c r="AC8" s="480">
        <f t="shared" ref="AC8:AC36" si="5">D8/J8</f>
        <v>1</v>
      </c>
    </row>
    <row r="9" spans="1:29" s="199" customFormat="1" ht="15">
      <c r="A9" s="239"/>
      <c r="B9" s="240" t="s">
        <v>1010</v>
      </c>
      <c r="C9" s="3660" t="s">
        <v>2694</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58" t="s">
        <v>1011</v>
      </c>
      <c r="Q9" s="464" t="str">
        <f t="shared" ref="Q9:Q14" si="6">B9</f>
        <v>用途</v>
      </c>
      <c r="R9" s="461" t="s">
        <v>1005</v>
      </c>
      <c r="S9" s="462">
        <f t="shared" si="0"/>
        <v>100</v>
      </c>
      <c r="T9" s="461" t="s">
        <v>1005</v>
      </c>
      <c r="U9" s="462">
        <f t="shared" si="1"/>
        <v>100</v>
      </c>
      <c r="V9" s="461" t="s">
        <v>1005</v>
      </c>
      <c r="W9" s="462">
        <f t="shared" si="2"/>
        <v>100</v>
      </c>
      <c r="X9" s="463"/>
      <c r="Y9" s="3776"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58"/>
      <c r="Q10" s="464" t="str">
        <f t="shared" si="6"/>
        <v>土地使用年限（年）</v>
      </c>
      <c r="R10" s="461" t="s">
        <v>1005</v>
      </c>
      <c r="S10" s="462">
        <f t="shared" si="0"/>
        <v>100</v>
      </c>
      <c r="T10" s="461" t="s">
        <v>1005</v>
      </c>
      <c r="U10" s="462">
        <f t="shared" si="1"/>
        <v>100</v>
      </c>
      <c r="V10" s="461" t="s">
        <v>1005</v>
      </c>
      <c r="W10" s="462">
        <f t="shared" si="2"/>
        <v>100</v>
      </c>
      <c r="X10" s="463"/>
      <c r="Y10" s="3776"/>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58"/>
      <c r="Q11" s="464">
        <f t="shared" si="6"/>
        <v>111</v>
      </c>
      <c r="R11" s="461" t="s">
        <v>1005</v>
      </c>
      <c r="S11" s="462">
        <f t="shared" si="0"/>
        <v>100</v>
      </c>
      <c r="T11" s="461" t="s">
        <v>1005</v>
      </c>
      <c r="U11" s="462">
        <f t="shared" si="1"/>
        <v>100</v>
      </c>
      <c r="V11" s="461" t="s">
        <v>1005</v>
      </c>
      <c r="W11" s="462">
        <f t="shared" si="2"/>
        <v>100</v>
      </c>
      <c r="X11" s="463"/>
      <c r="Y11" s="3776"/>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58"/>
      <c r="Q12" s="464">
        <f t="shared" si="6"/>
        <v>111</v>
      </c>
      <c r="R12" s="461" t="s">
        <v>1005</v>
      </c>
      <c r="S12" s="462">
        <f t="shared" si="0"/>
        <v>100</v>
      </c>
      <c r="T12" s="461" t="s">
        <v>1005</v>
      </c>
      <c r="U12" s="462">
        <f t="shared" si="1"/>
        <v>100</v>
      </c>
      <c r="V12" s="461" t="s">
        <v>1005</v>
      </c>
      <c r="W12" s="462">
        <f t="shared" si="2"/>
        <v>100</v>
      </c>
      <c r="X12" s="463"/>
      <c r="Y12" s="3776"/>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58"/>
      <c r="Q13" s="464">
        <f t="shared" si="6"/>
        <v>111</v>
      </c>
      <c r="R13" s="461" t="s">
        <v>1005</v>
      </c>
      <c r="S13" s="462">
        <f t="shared" si="0"/>
        <v>100</v>
      </c>
      <c r="T13" s="461" t="s">
        <v>1005</v>
      </c>
      <c r="U13" s="462">
        <f t="shared" si="1"/>
        <v>100</v>
      </c>
      <c r="V13" s="461" t="s">
        <v>1005</v>
      </c>
      <c r="W13" s="462">
        <f t="shared" si="2"/>
        <v>100</v>
      </c>
      <c r="X13" s="463"/>
      <c r="Y13" s="3776"/>
      <c r="Z13" s="481">
        <f t="shared" si="7"/>
        <v>111</v>
      </c>
      <c r="AA13" s="480">
        <f t="shared" si="3"/>
        <v>1</v>
      </c>
      <c r="AB13" s="480">
        <f t="shared" si="4"/>
        <v>1</v>
      </c>
      <c r="AC13" s="480">
        <f t="shared" si="5"/>
        <v>1</v>
      </c>
    </row>
    <row r="14" spans="1:29" ht="114">
      <c r="A14" s="257" t="s">
        <v>1016</v>
      </c>
      <c r="B14" s="552" t="s">
        <v>227</v>
      </c>
      <c r="C14" s="259" t="str">
        <f>IF(B1="工业",估价对象房地状况!G4,估价对象房地状况!C6)</f>
        <v>估价对象周边道路状况、公共交通通达情况970、980、郊80、密6路等、停车便捷程度，综合评价交通便捷度一般</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60" t="s">
        <v>1017</v>
      </c>
      <c r="Q14" s="395" t="str">
        <f t="shared" si="6"/>
        <v>交通便捷度</v>
      </c>
      <c r="R14" s="465" t="s">
        <v>1005</v>
      </c>
      <c r="S14" s="466">
        <f t="shared" si="0"/>
        <v>100</v>
      </c>
      <c r="T14" s="465" t="s">
        <v>1005</v>
      </c>
      <c r="U14" s="466">
        <f t="shared" si="1"/>
        <v>100</v>
      </c>
      <c r="V14" s="465" t="s">
        <v>1005</v>
      </c>
      <c r="W14" s="466">
        <f t="shared" si="2"/>
        <v>100</v>
      </c>
      <c r="X14" s="460"/>
      <c r="Y14" s="3860" t="s">
        <v>1017</v>
      </c>
      <c r="Z14" s="459" t="str">
        <f t="shared" si="7"/>
        <v>交通便捷度</v>
      </c>
      <c r="AA14" s="471">
        <f t="shared" si="3"/>
        <v>1</v>
      </c>
      <c r="AB14" s="471">
        <f t="shared" si="4"/>
        <v>1</v>
      </c>
      <c r="AC14" s="471">
        <f t="shared" si="5"/>
        <v>1</v>
      </c>
    </row>
    <row r="15" spans="1:29" ht="15">
      <c r="A15" s="225"/>
      <c r="B15" s="598"/>
      <c r="C15" s="266" t="s">
        <v>1018</v>
      </c>
      <c r="D15" s="267"/>
      <c r="E15" s="266" t="s">
        <v>1018</v>
      </c>
      <c r="F15" s="268"/>
      <c r="G15" s="266" t="s">
        <v>1018</v>
      </c>
      <c r="H15" s="269"/>
      <c r="I15" s="266" t="s">
        <v>1018</v>
      </c>
      <c r="J15" s="267"/>
      <c r="K15" s="404"/>
      <c r="L15" s="402"/>
      <c r="M15" s="390"/>
      <c r="N15" s="390"/>
      <c r="O15" s="401"/>
      <c r="P15" s="3861"/>
      <c r="Q15" s="395"/>
      <c r="R15" s="465"/>
      <c r="S15" s="466"/>
      <c r="T15" s="465"/>
      <c r="U15" s="466"/>
      <c r="V15" s="465"/>
      <c r="W15" s="466"/>
      <c r="X15" s="460"/>
      <c r="Y15" s="3861"/>
      <c r="Z15" s="459"/>
      <c r="AA15" s="471">
        <v>1</v>
      </c>
      <c r="AB15" s="471">
        <v>1</v>
      </c>
      <c r="AC15" s="471">
        <v>1</v>
      </c>
    </row>
    <row r="16" spans="1:29" ht="42.75">
      <c r="A16" s="225"/>
      <c r="B16" s="270" t="s">
        <v>229</v>
      </c>
      <c r="C16" s="271" t="str">
        <f>IF(B1="工业",估价对象房地状况!G5,估价对象房地状况!C7)</f>
        <v>估价对象所在区域公共配套设施齐备情况较差</v>
      </c>
      <c r="D16" s="272">
        <v>100</v>
      </c>
      <c r="E16" s="275"/>
      <c r="F16" s="274">
        <f>SUMIF(65:65,E17,66:66)-SUMIF(65:65,C17,66:66)+100</f>
        <v>100</v>
      </c>
      <c r="G16" s="275"/>
      <c r="H16" s="272">
        <f>SUMIF(65:65,G17,66:66)-SUMIF(65:65,C17,66:66)+100</f>
        <v>102</v>
      </c>
      <c r="I16" s="273"/>
      <c r="J16" s="272">
        <f>SUMIF(65:65,I17,66:66)-SUMIF(65:65,C17,66:66)+100</f>
        <v>102</v>
      </c>
      <c r="K16" s="403">
        <f>'不动产比较法-住宅'!K19</f>
        <v>2</v>
      </c>
      <c r="L16" s="402"/>
      <c r="M16" s="390"/>
      <c r="N16" s="390"/>
      <c r="O16" s="401"/>
      <c r="P16" s="3861"/>
      <c r="Q16" s="395" t="str">
        <f>B16</f>
        <v>公共配套设施</v>
      </c>
      <c r="R16" s="465" t="s">
        <v>1005</v>
      </c>
      <c r="S16" s="466">
        <f>F16</f>
        <v>100</v>
      </c>
      <c r="T16" s="465" t="s">
        <v>1005</v>
      </c>
      <c r="U16" s="466">
        <f>H16</f>
        <v>102</v>
      </c>
      <c r="V16" s="465" t="s">
        <v>1005</v>
      </c>
      <c r="W16" s="466">
        <f>J16</f>
        <v>102</v>
      </c>
      <c r="X16" s="460"/>
      <c r="Y16" s="3861"/>
      <c r="Z16" s="459" t="str">
        <f>Q16</f>
        <v>公共配套设施</v>
      </c>
      <c r="AA16" s="471">
        <f t="shared" si="3"/>
        <v>1</v>
      </c>
      <c r="AB16" s="471">
        <f t="shared" si="4"/>
        <v>0.98039215686274506</v>
      </c>
      <c r="AC16" s="471">
        <f t="shared" si="5"/>
        <v>0.98039215686274506</v>
      </c>
    </row>
    <row r="17" spans="1:29" ht="15">
      <c r="A17" s="225"/>
      <c r="B17" s="276"/>
      <c r="C17" s="277" t="s">
        <v>1021</v>
      </c>
      <c r="D17" s="267"/>
      <c r="E17" s="277" t="s">
        <v>1021</v>
      </c>
      <c r="F17" s="268"/>
      <c r="G17" s="277" t="s">
        <v>1018</v>
      </c>
      <c r="H17" s="267"/>
      <c r="I17" s="266" t="s">
        <v>1018</v>
      </c>
      <c r="J17" s="267"/>
      <c r="K17" s="404"/>
      <c r="L17" s="402"/>
      <c r="M17" s="390"/>
      <c r="N17" s="390"/>
      <c r="O17" s="401"/>
      <c r="P17" s="3861"/>
      <c r="Q17" s="395"/>
      <c r="R17" s="465"/>
      <c r="S17" s="466"/>
      <c r="T17" s="465"/>
      <c r="U17" s="466"/>
      <c r="V17" s="465"/>
      <c r="W17" s="466"/>
      <c r="X17" s="460"/>
      <c r="Y17" s="3861"/>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61"/>
      <c r="Q18" s="395" t="str">
        <f>B18</f>
        <v>基础设施水平</v>
      </c>
      <c r="R18" s="465" t="s">
        <v>1005</v>
      </c>
      <c r="S18" s="466">
        <f>F18</f>
        <v>100</v>
      </c>
      <c r="T18" s="465" t="s">
        <v>1005</v>
      </c>
      <c r="U18" s="466">
        <f>H18</f>
        <v>100</v>
      </c>
      <c r="V18" s="465" t="s">
        <v>1005</v>
      </c>
      <c r="W18" s="466">
        <f>J18</f>
        <v>100</v>
      </c>
      <c r="X18" s="460"/>
      <c r="Y18" s="3861"/>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61"/>
      <c r="Q19" s="395"/>
      <c r="R19" s="465"/>
      <c r="S19" s="466"/>
      <c r="T19" s="465"/>
      <c r="U19" s="466"/>
      <c r="V19" s="465"/>
      <c r="W19" s="466"/>
      <c r="X19" s="460"/>
      <c r="Y19" s="3861"/>
      <c r="Z19" s="459"/>
      <c r="AA19" s="471">
        <v>1</v>
      </c>
      <c r="AB19" s="471">
        <v>1</v>
      </c>
      <c r="AC19" s="471">
        <v>1</v>
      </c>
    </row>
    <row r="20" spans="1:29" ht="57">
      <c r="A20" s="225"/>
      <c r="B20" s="556" t="s">
        <v>2469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2</v>
      </c>
      <c r="L20" s="402"/>
      <c r="M20" s="390"/>
      <c r="N20" s="390"/>
      <c r="O20" s="401"/>
      <c r="P20" s="3861"/>
      <c r="Q20" s="395" t="str">
        <f>B20</f>
        <v>自然及人文环境</v>
      </c>
      <c r="R20" s="465" t="s">
        <v>1005</v>
      </c>
      <c r="S20" s="466">
        <f>F20</f>
        <v>100</v>
      </c>
      <c r="T20" s="465" t="s">
        <v>1005</v>
      </c>
      <c r="U20" s="466">
        <f>H20</f>
        <v>100</v>
      </c>
      <c r="V20" s="465" t="s">
        <v>1005</v>
      </c>
      <c r="W20" s="466">
        <f>J20</f>
        <v>100</v>
      </c>
      <c r="X20" s="460"/>
      <c r="Y20" s="3861"/>
      <c r="Z20" s="459" t="str">
        <f>Q20</f>
        <v>自然及人文环境</v>
      </c>
      <c r="AA20" s="471">
        <f t="shared" si="3"/>
        <v>1</v>
      </c>
      <c r="AB20" s="471">
        <f t="shared" si="4"/>
        <v>1</v>
      </c>
      <c r="AC20" s="471">
        <f t="shared" si="5"/>
        <v>1</v>
      </c>
    </row>
    <row r="21" spans="1:29" ht="15">
      <c r="A21" s="225"/>
      <c r="B21" s="276"/>
      <c r="C21" s="266" t="s">
        <v>1018</v>
      </c>
      <c r="D21" s="267"/>
      <c r="E21" s="266" t="s">
        <v>1018</v>
      </c>
      <c r="F21" s="268"/>
      <c r="G21" s="266" t="s">
        <v>1018</v>
      </c>
      <c r="H21" s="267"/>
      <c r="I21" s="266" t="s">
        <v>1018</v>
      </c>
      <c r="J21" s="267"/>
      <c r="K21" s="404"/>
      <c r="L21" s="402"/>
      <c r="M21" s="390"/>
      <c r="N21" s="390"/>
      <c r="O21" s="401"/>
      <c r="P21" s="3861"/>
      <c r="Q21" s="395"/>
      <c r="R21" s="465"/>
      <c r="S21" s="466"/>
      <c r="T21" s="465"/>
      <c r="U21" s="466"/>
      <c r="V21" s="465"/>
      <c r="W21" s="466"/>
      <c r="X21" s="460"/>
      <c r="Y21" s="3861"/>
      <c r="Z21" s="459"/>
      <c r="AA21" s="471">
        <v>1</v>
      </c>
      <c r="AB21" s="471">
        <v>1</v>
      </c>
      <c r="AC21" s="471">
        <v>1</v>
      </c>
    </row>
    <row r="22" spans="1:29" ht="15">
      <c r="A22" s="225"/>
      <c r="B22" s="556" t="s">
        <v>2542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61"/>
      <c r="Q22" s="395" t="str">
        <f>B22</f>
        <v>楼层</v>
      </c>
      <c r="R22" s="465" t="s">
        <v>1005</v>
      </c>
      <c r="S22" s="466">
        <f>F22</f>
        <v>100</v>
      </c>
      <c r="T22" s="465" t="s">
        <v>1005</v>
      </c>
      <c r="U22" s="466">
        <f>H22</f>
        <v>100</v>
      </c>
      <c r="V22" s="465" t="s">
        <v>1005</v>
      </c>
      <c r="W22" s="466">
        <f>J22</f>
        <v>100</v>
      </c>
      <c r="X22" s="460"/>
      <c r="Y22" s="3861"/>
      <c r="Z22" s="459" t="str">
        <f>Q22</f>
        <v>楼层</v>
      </c>
      <c r="AA22" s="471">
        <f t="shared" si="3"/>
        <v>1</v>
      </c>
      <c r="AB22" s="471">
        <f t="shared" si="4"/>
        <v>1</v>
      </c>
      <c r="AC22" s="471">
        <f t="shared" si="5"/>
        <v>1</v>
      </c>
    </row>
    <row r="23" spans="1:29" ht="15">
      <c r="A23" s="225"/>
      <c r="B23" s="599">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61"/>
      <c r="Q23" s="395">
        <f>B23</f>
        <v>111</v>
      </c>
      <c r="R23" s="465" t="s">
        <v>1005</v>
      </c>
      <c r="S23" s="466">
        <f>F23</f>
        <v>100</v>
      </c>
      <c r="T23" s="465" t="s">
        <v>1005</v>
      </c>
      <c r="U23" s="466">
        <f>H23</f>
        <v>100</v>
      </c>
      <c r="V23" s="465" t="s">
        <v>1005</v>
      </c>
      <c r="W23" s="466">
        <f>J23</f>
        <v>100</v>
      </c>
      <c r="X23" s="460"/>
      <c r="Y23" s="3861"/>
      <c r="Z23" s="459">
        <f>Q23</f>
        <v>111</v>
      </c>
      <c r="AA23" s="471">
        <f t="shared" si="3"/>
        <v>1</v>
      </c>
      <c r="AB23" s="471">
        <f t="shared" si="4"/>
        <v>1</v>
      </c>
      <c r="AC23" s="471">
        <f t="shared" si="5"/>
        <v>1</v>
      </c>
    </row>
    <row r="24" spans="1:29" ht="15">
      <c r="A24" s="225"/>
      <c r="B24" s="599">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61"/>
      <c r="Q24" s="395">
        <f t="shared" ref="Q24:Q36" si="8">B24</f>
        <v>111</v>
      </c>
      <c r="R24" s="465" t="s">
        <v>1005</v>
      </c>
      <c r="S24" s="466">
        <f>F24</f>
        <v>100</v>
      </c>
      <c r="T24" s="465" t="s">
        <v>1005</v>
      </c>
      <c r="U24" s="466">
        <f>H24</f>
        <v>100</v>
      </c>
      <c r="V24" s="465" t="s">
        <v>1005</v>
      </c>
      <c r="W24" s="466">
        <f>J24</f>
        <v>100</v>
      </c>
      <c r="X24" s="460"/>
      <c r="Y24" s="3861"/>
      <c r="Z24" s="459">
        <f>Q24</f>
        <v>111</v>
      </c>
      <c r="AA24" s="471">
        <f t="shared" si="3"/>
        <v>1</v>
      </c>
      <c r="AB24" s="471">
        <f t="shared" si="4"/>
        <v>1</v>
      </c>
      <c r="AC24" s="471">
        <f t="shared" si="5"/>
        <v>1</v>
      </c>
    </row>
    <row r="25" spans="1:29" s="199" customFormat="1" ht="15">
      <c r="A25" s="600"/>
      <c r="B25" s="564">
        <v>111</v>
      </c>
      <c r="C25" s="308"/>
      <c r="D25" s="601">
        <v>100</v>
      </c>
      <c r="E25" s="551"/>
      <c r="F25" s="602">
        <f>SUMIF(77:77,E25,78:78)-SUMIF(77:77,C25,78:78)+100</f>
        <v>100</v>
      </c>
      <c r="G25" s="551"/>
      <c r="H25" s="601">
        <f>SUMIF(77:77,G25,78:78)-SUMIF(77:77,C25,78:78)+100</f>
        <v>100</v>
      </c>
      <c r="I25" s="551"/>
      <c r="J25" s="601">
        <f>SUMIF(77:77,I25,78:78)-SUMIF(77:77,C25,78:78)+100</f>
        <v>100</v>
      </c>
      <c r="K25" s="399"/>
      <c r="L25" s="392"/>
      <c r="M25" s="393"/>
      <c r="N25" s="393"/>
      <c r="O25" s="394"/>
      <c r="P25" s="3861"/>
      <c r="Q25" s="464">
        <f t="shared" si="8"/>
        <v>111</v>
      </c>
      <c r="R25" s="461" t="s">
        <v>1005</v>
      </c>
      <c r="S25" s="462">
        <f>F25</f>
        <v>100</v>
      </c>
      <c r="T25" s="461" t="s">
        <v>1005</v>
      </c>
      <c r="U25" s="462">
        <f>H25</f>
        <v>100</v>
      </c>
      <c r="V25" s="461" t="s">
        <v>1005</v>
      </c>
      <c r="W25" s="462">
        <f>J25</f>
        <v>100</v>
      </c>
      <c r="X25" s="463"/>
      <c r="Y25" s="3861"/>
      <c r="Z25" s="481">
        <f>Q25</f>
        <v>111</v>
      </c>
      <c r="AA25" s="471">
        <f t="shared" si="3"/>
        <v>1</v>
      </c>
      <c r="AB25" s="471">
        <f t="shared" si="4"/>
        <v>1</v>
      </c>
      <c r="AC25" s="471">
        <f t="shared" si="5"/>
        <v>1</v>
      </c>
    </row>
    <row r="26" spans="1:29" ht="15">
      <c r="A26" s="292" t="s">
        <v>1029</v>
      </c>
      <c r="B26" s="603" t="s">
        <v>2543</v>
      </c>
      <c r="C26" s="604" t="str">
        <f>B1</f>
        <v>车库</v>
      </c>
      <c r="D26" s="267">
        <v>100</v>
      </c>
      <c r="E26" s="3665" t="s">
        <v>437</v>
      </c>
      <c r="F26" s="268">
        <f>SUMIF(79:79,E26,80:80)-SUMIF(79:79,C26,80:80)+100</f>
        <v>100</v>
      </c>
      <c r="G26" s="3665" t="s">
        <v>437</v>
      </c>
      <c r="H26" s="267">
        <f>SUMIF(79:79,G26,80:80)-SUMIF(79:79,C26,80:80)+100</f>
        <v>100</v>
      </c>
      <c r="I26" s="3665" t="s">
        <v>437</v>
      </c>
      <c r="J26" s="267">
        <f>SUMIF(79:79,I26,80:80)-SUMIF(79:79,C26,80:80)+100</f>
        <v>100</v>
      </c>
      <c r="K26" s="406">
        <v>3</v>
      </c>
      <c r="L26" s="402"/>
      <c r="M26" s="390"/>
      <c r="N26" s="390"/>
      <c r="O26" s="401"/>
      <c r="P26" s="3862" t="s">
        <v>1028</v>
      </c>
      <c r="Q26" s="395" t="str">
        <f t="shared" si="8"/>
        <v>配套类型</v>
      </c>
      <c r="R26" s="465" t="s">
        <v>1005</v>
      </c>
      <c r="S26" s="466">
        <f t="shared" ref="S26:S36" si="9">F26</f>
        <v>100</v>
      </c>
      <c r="T26" s="465" t="s">
        <v>1005</v>
      </c>
      <c r="U26" s="466">
        <f t="shared" ref="U26:U36" si="10">H26</f>
        <v>100</v>
      </c>
      <c r="V26" s="465" t="s">
        <v>1005</v>
      </c>
      <c r="W26" s="466">
        <f t="shared" ref="W26:W36" si="11">J26</f>
        <v>100</v>
      </c>
      <c r="X26" s="460"/>
      <c r="Y26" s="3863" t="s">
        <v>1028</v>
      </c>
      <c r="Z26" s="459" t="str">
        <f t="shared" ref="Z26:Z36" si="12">Q26</f>
        <v>配套类型</v>
      </c>
      <c r="AA26" s="471">
        <f t="shared" si="3"/>
        <v>1</v>
      </c>
      <c r="AB26" s="471">
        <f t="shared" si="4"/>
        <v>1</v>
      </c>
      <c r="AC26" s="471">
        <f t="shared" si="5"/>
        <v>1</v>
      </c>
    </row>
    <row r="27" spans="1:29" s="201" customFormat="1" ht="15">
      <c r="A27" s="605"/>
      <c r="B27" s="606" t="s">
        <v>2544</v>
      </c>
      <c r="C27" s="607"/>
      <c r="D27" s="246">
        <v>100</v>
      </c>
      <c r="E27" s="3666"/>
      <c r="F27" s="286">
        <f>SUMIF(81:81,E27,82:82)-SUMIF(81:81,C27,82:82)+100</f>
        <v>100</v>
      </c>
      <c r="G27" s="3666"/>
      <c r="H27" s="256">
        <f>SUMIF(81:81,G27,82:82)-SUMIF(81:81,C27,82:82)+100</f>
        <v>100</v>
      </c>
      <c r="I27" s="3666"/>
      <c r="J27" s="256">
        <f>SUMIF(81:81,I27,82:82)-SUMIF(81:81,C27,82:82)+100</f>
        <v>100</v>
      </c>
      <c r="K27" s="399"/>
      <c r="L27" s="400"/>
      <c r="M27" s="407"/>
      <c r="N27" s="407"/>
      <c r="O27" s="408"/>
      <c r="P27" s="3863"/>
      <c r="Q27" s="467" t="str">
        <f t="shared" si="8"/>
        <v>项目停车位配比</v>
      </c>
      <c r="R27" s="468" t="s">
        <v>1005</v>
      </c>
      <c r="S27" s="469">
        <f t="shared" si="9"/>
        <v>100</v>
      </c>
      <c r="T27" s="468" t="s">
        <v>1005</v>
      </c>
      <c r="U27" s="469">
        <f t="shared" si="10"/>
        <v>100</v>
      </c>
      <c r="V27" s="468" t="s">
        <v>1005</v>
      </c>
      <c r="W27" s="469">
        <f t="shared" si="11"/>
        <v>100</v>
      </c>
      <c r="X27" s="470"/>
      <c r="Y27" s="3863"/>
      <c r="Z27" s="482" t="str">
        <f t="shared" si="12"/>
        <v>项目停车位配比</v>
      </c>
      <c r="AA27" s="471">
        <f t="shared" si="3"/>
        <v>1</v>
      </c>
      <c r="AB27" s="471">
        <f t="shared" si="4"/>
        <v>1</v>
      </c>
      <c r="AC27" s="471">
        <f t="shared" si="5"/>
        <v>1</v>
      </c>
    </row>
    <row r="28" spans="1:29" ht="15">
      <c r="A28" s="608"/>
      <c r="B28" s="606" t="s">
        <v>2477</v>
      </c>
      <c r="C28" s="591" t="s">
        <v>2691</v>
      </c>
      <c r="D28" s="256">
        <v>100</v>
      </c>
      <c r="E28" s="591" t="s">
        <v>2691</v>
      </c>
      <c r="F28" s="286">
        <f>SUMIF(83:83,E28,84:84)-SUMIF(83:83,C28,84:84)+100</f>
        <v>100</v>
      </c>
      <c r="G28" s="591" t="s">
        <v>2691</v>
      </c>
      <c r="H28" s="256">
        <f>SUMIF(83:83,G28,84:84)-SUMIF(83:83,C28,84:84)+100</f>
        <v>100</v>
      </c>
      <c r="I28" s="591" t="s">
        <v>2691</v>
      </c>
      <c r="J28" s="256">
        <f>SUMIF(83:83,I28,84:84)-SUMIF(83:83,C28,84:84)+100</f>
        <v>100</v>
      </c>
      <c r="K28" s="406">
        <v>2</v>
      </c>
      <c r="L28" s="402"/>
      <c r="M28" s="390"/>
      <c r="N28" s="390"/>
      <c r="O28" s="401"/>
      <c r="P28" s="3863"/>
      <c r="Q28" s="395" t="str">
        <f t="shared" si="8"/>
        <v>公共部分装修</v>
      </c>
      <c r="R28" s="465" t="s">
        <v>1005</v>
      </c>
      <c r="S28" s="466">
        <f t="shared" si="9"/>
        <v>100</v>
      </c>
      <c r="T28" s="465" t="s">
        <v>1005</v>
      </c>
      <c r="U28" s="466">
        <f t="shared" si="10"/>
        <v>100</v>
      </c>
      <c r="V28" s="465" t="s">
        <v>1005</v>
      </c>
      <c r="W28" s="466">
        <f t="shared" si="11"/>
        <v>100</v>
      </c>
      <c r="X28" s="460"/>
      <c r="Y28" s="3863"/>
      <c r="Z28" s="459" t="str">
        <f t="shared" si="12"/>
        <v>公共部分装修</v>
      </c>
      <c r="AA28" s="471">
        <f t="shared" si="3"/>
        <v>1</v>
      </c>
      <c r="AB28" s="471">
        <f t="shared" si="4"/>
        <v>1</v>
      </c>
      <c r="AC28" s="471">
        <f t="shared" si="5"/>
        <v>1</v>
      </c>
    </row>
    <row r="29" spans="1:29" ht="15">
      <c r="A29" s="608"/>
      <c r="B29" s="606" t="s">
        <v>2545</v>
      </c>
      <c r="C29" s="3657">
        <v>1</v>
      </c>
      <c r="D29" s="256">
        <v>100</v>
      </c>
      <c r="E29" s="3657">
        <v>1</v>
      </c>
      <c r="F29" s="286">
        <f>LOOKUP(E29,86:86,87:87)-LOOKUP(C29,86:86,87:87)+100</f>
        <v>100</v>
      </c>
      <c r="G29" s="3657">
        <v>1</v>
      </c>
      <c r="H29" s="286">
        <f>LOOKUP(G29,86:86,87:87)-LOOKUP(C29,86:86,87:87)+100</f>
        <v>100</v>
      </c>
      <c r="I29" s="3657">
        <v>1</v>
      </c>
      <c r="J29" s="256">
        <f>LOOKUP(I29,86:86,87:87)-LOOKUP(C29,86:86,87:87)+100</f>
        <v>100</v>
      </c>
      <c r="K29" s="406">
        <v>1</v>
      </c>
      <c r="L29" s="402"/>
      <c r="M29" s="390"/>
      <c r="N29" s="390"/>
      <c r="O29" s="401"/>
      <c r="P29" s="3863"/>
      <c r="Q29" s="395" t="str">
        <f t="shared" si="8"/>
        <v>成新率</v>
      </c>
      <c r="R29" s="465" t="s">
        <v>1005</v>
      </c>
      <c r="S29" s="466">
        <f t="shared" si="9"/>
        <v>100</v>
      </c>
      <c r="T29" s="465" t="s">
        <v>1005</v>
      </c>
      <c r="U29" s="466">
        <f t="shared" si="10"/>
        <v>100</v>
      </c>
      <c r="V29" s="465" t="s">
        <v>1005</v>
      </c>
      <c r="W29" s="466">
        <f t="shared" si="11"/>
        <v>100</v>
      </c>
      <c r="X29" s="460"/>
      <c r="Y29" s="3863"/>
      <c r="Z29" s="459" t="str">
        <f t="shared" si="12"/>
        <v>成新率</v>
      </c>
      <c r="AA29" s="471">
        <f t="shared" si="3"/>
        <v>1</v>
      </c>
      <c r="AB29" s="471">
        <f t="shared" si="4"/>
        <v>1</v>
      </c>
      <c r="AC29" s="471">
        <f t="shared" si="5"/>
        <v>1</v>
      </c>
    </row>
    <row r="30" spans="1:29" ht="15">
      <c r="A30" s="608"/>
      <c r="B30" s="606" t="s">
        <v>2546</v>
      </c>
      <c r="C30" s="3667"/>
      <c r="D30" s="256">
        <v>100</v>
      </c>
      <c r="E30" s="3667"/>
      <c r="F30" s="286">
        <f>SUMIF(88:88,E30,89:89)-SUMIF(88:88,C30,89:89)+100</f>
        <v>100</v>
      </c>
      <c r="G30" s="3667"/>
      <c r="H30" s="256">
        <f>SUMIF(88:88,E30,89:89)-SUMIF(88:88,C30,89:89)+100</f>
        <v>100</v>
      </c>
      <c r="I30" s="3667"/>
      <c r="J30" s="256">
        <f>SUMIF(88:88,E30,89:89)-SUMIF(88:88,C30,89:89)+100</f>
        <v>100</v>
      </c>
      <c r="K30" s="406"/>
      <c r="L30" s="402"/>
      <c r="M30" s="390"/>
      <c r="N30" s="390"/>
      <c r="O30" s="401"/>
      <c r="P30" s="3863"/>
      <c r="Q30" s="395" t="str">
        <f t="shared" si="8"/>
        <v>物业等级</v>
      </c>
      <c r="R30" s="465" t="s">
        <v>1005</v>
      </c>
      <c r="S30" s="466">
        <f t="shared" si="9"/>
        <v>100</v>
      </c>
      <c r="T30" s="465" t="s">
        <v>1005</v>
      </c>
      <c r="U30" s="466">
        <f t="shared" si="10"/>
        <v>100</v>
      </c>
      <c r="V30" s="465" t="s">
        <v>1005</v>
      </c>
      <c r="W30" s="466">
        <f t="shared" si="11"/>
        <v>100</v>
      </c>
      <c r="X30" s="460"/>
      <c r="Y30" s="3863"/>
      <c r="Z30" s="459" t="str">
        <f t="shared" si="12"/>
        <v>物业等级</v>
      </c>
      <c r="AA30" s="471">
        <f t="shared" si="3"/>
        <v>1</v>
      </c>
      <c r="AB30" s="471">
        <f t="shared" si="4"/>
        <v>1</v>
      </c>
      <c r="AC30" s="471">
        <f t="shared" si="5"/>
        <v>1</v>
      </c>
    </row>
    <row r="31" spans="1:29" s="199" customFormat="1" ht="15">
      <c r="A31" s="609"/>
      <c r="B31" s="606" t="s">
        <v>2547</v>
      </c>
      <c r="C31" s="3671">
        <f>估价对象!AD27</f>
        <v>38.04153194263364</v>
      </c>
      <c r="D31" s="246">
        <v>100</v>
      </c>
      <c r="E31" s="3671">
        <v>34</v>
      </c>
      <c r="F31" s="286">
        <f>LOOKUP(E31,91:91,92:92)-LOOKUP(C31,91:91,92:92)+100</f>
        <v>100</v>
      </c>
      <c r="G31" s="3671">
        <v>31.746987951807228</v>
      </c>
      <c r="H31" s="256">
        <f>LOOKUP(G31,91:91,92:92)-LOOKUP(C31,91:91,92:92)+100</f>
        <v>100</v>
      </c>
      <c r="I31" s="3671">
        <v>29.846153846153847</v>
      </c>
      <c r="J31" s="256">
        <f>LOOKUP(I31,91:91,92:92)-LOOKUP(C31,91:91,92:92)+100</f>
        <v>98</v>
      </c>
      <c r="K31" s="406">
        <v>2</v>
      </c>
      <c r="L31" s="392"/>
      <c r="M31" s="393"/>
      <c r="N31" s="393"/>
      <c r="O31" s="394"/>
      <c r="P31" s="3863"/>
      <c r="Q31" s="464" t="str">
        <f t="shared" si="8"/>
        <v>停车位面积</v>
      </c>
      <c r="R31" s="461" t="s">
        <v>1005</v>
      </c>
      <c r="S31" s="462">
        <f t="shared" si="9"/>
        <v>100</v>
      </c>
      <c r="T31" s="461" t="s">
        <v>1005</v>
      </c>
      <c r="U31" s="462">
        <f t="shared" si="10"/>
        <v>100</v>
      </c>
      <c r="V31" s="461" t="s">
        <v>1005</v>
      </c>
      <c r="W31" s="462">
        <f t="shared" si="11"/>
        <v>98</v>
      </c>
      <c r="X31" s="463"/>
      <c r="Y31" s="3863"/>
      <c r="Z31" s="481" t="str">
        <f t="shared" si="12"/>
        <v>停车位面积</v>
      </c>
      <c r="AA31" s="480">
        <f t="shared" si="3"/>
        <v>1</v>
      </c>
      <c r="AB31" s="480">
        <f t="shared" si="4"/>
        <v>1</v>
      </c>
      <c r="AC31" s="480">
        <f t="shared" si="5"/>
        <v>1.0204081632653061</v>
      </c>
    </row>
    <row r="32" spans="1:29" ht="15">
      <c r="A32" s="608"/>
      <c r="B32" s="606" t="s">
        <v>2548</v>
      </c>
      <c r="C32" s="591" t="s">
        <v>2698</v>
      </c>
      <c r="D32" s="256">
        <v>100</v>
      </c>
      <c r="E32" s="591" t="s">
        <v>2698</v>
      </c>
      <c r="F32" s="286">
        <f>SUMIF(93:93,E32,94:94)-SUMIF(93:93,C32,94:94)+100</f>
        <v>100</v>
      </c>
      <c r="G32" s="591" t="s">
        <v>2698</v>
      </c>
      <c r="H32" s="256">
        <f>SUMIF(93:93,G32,94:94)-SUMIF(93:93,C32,94:94)+100</f>
        <v>100</v>
      </c>
      <c r="I32" s="591" t="s">
        <v>2698</v>
      </c>
      <c r="J32" s="256">
        <f>SUMIF(93:93,I32,94:94)-SUMIF(93:93,C32,94:94)+100</f>
        <v>100</v>
      </c>
      <c r="K32" s="406">
        <v>2</v>
      </c>
      <c r="L32" s="402"/>
      <c r="M32" s="390"/>
      <c r="N32" s="390"/>
      <c r="O32" s="401"/>
      <c r="P32" s="3863" t="s">
        <v>1028</v>
      </c>
      <c r="Q32" s="395" t="str">
        <f t="shared" si="8"/>
        <v>车位类型</v>
      </c>
      <c r="R32" s="465" t="s">
        <v>1005</v>
      </c>
      <c r="S32" s="466">
        <f t="shared" si="9"/>
        <v>100</v>
      </c>
      <c r="T32" s="465" t="s">
        <v>1005</v>
      </c>
      <c r="U32" s="466">
        <f t="shared" si="10"/>
        <v>100</v>
      </c>
      <c r="V32" s="465" t="s">
        <v>1005</v>
      </c>
      <c r="W32" s="466">
        <f t="shared" si="11"/>
        <v>100</v>
      </c>
      <c r="X32" s="460"/>
      <c r="Y32" s="3863" t="s">
        <v>1028</v>
      </c>
      <c r="Z32" s="459" t="str">
        <f t="shared" si="12"/>
        <v>车位类型</v>
      </c>
      <c r="AA32" s="471">
        <f t="shared" si="3"/>
        <v>1</v>
      </c>
      <c r="AB32" s="471">
        <f t="shared" si="4"/>
        <v>1</v>
      </c>
      <c r="AC32" s="471">
        <f t="shared" si="5"/>
        <v>1</v>
      </c>
    </row>
    <row r="33" spans="1:29" ht="15">
      <c r="A33" s="608"/>
      <c r="B33" s="606" t="s">
        <v>2549</v>
      </c>
      <c r="C33" s="591" t="s">
        <v>2617</v>
      </c>
      <c r="D33" s="256">
        <v>100</v>
      </c>
      <c r="E33" s="591" t="s">
        <v>2617</v>
      </c>
      <c r="F33" s="286">
        <f>SUMIF(95:95,E33,96:96)-SUMIF(95:95,C33,96:96)+100</f>
        <v>100</v>
      </c>
      <c r="G33" s="591" t="s">
        <v>2617</v>
      </c>
      <c r="H33" s="256">
        <f>SUMIF(95:95,G33,96:96)-SUMIF(95:95,C33,96:96)+100</f>
        <v>100</v>
      </c>
      <c r="I33" s="591" t="s">
        <v>2617</v>
      </c>
      <c r="J33" s="256">
        <f>SUMIF(95:95,I33,96:96)-SUMIF(95:95,C33,96:96)+100</f>
        <v>100</v>
      </c>
      <c r="K33" s="406">
        <v>2</v>
      </c>
      <c r="L33" s="402"/>
      <c r="M33" s="390"/>
      <c r="N33" s="390"/>
      <c r="O33" s="401"/>
      <c r="P33" s="3863"/>
      <c r="Q33" s="395" t="str">
        <f t="shared" si="8"/>
        <v>是否直接入户</v>
      </c>
      <c r="R33" s="465" t="s">
        <v>1005</v>
      </c>
      <c r="S33" s="466">
        <f t="shared" si="9"/>
        <v>100</v>
      </c>
      <c r="T33" s="465" t="s">
        <v>1005</v>
      </c>
      <c r="U33" s="466">
        <f t="shared" si="10"/>
        <v>100</v>
      </c>
      <c r="V33" s="465" t="s">
        <v>1005</v>
      </c>
      <c r="W33" s="466">
        <f t="shared" si="11"/>
        <v>100</v>
      </c>
      <c r="X33" s="460"/>
      <c r="Y33" s="3863"/>
      <c r="Z33" s="459" t="str">
        <f t="shared" si="12"/>
        <v>是否直接入户</v>
      </c>
      <c r="AA33" s="471">
        <f t="shared" si="3"/>
        <v>1</v>
      </c>
      <c r="AB33" s="471">
        <f t="shared" si="4"/>
        <v>1</v>
      </c>
      <c r="AC33" s="471">
        <f t="shared" si="5"/>
        <v>1</v>
      </c>
    </row>
    <row r="34" spans="1:29" ht="15">
      <c r="A34" s="608"/>
      <c r="B34" s="3664"/>
      <c r="C34" s="3659"/>
      <c r="D34" s="256">
        <v>100</v>
      </c>
      <c r="E34" s="3659"/>
      <c r="F34" s="286">
        <f>SUMIF(97:97,E34,98:98)-SUMIF(97:97,C34,98:98)+100</f>
        <v>100</v>
      </c>
      <c r="G34" s="3659"/>
      <c r="H34" s="256">
        <f>SUMIF(97:97,G34,98:98)-SUMIF(97:97,C34,98:98)+100</f>
        <v>100</v>
      </c>
      <c r="I34" s="3659"/>
      <c r="J34" s="256">
        <f>SUMIF(97:97,I34,98:98)-SUMIF(97:97,C34,98:98)+100</f>
        <v>100</v>
      </c>
      <c r="K34" s="399"/>
      <c r="L34" s="402"/>
      <c r="M34" s="390"/>
      <c r="N34" s="390"/>
      <c r="O34" s="401"/>
      <c r="P34" s="3863"/>
      <c r="Q34" s="395">
        <f t="shared" si="8"/>
        <v>0</v>
      </c>
      <c r="R34" s="465" t="s">
        <v>1005</v>
      </c>
      <c r="S34" s="466">
        <f t="shared" si="9"/>
        <v>100</v>
      </c>
      <c r="T34" s="465" t="s">
        <v>1005</v>
      </c>
      <c r="U34" s="466">
        <f t="shared" si="10"/>
        <v>100</v>
      </c>
      <c r="V34" s="465" t="s">
        <v>1005</v>
      </c>
      <c r="W34" s="466">
        <f t="shared" si="11"/>
        <v>100</v>
      </c>
      <c r="X34" s="460"/>
      <c r="Y34" s="3863"/>
      <c r="Z34" s="459">
        <f t="shared" si="12"/>
        <v>0</v>
      </c>
      <c r="AA34" s="471">
        <f t="shared" si="3"/>
        <v>1</v>
      </c>
      <c r="AB34" s="471">
        <f t="shared" si="4"/>
        <v>1</v>
      </c>
      <c r="AC34" s="471">
        <f t="shared" si="5"/>
        <v>1</v>
      </c>
    </row>
    <row r="35" spans="1:29" s="201" customFormat="1" ht="15">
      <c r="A35" s="605"/>
      <c r="B35" s="599">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63"/>
      <c r="Q35" s="467">
        <f t="shared" si="8"/>
        <v>111</v>
      </c>
      <c r="R35" s="468" t="s">
        <v>1005</v>
      </c>
      <c r="S35" s="469">
        <f t="shared" si="9"/>
        <v>100</v>
      </c>
      <c r="T35" s="468" t="s">
        <v>1005</v>
      </c>
      <c r="U35" s="469">
        <f t="shared" si="10"/>
        <v>100</v>
      </c>
      <c r="V35" s="468" t="s">
        <v>1005</v>
      </c>
      <c r="W35" s="469">
        <f t="shared" si="11"/>
        <v>100</v>
      </c>
      <c r="X35" s="470"/>
      <c r="Y35" s="3863"/>
      <c r="Z35" s="482">
        <f t="shared" si="12"/>
        <v>111</v>
      </c>
      <c r="AA35" s="471">
        <f t="shared" si="3"/>
        <v>1</v>
      </c>
      <c r="AB35" s="471">
        <f t="shared" si="4"/>
        <v>1</v>
      </c>
      <c r="AC35" s="471">
        <f t="shared" si="5"/>
        <v>1</v>
      </c>
    </row>
    <row r="36" spans="1:29" ht="15">
      <c r="A36" s="610"/>
      <c r="B36" s="564">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63"/>
      <c r="Q36" s="395">
        <f t="shared" si="8"/>
        <v>111</v>
      </c>
      <c r="R36" s="465" t="s">
        <v>1005</v>
      </c>
      <c r="S36" s="466">
        <f t="shared" si="9"/>
        <v>100</v>
      </c>
      <c r="T36" s="465" t="s">
        <v>1005</v>
      </c>
      <c r="U36" s="466">
        <f t="shared" si="10"/>
        <v>100</v>
      </c>
      <c r="V36" s="465" t="s">
        <v>1005</v>
      </c>
      <c r="W36" s="466">
        <f t="shared" si="11"/>
        <v>100</v>
      </c>
      <c r="X36" s="460"/>
      <c r="Y36" s="3863"/>
      <c r="Z36" s="459">
        <f t="shared" si="12"/>
        <v>111</v>
      </c>
      <c r="AA36" s="471">
        <f t="shared" si="3"/>
        <v>1</v>
      </c>
      <c r="AB36" s="471">
        <f t="shared" si="4"/>
        <v>1</v>
      </c>
      <c r="AC36" s="471">
        <f t="shared" si="5"/>
        <v>1</v>
      </c>
    </row>
    <row r="37" spans="1:29" ht="15">
      <c r="A37" s="611" t="s">
        <v>2550</v>
      </c>
      <c r="B37" s="612" t="s">
        <v>2708</v>
      </c>
      <c r="C37" s="314" t="s">
        <v>138</v>
      </c>
      <c r="D37" s="315"/>
      <c r="E37" s="316">
        <v>122571</v>
      </c>
      <c r="F37" s="317"/>
      <c r="G37" s="318">
        <v>146958</v>
      </c>
      <c r="H37" s="319"/>
      <c r="I37" s="316">
        <v>135157</v>
      </c>
      <c r="J37" s="319"/>
      <c r="K37" s="409"/>
      <c r="L37" s="410"/>
      <c r="M37" s="340"/>
      <c r="N37" s="390"/>
      <c r="O37" s="340"/>
      <c r="P37" s="3858" t="str">
        <f>A37</f>
        <v>成交单价</v>
      </c>
      <c r="Q37" s="3858"/>
      <c r="R37" s="3973">
        <f>E37</f>
        <v>122571</v>
      </c>
      <c r="S37" s="3973"/>
      <c r="T37" s="3973">
        <f>G37</f>
        <v>146958</v>
      </c>
      <c r="U37" s="3973"/>
      <c r="V37" s="3973">
        <f>I37</f>
        <v>135157</v>
      </c>
      <c r="W37" s="3973"/>
      <c r="X37" s="342"/>
      <c r="Y37" s="483"/>
      <c r="Z37" s="342"/>
      <c r="AA37" s="342"/>
      <c r="AB37" s="342"/>
      <c r="AC37" s="342"/>
    </row>
    <row r="38" spans="1:29" ht="15">
      <c r="A38" s="320" t="s">
        <v>1037</v>
      </c>
      <c r="B38" s="321"/>
      <c r="C38" s="322">
        <f>R39</f>
        <v>133953</v>
      </c>
      <c r="D38" s="323" t="s">
        <v>1038</v>
      </c>
      <c r="E38" s="324">
        <f>R38</f>
        <v>122571</v>
      </c>
      <c r="F38" s="325"/>
      <c r="G38" s="322">
        <f>T38</f>
        <v>144076</v>
      </c>
      <c r="H38" s="325"/>
      <c r="I38" s="324">
        <f>V38</f>
        <v>135211</v>
      </c>
      <c r="J38" s="325"/>
      <c r="K38" s="411">
        <f>F38+H38+J38</f>
        <v>0</v>
      </c>
      <c r="L38" s="410"/>
      <c r="M38" s="340"/>
      <c r="N38" s="340"/>
      <c r="O38" s="340"/>
      <c r="P38" s="3858" t="str">
        <f>A38</f>
        <v>比较价格（元/平方米）</v>
      </c>
      <c r="Q38" s="3858"/>
      <c r="R38" s="3973">
        <f>IF(F1="售价",ROUND(PRODUCT(R37,AA7:AA36),0),ROUND(PRODUCT(R37,AA7:AA36),1))</f>
        <v>122571</v>
      </c>
      <c r="S38" s="3973"/>
      <c r="T38" s="3973">
        <f>IF(F1="售价",ROUND(PRODUCT(T37,AB7:AB36),0),ROUND(PRODUCT(T37,AB7:AB36),1))</f>
        <v>144076</v>
      </c>
      <c r="U38" s="3973"/>
      <c r="V38" s="3973">
        <f>IF(F1="售价",ROUND(PRODUCT(V37,AC7:AC36),0),ROUND(PRODUCT(V37,AC7:AC36),1))</f>
        <v>135211</v>
      </c>
      <c r="W38" s="3973"/>
      <c r="X38" s="342"/>
      <c r="Y38" s="342"/>
      <c r="Z38" s="342"/>
      <c r="AA38" s="342"/>
      <c r="AB38" s="342"/>
      <c r="AC38" s="342"/>
    </row>
    <row r="39" spans="1:29" ht="15">
      <c r="A39" s="326" t="s">
        <v>1039</v>
      </c>
      <c r="B39" s="327"/>
      <c r="C39" s="328">
        <f>R39</f>
        <v>133953</v>
      </c>
      <c r="D39" s="328"/>
      <c r="E39" s="328"/>
      <c r="F39" s="328"/>
      <c r="G39" s="328"/>
      <c r="H39" s="328"/>
      <c r="I39" s="328"/>
      <c r="J39" s="328"/>
      <c r="K39" s="412"/>
      <c r="L39" s="410"/>
      <c r="M39" s="340"/>
      <c r="N39" s="340"/>
      <c r="O39" s="340"/>
      <c r="P39" s="3884" t="str">
        <f>A39</f>
        <v>估价对象XX用房的比较价格（楼面单价，元/平方米）</v>
      </c>
      <c r="Q39" s="3885"/>
      <c r="R39" s="3975">
        <f>IF(F1="售价",ROUND(IF(D38="简单平均",AVERAGE(R38:W38),R38*F38+T38*H38+V38*J38),0),ROUND(IF(D38="简单平均",AVERAGE(R38:V38),R38*F38+T38*H38+V38*J38),1))</f>
        <v>133953</v>
      </c>
      <c r="S39" s="3975"/>
      <c r="T39" s="3975"/>
      <c r="U39" s="3975"/>
      <c r="V39" s="3975"/>
      <c r="W39" s="3975"/>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1040</v>
      </c>
      <c r="D42" s="332"/>
      <c r="E42" s="333">
        <f>IF(E37&lt;E38,E38/E37-1,E37/E38-1)</f>
        <v>0</v>
      </c>
      <c r="F42" s="334" t="str">
        <f>IF(OR(E42&gt;=0.3,E42&lt;=-0.3),"超过30%","")</f>
        <v/>
      </c>
      <c r="G42" s="333">
        <f>IF(G37&lt;G38,G38/G37-1,G37/G38-1)</f>
        <v>2.0003331575002115E-2</v>
      </c>
      <c r="H42" s="334" t="str">
        <f>IF(OR(G42&gt;=0.3,G42&lt;=-0.3),"超过30%","")</f>
        <v/>
      </c>
      <c r="I42" s="333">
        <f>IF(I37&lt;I38,I38/I37-1,I37/I38-1)</f>
        <v>3.9953535517955885E-4</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1041</v>
      </c>
      <c r="D43" s="335"/>
      <c r="E43" s="333">
        <f>IF(E38&lt;G38,G38/E38-1,E38/G38-1)</f>
        <v>0.17544933140791863</v>
      </c>
      <c r="F43" s="334" t="str">
        <f>IF(OR(E43&gt;=0.2,E43&lt;=-0.2),"超过20%","")</f>
        <v/>
      </c>
      <c r="G43" s="333">
        <f>IF(G38&lt;I38,I38/G38-1,G38/I38-1)</f>
        <v>6.5564192262463905E-2</v>
      </c>
      <c r="H43" s="334" t="str">
        <f>IF(OR(G43&gt;=0.2,G43&lt;=-0.2),"超过20%","")</f>
        <v/>
      </c>
      <c r="I43" s="333">
        <f>IF(I38&lt;E38,E38/I38-1,I38/E38-1)</f>
        <v>0.10312390369663293</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1042</v>
      </c>
      <c r="D44" s="335"/>
      <c r="E44" s="333">
        <f>IF(E37&lt;G37,G37/E37-1,E37/G37-1)</f>
        <v>0.19896223413368586</v>
      </c>
      <c r="F44" s="334" t="str">
        <f>IF(OR(E44&gt;=0.3,E44&lt;=-0.3),"超过30%","")</f>
        <v/>
      </c>
      <c r="G44" s="333">
        <f>IF(G37&lt;I37,I37/G37-1,G37/I37-1)</f>
        <v>8.7313272712475021E-2</v>
      </c>
      <c r="H44" s="334" t="str">
        <f>IF(OR(G44&gt;=0.3,G44&lt;=-0.3),"超过30%","")</f>
        <v/>
      </c>
      <c r="I44" s="333">
        <f>IF(I37&lt;E37,E37/I37-1,I37/E37-1)</f>
        <v>0.10268334271565061</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1063</v>
      </c>
      <c r="B47" s="342"/>
      <c r="C47" s="422"/>
      <c r="D47" s="422"/>
      <c r="E47" s="422"/>
      <c r="F47" s="613"/>
      <c r="G47" s="613"/>
      <c r="H47" s="422"/>
      <c r="I47" s="422"/>
      <c r="J47" s="422"/>
      <c r="K47" s="615"/>
      <c r="L47" s="616"/>
      <c r="M47" s="422"/>
      <c r="N47" s="422"/>
      <c r="O47" s="422"/>
      <c r="P47" s="422"/>
      <c r="Q47" s="426"/>
      <c r="R47" s="340"/>
      <c r="S47" s="340"/>
      <c r="T47" s="340"/>
      <c r="U47" s="340"/>
      <c r="V47" s="340"/>
      <c r="W47" s="340"/>
      <c r="X47" s="340"/>
      <c r="Y47" s="340"/>
      <c r="Z47" s="340"/>
      <c r="AA47" s="340"/>
      <c r="AB47" s="340"/>
      <c r="AC47" s="340"/>
    </row>
    <row r="48" spans="1:29" s="203" customFormat="1" ht="15">
      <c r="A48" s="345" t="s">
        <v>1003</v>
      </c>
      <c r="B48" s="346"/>
      <c r="C48" s="347" t="str">
        <f>YEAR(C7)&amp;"-"&amp;MONTH(C7)</f>
        <v>2023-12</v>
      </c>
      <c r="D48" s="348">
        <f>EDATE(C48,-1)</f>
        <v>45231</v>
      </c>
      <c r="E48" s="348">
        <f t="shared" ref="E48:O48" si="13">EDATE(D48,-1)</f>
        <v>45200</v>
      </c>
      <c r="F48" s="348">
        <f t="shared" si="13"/>
        <v>45170</v>
      </c>
      <c r="G48" s="348">
        <f t="shared" si="13"/>
        <v>45139</v>
      </c>
      <c r="H48" s="348">
        <f t="shared" si="13"/>
        <v>45108</v>
      </c>
      <c r="I48" s="348">
        <f t="shared" si="13"/>
        <v>45078</v>
      </c>
      <c r="J48" s="348">
        <f t="shared" si="13"/>
        <v>45047</v>
      </c>
      <c r="K48" s="348">
        <f t="shared" si="13"/>
        <v>45017</v>
      </c>
      <c r="L48" s="348">
        <f t="shared" si="13"/>
        <v>44986</v>
      </c>
      <c r="M48" s="348">
        <f t="shared" si="13"/>
        <v>44958</v>
      </c>
      <c r="N48" s="348">
        <f t="shared" si="13"/>
        <v>44927</v>
      </c>
      <c r="O48" s="348">
        <f t="shared" si="13"/>
        <v>44896</v>
      </c>
      <c r="P48" s="423"/>
      <c r="Q48" s="472"/>
      <c r="R48" s="472"/>
      <c r="S48" s="472"/>
      <c r="T48" s="472"/>
      <c r="U48" s="472"/>
      <c r="V48" s="472"/>
      <c r="W48" s="472"/>
      <c r="X48" s="472"/>
      <c r="Y48" s="472"/>
      <c r="Z48" s="472"/>
      <c r="AA48" s="472"/>
      <c r="AB48" s="472"/>
      <c r="AC48" s="472"/>
    </row>
    <row r="49" spans="1:29" s="199" customFormat="1" ht="15">
      <c r="A49" s="349"/>
      <c r="B49" s="350"/>
      <c r="C49" s="614">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1092</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1006</v>
      </c>
      <c r="B51" s="350"/>
      <c r="C51" s="358" t="s">
        <v>1007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1067</v>
      </c>
      <c r="B53" s="361" t="s">
        <v>1068</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1069</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1071</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2469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1079</v>
      </c>
      <c r="B79" s="361" t="s">
        <v>2551</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97</v>
      </c>
      <c r="E80" s="378">
        <f t="shared" si="14"/>
        <v>94</v>
      </c>
      <c r="F80" s="378">
        <f t="shared" si="14"/>
        <v>91</v>
      </c>
      <c r="G80" s="378">
        <f t="shared" si="14"/>
        <v>88</v>
      </c>
      <c r="H80" s="378">
        <f t="shared" si="14"/>
        <v>85</v>
      </c>
      <c r="I80" s="378">
        <f t="shared" si="14"/>
        <v>82</v>
      </c>
      <c r="J80" s="378">
        <f t="shared" si="14"/>
        <v>79</v>
      </c>
      <c r="K80" s="378">
        <f t="shared" si="14"/>
        <v>76</v>
      </c>
      <c r="L80" s="378">
        <f t="shared" si="14"/>
        <v>73</v>
      </c>
      <c r="M80" s="455">
        <f t="shared" si="14"/>
        <v>70</v>
      </c>
      <c r="N80" s="439"/>
      <c r="O80" s="439"/>
      <c r="P80" s="437"/>
      <c r="Q80" s="426"/>
      <c r="R80" s="340"/>
      <c r="S80" s="340"/>
      <c r="T80" s="340"/>
      <c r="U80" s="340"/>
      <c r="V80" s="340"/>
      <c r="W80" s="340"/>
      <c r="X80" s="340"/>
      <c r="Y80" s="340"/>
      <c r="Z80" s="340"/>
      <c r="AA80" s="340"/>
      <c r="AB80" s="340"/>
      <c r="AC80" s="340"/>
    </row>
    <row r="81" spans="1:29" ht="15">
      <c r="A81" s="364"/>
      <c r="B81" s="367" t="s">
        <v>2544</v>
      </c>
      <c r="C81" s="3661"/>
      <c r="D81" s="3661"/>
      <c r="E81" s="3661"/>
      <c r="F81" s="3661"/>
      <c r="G81" s="617"/>
      <c r="H81" s="617"/>
      <c r="I81" s="617"/>
      <c r="J81" s="617"/>
      <c r="K81" s="618"/>
      <c r="L81" s="619"/>
      <c r="M81" s="620"/>
      <c r="N81" s="431"/>
      <c r="O81" s="431"/>
      <c r="P81" s="437"/>
      <c r="Q81" s="426"/>
      <c r="R81" s="340"/>
      <c r="S81" s="340"/>
      <c r="T81" s="340"/>
      <c r="U81" s="340"/>
      <c r="V81" s="340"/>
      <c r="W81" s="340"/>
      <c r="X81" s="340"/>
      <c r="Y81" s="340"/>
      <c r="Z81" s="340"/>
      <c r="AA81" s="340"/>
      <c r="AB81" s="340"/>
      <c r="AC81" s="340"/>
    </row>
    <row r="82" spans="1:29" s="201" customFormat="1" ht="15">
      <c r="A82" s="373"/>
      <c r="B82" s="369"/>
      <c r="C82" s="3653"/>
      <c r="D82" s="3662"/>
      <c r="E82" s="3662"/>
      <c r="F82" s="3662"/>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2477</v>
      </c>
      <c r="C83" s="3652" t="s">
        <v>2683</v>
      </c>
      <c r="D83" s="3652" t="s">
        <v>2684</v>
      </c>
      <c r="E83" s="3652" t="s">
        <v>2685</v>
      </c>
      <c r="F83" s="3655" t="s">
        <v>2686</v>
      </c>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2545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45"/>
      <c r="J86" s="545"/>
      <c r="K86" s="546"/>
      <c r="L86" s="547"/>
      <c r="M86" s="548"/>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2546</v>
      </c>
      <c r="C88" s="3654" t="s">
        <v>2695</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2547</v>
      </c>
      <c r="C90" s="380" t="str">
        <f>C91&amp;"(含)"&amp;"-"&amp;D91</f>
        <v>0(含)-20</v>
      </c>
      <c r="D90" s="380" t="str">
        <f t="shared" ref="D90:L90" si="18">D91&amp;"(含)"&amp;"-"&amp;E91</f>
        <v>20(含)-30</v>
      </c>
      <c r="E90" s="380" t="str">
        <f t="shared" si="18"/>
        <v>30(含)-40</v>
      </c>
      <c r="F90" s="380" t="str">
        <f t="shared" si="18"/>
        <v>40(含)-50</v>
      </c>
      <c r="G90" s="380" t="str">
        <f t="shared" si="18"/>
        <v>50(含)-60</v>
      </c>
      <c r="H90" s="380" t="str">
        <f t="shared" si="18"/>
        <v>60(含)-70</v>
      </c>
      <c r="I90" s="380" t="str">
        <f t="shared" si="18"/>
        <v>70(含)-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3192">
        <v>0</v>
      </c>
      <c r="D91" s="3192">
        <v>20</v>
      </c>
      <c r="E91" s="3192">
        <v>30</v>
      </c>
      <c r="F91" s="3192">
        <v>40</v>
      </c>
      <c r="G91" s="3192">
        <v>50</v>
      </c>
      <c r="H91" s="3192">
        <v>60</v>
      </c>
      <c r="I91" s="3192">
        <v>70</v>
      </c>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653">
        <v>100</v>
      </c>
      <c r="D92" s="3662">
        <f>C92+2</f>
        <v>102</v>
      </c>
      <c r="E92" s="3662">
        <f t="shared" ref="E92:I92" si="19">D92+2</f>
        <v>104</v>
      </c>
      <c r="F92" s="3662">
        <f t="shared" si="19"/>
        <v>106</v>
      </c>
      <c r="G92" s="3662">
        <f t="shared" si="19"/>
        <v>108</v>
      </c>
      <c r="H92" s="3662">
        <f t="shared" si="19"/>
        <v>110</v>
      </c>
      <c r="I92" s="3662">
        <f t="shared" si="19"/>
        <v>112</v>
      </c>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2548</v>
      </c>
      <c r="C93" s="3652" t="s">
        <v>2696</v>
      </c>
      <c r="D93" s="3656"/>
      <c r="E93" s="3663"/>
      <c r="F93" s="3663"/>
      <c r="G93" s="3663"/>
      <c r="H93" s="3663"/>
      <c r="I93" s="3663"/>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20">C94-$K32</f>
        <v>98</v>
      </c>
      <c r="E94" s="378">
        <f t="shared" si="20"/>
        <v>96</v>
      </c>
      <c r="F94" s="378">
        <f t="shared" si="20"/>
        <v>94</v>
      </c>
      <c r="G94" s="378">
        <f t="shared" si="20"/>
        <v>92</v>
      </c>
      <c r="H94" s="378">
        <f t="shared" si="20"/>
        <v>90</v>
      </c>
      <c r="I94" s="378">
        <f t="shared" si="20"/>
        <v>88</v>
      </c>
      <c r="J94" s="378">
        <f t="shared" si="20"/>
        <v>86</v>
      </c>
      <c r="K94" s="378">
        <f t="shared" si="20"/>
        <v>84</v>
      </c>
      <c r="L94" s="378">
        <f t="shared" si="20"/>
        <v>82</v>
      </c>
      <c r="M94" s="455">
        <f t="shared" si="20"/>
        <v>80</v>
      </c>
      <c r="N94" s="439"/>
      <c r="O94" s="439"/>
      <c r="P94" s="437"/>
      <c r="Q94" s="426"/>
      <c r="R94" s="340"/>
      <c r="S94" s="340"/>
      <c r="T94" s="340"/>
      <c r="U94" s="340"/>
      <c r="V94" s="340"/>
      <c r="W94" s="340"/>
      <c r="X94" s="340"/>
      <c r="Y94" s="340"/>
      <c r="Z94" s="340"/>
      <c r="AA94" s="340"/>
      <c r="AB94" s="340"/>
      <c r="AC94" s="340"/>
    </row>
    <row r="95" spans="1:29">
      <c r="A95" s="490"/>
      <c r="B95" s="367" t="s">
        <v>2549</v>
      </c>
      <c r="C95" s="3654" t="s">
        <v>2697</v>
      </c>
      <c r="D95" s="3654" t="s">
        <v>2693</v>
      </c>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75" thickBot="1">
      <c r="A96" s="364"/>
      <c r="B96" s="369"/>
      <c r="C96" s="378">
        <v>100</v>
      </c>
      <c r="D96" s="378">
        <f>C96-$K33</f>
        <v>98</v>
      </c>
      <c r="E96" s="378">
        <f>D96-$K33</f>
        <v>96</v>
      </c>
      <c r="F96" s="378">
        <f>E96-$K33</f>
        <v>94</v>
      </c>
      <c r="G96" s="378">
        <f>F96-$K33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ht="15" thickTop="1">
      <c r="A97" s="490"/>
      <c r="B97" s="493">
        <f>B34</f>
        <v>0</v>
      </c>
      <c r="C97" s="3652" t="s">
        <v>2697</v>
      </c>
      <c r="D97" s="3652" t="s">
        <v>2693</v>
      </c>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75" thickBot="1">
      <c r="A98" s="364"/>
      <c r="B98" s="369"/>
      <c r="C98" s="3653">
        <v>100</v>
      </c>
      <c r="D98" s="3662">
        <f>'不动产比较法-住宅'!D127</f>
        <v>98</v>
      </c>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ht="15" thickTop="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05:Y259"/>
  <sheetViews>
    <sheetView topLeftCell="A279" zoomScale="80" zoomScaleNormal="80" workbookViewId="0">
      <selection activeCell="U287" sqref="U287"/>
    </sheetView>
  </sheetViews>
  <sheetFormatPr defaultColWidth="9" defaultRowHeight="13.5"/>
  <cols>
    <col min="25" max="26" width="12.625"/>
  </cols>
  <sheetData>
    <row r="105" spans="25:25">
      <c r="Y105">
        <f>1932.75/143</f>
        <v>13.5157342657343</v>
      </c>
    </row>
    <row r="157" spans="25:25">
      <c r="Y157">
        <f>2246.5/153</f>
        <v>14.683006535947699</v>
      </c>
    </row>
    <row r="259" spans="25:25">
      <c r="Y259">
        <f>28994.63/1903</f>
        <v>15.236274303730999</v>
      </c>
    </row>
  </sheetData>
  <phoneticPr fontId="248"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51570.87平方米。根据《建设工程规划许可证》[]、《出让合同》[]，估价对象规划建筑面积为173827.13平方米。</v>
      </c>
    </row>
    <row r="7" spans="1:4" ht="93.75">
      <c r="A7" s="3598" t="s">
        <v>95</v>
      </c>
    </row>
    <row r="8" spans="1:4" ht="18.75">
      <c r="A8" s="3597" t="s">
        <v>85</v>
      </c>
    </row>
    <row r="9" spans="1:4" ht="7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96</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根据《国有土地使用证》[]，估价对象（分摊）出让国有建设用地使用权面积为51570.87平方米。根据《建设工程规划许可证》[]、《出让合同》[]，估价对象规划建筑面积为173827.13平方米。</v>
      </c>
    </row>
    <row r="21" spans="1:1" ht="93.75">
      <c r="A21" s="36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6" t="s">
        <v>91</v>
      </c>
    </row>
    <row r="23" spans="1:1" ht="18.75">
      <c r="A23" s="3605" t="s">
        <v>97</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2552</v>
      </c>
      <c r="C1" s="209" t="s">
        <v>2464</v>
      </c>
      <c r="D1" s="585"/>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C49</f>
        <v>#DIV/0!</v>
      </c>
      <c r="C3" s="221" t="s">
        <v>2468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993</v>
      </c>
      <c r="B4" s="224"/>
      <c r="C4" s="3847" t="s">
        <v>994</v>
      </c>
      <c r="D4" s="3848"/>
      <c r="E4" s="3887" t="s">
        <v>995</v>
      </c>
      <c r="F4" s="3888"/>
      <c r="G4" s="3847" t="s">
        <v>996</v>
      </c>
      <c r="H4" s="3848"/>
      <c r="I4" s="3847" t="s">
        <v>997</v>
      </c>
      <c r="J4" s="3848"/>
      <c r="K4" s="388" t="s">
        <v>998</v>
      </c>
      <c r="L4" s="389"/>
      <c r="M4" s="390"/>
      <c r="N4" s="390"/>
      <c r="O4" s="390"/>
      <c r="P4" s="3877" t="s">
        <v>999</v>
      </c>
      <c r="Q4" s="3878"/>
      <c r="R4" s="3868" t="s">
        <v>995</v>
      </c>
      <c r="S4" s="3869"/>
      <c r="T4" s="3868" t="s">
        <v>996</v>
      </c>
      <c r="U4" s="3869"/>
      <c r="V4" s="3859" t="s">
        <v>997</v>
      </c>
      <c r="W4" s="3859"/>
      <c r="X4" s="460"/>
      <c r="Y4" s="3868" t="s">
        <v>999</v>
      </c>
      <c r="Z4" s="3869"/>
      <c r="AA4" s="3874" t="s">
        <v>995</v>
      </c>
      <c r="AB4" s="3859" t="s">
        <v>996</v>
      </c>
      <c r="AC4" s="3874" t="s">
        <v>997</v>
      </c>
    </row>
    <row r="5" spans="1:29" ht="15">
      <c r="A5" s="225"/>
      <c r="B5" s="226"/>
      <c r="C5" s="3849" t="s">
        <v>1000</v>
      </c>
      <c r="D5" s="3850"/>
      <c r="E5" s="3889" t="s">
        <v>1086</v>
      </c>
      <c r="F5" s="3890"/>
      <c r="G5" s="3849" t="s">
        <v>1087</v>
      </c>
      <c r="H5" s="3850"/>
      <c r="I5" s="3849" t="s">
        <v>1088</v>
      </c>
      <c r="J5" s="3850"/>
      <c r="K5" s="388"/>
      <c r="L5" s="389"/>
      <c r="M5" s="390"/>
      <c r="N5" s="390"/>
      <c r="O5" s="390"/>
      <c r="P5" s="3879"/>
      <c r="Q5" s="3880"/>
      <c r="R5" s="3870"/>
      <c r="S5" s="3871"/>
      <c r="T5" s="3870"/>
      <c r="U5" s="3871"/>
      <c r="V5" s="3859"/>
      <c r="W5" s="3859"/>
      <c r="X5" s="460"/>
      <c r="Y5" s="3870"/>
      <c r="Z5" s="3871"/>
      <c r="AA5" s="3875"/>
      <c r="AB5" s="3859"/>
      <c r="AC5" s="3875"/>
    </row>
    <row r="6" spans="1:29" ht="15">
      <c r="A6" s="227"/>
      <c r="B6" s="228"/>
      <c r="C6" s="3853" t="s">
        <v>1001</v>
      </c>
      <c r="D6" s="3854"/>
      <c r="E6" s="3891" t="s">
        <v>1001</v>
      </c>
      <c r="F6" s="3892"/>
      <c r="G6" s="3853" t="s">
        <v>1001</v>
      </c>
      <c r="H6" s="3854"/>
      <c r="I6" s="3853" t="s">
        <v>1001</v>
      </c>
      <c r="J6" s="3854"/>
      <c r="K6" s="388" t="s">
        <v>1002</v>
      </c>
      <c r="L6" s="389"/>
      <c r="M6" s="390"/>
      <c r="N6" s="390"/>
      <c r="O6" s="390"/>
      <c r="P6" s="3881"/>
      <c r="Q6" s="3882"/>
      <c r="R6" s="3870"/>
      <c r="S6" s="3871"/>
      <c r="T6" s="3872"/>
      <c r="U6" s="3873"/>
      <c r="V6" s="3859"/>
      <c r="W6" s="3859"/>
      <c r="X6" s="460"/>
      <c r="Y6" s="3872"/>
      <c r="Z6" s="3873"/>
      <c r="AA6" s="3876"/>
      <c r="AB6" s="3859"/>
      <c r="AC6" s="3876"/>
    </row>
    <row r="7" spans="1:29" s="199" customFormat="1" ht="15">
      <c r="A7" s="229"/>
      <c r="B7" s="230" t="s">
        <v>1003</v>
      </c>
      <c r="C7" s="231">
        <f>'数据-取费表'!B2</f>
        <v>45271</v>
      </c>
      <c r="D7" s="232">
        <v>100</v>
      </c>
      <c r="E7" s="233"/>
      <c r="F7" s="234">
        <f>SUMIF(58:58,YEAR(E7)&amp;"-"&amp;MONTH(E7),59:59)</f>
        <v>0</v>
      </c>
      <c r="G7" s="233"/>
      <c r="H7" s="232">
        <f>SUMIF(58:58,YEAR(G7)&amp;"-"&amp;MONTH(G7),59:59)</f>
        <v>0</v>
      </c>
      <c r="I7" s="233"/>
      <c r="J7" s="232">
        <f>SUMIF(58:58,YEAR(I7)&amp;"-"&amp;MONTH(I7),59:59)</f>
        <v>0</v>
      </c>
      <c r="K7" s="391"/>
      <c r="L7" s="392"/>
      <c r="M7" s="393"/>
      <c r="N7" s="393"/>
      <c r="O7" s="393"/>
      <c r="P7" s="3855" t="s">
        <v>1004</v>
      </c>
      <c r="Q7" s="3856"/>
      <c r="R7" s="461" t="s">
        <v>1005</v>
      </c>
      <c r="S7" s="462">
        <f t="shared" ref="S7:S15" si="0">F7</f>
        <v>0</v>
      </c>
      <c r="T7" s="461" t="s">
        <v>1005</v>
      </c>
      <c r="U7" s="462">
        <f t="shared" ref="U7:U15" si="1">H7</f>
        <v>0</v>
      </c>
      <c r="V7" s="461" t="s">
        <v>1005</v>
      </c>
      <c r="W7" s="462">
        <f t="shared" ref="W7:W15" si="2">J7</f>
        <v>0</v>
      </c>
      <c r="X7" s="463"/>
      <c r="Y7" s="3855" t="s">
        <v>1004</v>
      </c>
      <c r="Z7" s="3857"/>
      <c r="AA7" s="480" t="e">
        <f>D7/F7</f>
        <v>#DIV/0!</v>
      </c>
      <c r="AB7" s="480" t="e">
        <f>D7/H7</f>
        <v>#DIV/0!</v>
      </c>
      <c r="AC7" s="480" t="e">
        <f>D7/J7</f>
        <v>#DIV/0!</v>
      </c>
    </row>
    <row r="8" spans="1:29" s="199" customFormat="1" ht="15">
      <c r="A8" s="236"/>
      <c r="B8" s="237" t="s">
        <v>1006</v>
      </c>
      <c r="C8" s="238" t="s">
        <v>1007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55" t="s">
        <v>1009</v>
      </c>
      <c r="Q8" s="3857"/>
      <c r="R8" s="461" t="s">
        <v>1005</v>
      </c>
      <c r="S8" s="462">
        <f t="shared" si="0"/>
        <v>0</v>
      </c>
      <c r="T8" s="461" t="s">
        <v>1005</v>
      </c>
      <c r="U8" s="462">
        <f t="shared" si="1"/>
        <v>0</v>
      </c>
      <c r="V8" s="461" t="s">
        <v>1005</v>
      </c>
      <c r="W8" s="462">
        <f t="shared" si="2"/>
        <v>0</v>
      </c>
      <c r="X8" s="463"/>
      <c r="Y8" s="3855" t="s">
        <v>1009</v>
      </c>
      <c r="Z8" s="3857"/>
      <c r="AA8" s="480" t="e">
        <f t="shared" ref="AA8:AA46" si="3">D8/F8</f>
        <v>#DIV/0!</v>
      </c>
      <c r="AB8" s="480" t="e">
        <f t="shared" ref="AB8:AB46" si="4">D8/H8</f>
        <v>#DIV/0!</v>
      </c>
      <c r="AC8" s="480" t="e">
        <f t="shared" ref="AC8:AC46" si="5">D8/J8</f>
        <v>#DIV/0!</v>
      </c>
    </row>
    <row r="9" spans="1:29" s="199" customFormat="1" ht="15">
      <c r="A9" s="239"/>
      <c r="B9" s="240" t="s">
        <v>1010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58" t="s">
        <v>1011</v>
      </c>
      <c r="Q9" s="464" t="str">
        <f t="shared" ref="Q9:Q15" si="6">B9</f>
        <v>用途</v>
      </c>
      <c r="R9" s="461" t="s">
        <v>1005</v>
      </c>
      <c r="S9" s="462">
        <f t="shared" si="0"/>
        <v>100</v>
      </c>
      <c r="T9" s="461" t="s">
        <v>1005</v>
      </c>
      <c r="U9" s="462">
        <f t="shared" si="1"/>
        <v>100</v>
      </c>
      <c r="V9" s="461" t="s">
        <v>1005</v>
      </c>
      <c r="W9" s="462">
        <f t="shared" si="2"/>
        <v>100</v>
      </c>
      <c r="X9" s="463"/>
      <c r="Y9" s="377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58"/>
      <c r="Q10" s="464" t="str">
        <f t="shared" si="6"/>
        <v>土地使用年限（年）</v>
      </c>
      <c r="R10" s="461" t="s">
        <v>1005</v>
      </c>
      <c r="S10" s="462">
        <f t="shared" si="0"/>
        <v>100</v>
      </c>
      <c r="T10" s="461" t="s">
        <v>1005</v>
      </c>
      <c r="U10" s="462">
        <f t="shared" si="1"/>
        <v>100</v>
      </c>
      <c r="V10" s="461" t="s">
        <v>1005</v>
      </c>
      <c r="W10" s="462">
        <f t="shared" si="2"/>
        <v>100</v>
      </c>
      <c r="X10" s="463"/>
      <c r="Y10" s="3776"/>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LOOKUP(E11,68:68,69:69)-LOOKUP(C11,68:68,69:69)+100</f>
        <v>#N/A</v>
      </c>
      <c r="G11" s="513"/>
      <c r="H11" s="246" t="e">
        <f>LOOKUP(G11,68:68,69:69)-LOOKUP(C11,68:68,69:69)+100</f>
        <v>#N/A</v>
      </c>
      <c r="I11" s="512"/>
      <c r="J11" s="246" t="e">
        <f>LOOKUP(I11,68:68,69:69)-LOOKUP(C11,68:68,69:69)+100</f>
        <v>#N/A</v>
      </c>
      <c r="K11" s="406"/>
      <c r="L11" s="400"/>
      <c r="M11" s="390"/>
      <c r="N11" s="390"/>
      <c r="O11" s="401"/>
      <c r="P11" s="3858"/>
      <c r="Q11" s="464" t="str">
        <f t="shared" si="6"/>
        <v>容积率</v>
      </c>
      <c r="R11" s="461" t="s">
        <v>1005</v>
      </c>
      <c r="S11" s="462" t="e">
        <f t="shared" si="0"/>
        <v>#N/A</v>
      </c>
      <c r="T11" s="461" t="s">
        <v>1005</v>
      </c>
      <c r="U11" s="462" t="e">
        <f t="shared" si="1"/>
        <v>#N/A</v>
      </c>
      <c r="V11" s="461" t="s">
        <v>1005</v>
      </c>
      <c r="W11" s="462" t="e">
        <f t="shared" si="2"/>
        <v>#N/A</v>
      </c>
      <c r="X11" s="463"/>
      <c r="Y11" s="3776"/>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59"/>
      <c r="H12" s="246">
        <f>SUMIF(70:70,G12,71:71)-SUMIF(70:70,C12,71:71)+100</f>
        <v>100</v>
      </c>
      <c r="I12" s="255"/>
      <c r="J12" s="246">
        <f>SUMIF(70:70,I12,71:71)-SUMIF(70:70,C12,71:71)+100</f>
        <v>100</v>
      </c>
      <c r="K12" s="399"/>
      <c r="L12" s="392"/>
      <c r="M12" s="393"/>
      <c r="N12" s="393"/>
      <c r="O12" s="394"/>
      <c r="P12" s="3858"/>
      <c r="Q12" s="464">
        <f t="shared" si="6"/>
        <v>111</v>
      </c>
      <c r="R12" s="461" t="s">
        <v>1005</v>
      </c>
      <c r="S12" s="462">
        <f t="shared" si="0"/>
        <v>100</v>
      </c>
      <c r="T12" s="461" t="s">
        <v>1005</v>
      </c>
      <c r="U12" s="462">
        <f t="shared" si="1"/>
        <v>100</v>
      </c>
      <c r="V12" s="461" t="s">
        <v>1005</v>
      </c>
      <c r="W12" s="462">
        <f t="shared" si="2"/>
        <v>100</v>
      </c>
      <c r="X12" s="463"/>
      <c r="Y12" s="3776"/>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59"/>
      <c r="H13" s="256">
        <f>SUMIF(72:72,G13,73:73)-SUMIF(72:72,C13,73:73)+100</f>
        <v>100</v>
      </c>
      <c r="I13" s="255"/>
      <c r="J13" s="256">
        <f>SUMIF(72:72,I13,73:73)-SUMIF(72:72,C13,73:73)+100</f>
        <v>100</v>
      </c>
      <c r="K13" s="399"/>
      <c r="L13" s="402"/>
      <c r="M13" s="390"/>
      <c r="N13" s="390"/>
      <c r="O13" s="401"/>
      <c r="P13" s="3858"/>
      <c r="Q13" s="464">
        <f t="shared" si="6"/>
        <v>111</v>
      </c>
      <c r="R13" s="461" t="s">
        <v>1005</v>
      </c>
      <c r="S13" s="462">
        <f t="shared" si="0"/>
        <v>100</v>
      </c>
      <c r="T13" s="461" t="s">
        <v>1005</v>
      </c>
      <c r="U13" s="462">
        <f t="shared" si="1"/>
        <v>100</v>
      </c>
      <c r="V13" s="461" t="s">
        <v>1005</v>
      </c>
      <c r="W13" s="462">
        <f t="shared" si="2"/>
        <v>100</v>
      </c>
      <c r="X13" s="463"/>
      <c r="Y13" s="3776"/>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59"/>
      <c r="H14" s="309">
        <f>SUMIF(74:74,G14,75:75)-SUMIF(74:74,C14,75:75)+100</f>
        <v>100</v>
      </c>
      <c r="I14" s="255"/>
      <c r="J14" s="309">
        <f>SUMIF(74:74,I14,75:75)-SUMIF(74:74,C14,75:75)+100</f>
        <v>100</v>
      </c>
      <c r="K14" s="399"/>
      <c r="L14" s="402"/>
      <c r="M14" s="390"/>
      <c r="N14" s="390"/>
      <c r="O14" s="401"/>
      <c r="P14" s="3858"/>
      <c r="Q14" s="464">
        <f t="shared" si="6"/>
        <v>111</v>
      </c>
      <c r="R14" s="461" t="s">
        <v>1005</v>
      </c>
      <c r="S14" s="462">
        <f t="shared" si="0"/>
        <v>100</v>
      </c>
      <c r="T14" s="461" t="s">
        <v>1005</v>
      </c>
      <c r="U14" s="462">
        <f t="shared" si="1"/>
        <v>100</v>
      </c>
      <c r="V14" s="461" t="s">
        <v>1005</v>
      </c>
      <c r="W14" s="462">
        <f t="shared" si="2"/>
        <v>100</v>
      </c>
      <c r="X14" s="463"/>
      <c r="Y14" s="3776"/>
      <c r="Z14" s="481">
        <f t="shared" si="7"/>
        <v>111</v>
      </c>
      <c r="AA14" s="480">
        <f t="shared" si="3"/>
        <v>1</v>
      </c>
      <c r="AB14" s="480">
        <f t="shared" si="4"/>
        <v>1</v>
      </c>
      <c r="AC14" s="480">
        <f t="shared" si="5"/>
        <v>1</v>
      </c>
    </row>
    <row r="15" spans="1:29" ht="15">
      <c r="A15" s="257" t="s">
        <v>1016</v>
      </c>
      <c r="B15" s="258" t="s">
        <v>224</v>
      </c>
      <c r="C15" s="586">
        <f>估价对象房地状况!C4</f>
        <v>0</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60" t="s">
        <v>1017</v>
      </c>
      <c r="Q15" s="395" t="str">
        <f t="shared" si="6"/>
        <v>商业繁华度</v>
      </c>
      <c r="R15" s="465" t="s">
        <v>1005</v>
      </c>
      <c r="S15" s="466">
        <f t="shared" si="0"/>
        <v>100</v>
      </c>
      <c r="T15" s="465" t="s">
        <v>1005</v>
      </c>
      <c r="U15" s="466">
        <f t="shared" si="1"/>
        <v>100</v>
      </c>
      <c r="V15" s="465" t="s">
        <v>1005</v>
      </c>
      <c r="W15" s="466">
        <f t="shared" si="2"/>
        <v>100</v>
      </c>
      <c r="X15" s="460"/>
      <c r="Y15" s="3860" t="s">
        <v>1017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61"/>
      <c r="Q16" s="395"/>
      <c r="R16" s="465"/>
      <c r="S16" s="466"/>
      <c r="T16" s="465"/>
      <c r="U16" s="466"/>
      <c r="V16" s="465"/>
      <c r="W16" s="466"/>
      <c r="X16" s="460"/>
      <c r="Y16" s="3861"/>
      <c r="Z16" s="459"/>
      <c r="AA16" s="471">
        <v>1</v>
      </c>
      <c r="AB16" s="471">
        <v>1</v>
      </c>
      <c r="AC16" s="471">
        <v>1</v>
      </c>
    </row>
    <row r="17" spans="1:29" ht="114">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61"/>
      <c r="Q17" s="395" t="str">
        <f>B17</f>
        <v>交通便捷度</v>
      </c>
      <c r="R17" s="465" t="s">
        <v>1005</v>
      </c>
      <c r="S17" s="466">
        <f>F17</f>
        <v>100</v>
      </c>
      <c r="T17" s="465" t="s">
        <v>1005</v>
      </c>
      <c r="U17" s="466">
        <f>H17</f>
        <v>100</v>
      </c>
      <c r="V17" s="465" t="s">
        <v>1005</v>
      </c>
      <c r="W17" s="466">
        <f>J17</f>
        <v>100</v>
      </c>
      <c r="X17" s="460"/>
      <c r="Y17" s="3861"/>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61"/>
      <c r="Q18" s="395"/>
      <c r="R18" s="465"/>
      <c r="S18" s="466"/>
      <c r="T18" s="465"/>
      <c r="U18" s="466"/>
      <c r="V18" s="465"/>
      <c r="W18" s="466"/>
      <c r="X18" s="460"/>
      <c r="Y18" s="3861"/>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61"/>
      <c r="Q19" s="395" t="str">
        <f>B19</f>
        <v>公共配套设施</v>
      </c>
      <c r="R19" s="465" t="s">
        <v>1005</v>
      </c>
      <c r="S19" s="466">
        <f>F19</f>
        <v>100</v>
      </c>
      <c r="T19" s="465" t="s">
        <v>1005</v>
      </c>
      <c r="U19" s="466">
        <f>H19</f>
        <v>100</v>
      </c>
      <c r="V19" s="465" t="s">
        <v>1005</v>
      </c>
      <c r="W19" s="466">
        <f>J19</f>
        <v>100</v>
      </c>
      <c r="X19" s="460"/>
      <c r="Y19" s="3861"/>
      <c r="Z19" s="459" t="str">
        <f>Q19</f>
        <v>公共配套设施</v>
      </c>
      <c r="AA19" s="471">
        <f t="shared" si="3"/>
        <v>1</v>
      </c>
      <c r="AB19" s="471">
        <f t="shared" si="4"/>
        <v>1</v>
      </c>
      <c r="AC19" s="471">
        <f t="shared" si="5"/>
        <v>1</v>
      </c>
    </row>
    <row r="20" spans="1:29" ht="15">
      <c r="A20" s="264"/>
      <c r="B20" s="284"/>
      <c r="C20" s="266"/>
      <c r="D20" s="267"/>
      <c r="E20" s="517"/>
      <c r="F20" s="268"/>
      <c r="G20" s="518"/>
      <c r="H20" s="267"/>
      <c r="I20" s="517"/>
      <c r="J20" s="267"/>
      <c r="K20" s="404"/>
      <c r="L20" s="402"/>
      <c r="M20" s="390"/>
      <c r="N20" s="390"/>
      <c r="O20" s="401"/>
      <c r="P20" s="3861"/>
      <c r="Q20" s="395"/>
      <c r="R20" s="465"/>
      <c r="S20" s="466"/>
      <c r="T20" s="465"/>
      <c r="U20" s="466"/>
      <c r="V20" s="465"/>
      <c r="W20" s="466"/>
      <c r="X20" s="460"/>
      <c r="Y20" s="3861"/>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61"/>
      <c r="Q21" s="395" t="str">
        <f>B21</f>
        <v>基础设施水平</v>
      </c>
      <c r="R21" s="465" t="s">
        <v>1005</v>
      </c>
      <c r="S21" s="466">
        <f>F21</f>
        <v>100</v>
      </c>
      <c r="T21" s="465" t="s">
        <v>1005</v>
      </c>
      <c r="U21" s="466">
        <f>H21</f>
        <v>100</v>
      </c>
      <c r="V21" s="465" t="s">
        <v>1005</v>
      </c>
      <c r="W21" s="466">
        <f>J21</f>
        <v>100</v>
      </c>
      <c r="X21" s="460"/>
      <c r="Y21" s="3861"/>
      <c r="Z21" s="459" t="str">
        <f>Q21</f>
        <v>基础设施水平</v>
      </c>
      <c r="AA21" s="471">
        <f>D21/F21</f>
        <v>1</v>
      </c>
      <c r="AB21" s="471">
        <f>D21/H21</f>
        <v>1</v>
      </c>
      <c r="AC21" s="471">
        <f>D21/J21</f>
        <v>1</v>
      </c>
    </row>
    <row r="22" spans="1:29" ht="15">
      <c r="A22" s="264"/>
      <c r="B22" s="519"/>
      <c r="C22" s="277"/>
      <c r="D22" s="267"/>
      <c r="E22" s="266"/>
      <c r="F22" s="268"/>
      <c r="G22" s="266"/>
      <c r="H22" s="267"/>
      <c r="I22" s="266"/>
      <c r="J22" s="267"/>
      <c r="K22" s="405"/>
      <c r="L22" s="402"/>
      <c r="M22" s="390"/>
      <c r="N22" s="390"/>
      <c r="O22" s="401"/>
      <c r="P22" s="3861"/>
      <c r="Q22" s="395"/>
      <c r="R22" s="465"/>
      <c r="S22" s="466"/>
      <c r="T22" s="465"/>
      <c r="U22" s="466"/>
      <c r="V22" s="465"/>
      <c r="W22" s="466"/>
      <c r="X22" s="460"/>
      <c r="Y22" s="3861"/>
      <c r="Z22" s="459"/>
      <c r="AA22" s="471">
        <v>1</v>
      </c>
      <c r="AB22" s="471">
        <v>1</v>
      </c>
      <c r="AC22" s="471">
        <v>1</v>
      </c>
    </row>
    <row r="23" spans="1:29" ht="57">
      <c r="A23" s="264"/>
      <c r="B23" s="283" t="s">
        <v>2469</v>
      </c>
      <c r="C23" s="589"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61"/>
      <c r="Q23" s="395" t="str">
        <f>B23</f>
        <v>自然及人文环境</v>
      </c>
      <c r="R23" s="465" t="s">
        <v>1005</v>
      </c>
      <c r="S23" s="466">
        <f>F23</f>
        <v>100</v>
      </c>
      <c r="T23" s="465" t="s">
        <v>1005</v>
      </c>
      <c r="U23" s="466">
        <f>H23</f>
        <v>100</v>
      </c>
      <c r="V23" s="465" t="s">
        <v>1005</v>
      </c>
      <c r="W23" s="466">
        <f>J23</f>
        <v>100</v>
      </c>
      <c r="X23" s="460"/>
      <c r="Y23" s="3861"/>
      <c r="Z23" s="459" t="str">
        <f>Q23</f>
        <v>自然及人文环境</v>
      </c>
      <c r="AA23" s="471">
        <f t="shared" si="3"/>
        <v>1</v>
      </c>
      <c r="AB23" s="471">
        <f t="shared" si="4"/>
        <v>1</v>
      </c>
      <c r="AC23" s="471">
        <f t="shared" si="5"/>
        <v>1</v>
      </c>
    </row>
    <row r="24" spans="1:29" ht="15">
      <c r="A24" s="264"/>
      <c r="B24" s="284"/>
      <c r="C24" s="266"/>
      <c r="D24" s="267"/>
      <c r="E24" s="517"/>
      <c r="F24" s="268"/>
      <c r="G24" s="518"/>
      <c r="H24" s="267"/>
      <c r="I24" s="517"/>
      <c r="J24" s="267"/>
      <c r="K24" s="404"/>
      <c r="L24" s="402"/>
      <c r="M24" s="390"/>
      <c r="N24" s="390"/>
      <c r="O24" s="401"/>
      <c r="P24" s="3861"/>
      <c r="Q24" s="395"/>
      <c r="R24" s="465"/>
      <c r="S24" s="466"/>
      <c r="T24" s="465"/>
      <c r="U24" s="466"/>
      <c r="V24" s="465"/>
      <c r="W24" s="466"/>
      <c r="X24" s="460"/>
      <c r="Y24" s="3861"/>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61"/>
      <c r="Q25" s="395" t="str">
        <f t="shared" ref="Q25:Q46" si="8">B25</f>
        <v>临街状况</v>
      </c>
      <c r="R25" s="465" t="s">
        <v>1005</v>
      </c>
      <c r="S25" s="466">
        <f>F25</f>
        <v>100</v>
      </c>
      <c r="T25" s="465" t="s">
        <v>1005</v>
      </c>
      <c r="U25" s="466">
        <f>H25</f>
        <v>100</v>
      </c>
      <c r="V25" s="465" t="s">
        <v>1005</v>
      </c>
      <c r="W25" s="466">
        <f>J25</f>
        <v>100</v>
      </c>
      <c r="X25" s="460"/>
      <c r="Y25" s="3861"/>
      <c r="Z25" s="459" t="str">
        <f>Q25</f>
        <v>临街状况</v>
      </c>
      <c r="AA25" s="471">
        <f t="shared" si="3"/>
        <v>1</v>
      </c>
      <c r="AB25" s="471">
        <f t="shared" si="4"/>
        <v>1</v>
      </c>
      <c r="AC25" s="471">
        <f t="shared" si="5"/>
        <v>1</v>
      </c>
    </row>
    <row r="26" spans="1:29" ht="15">
      <c r="A26" s="264"/>
      <c r="B26" s="520"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61"/>
      <c r="Q26" s="395" t="str">
        <f t="shared" si="8"/>
        <v>平面位置/可视性</v>
      </c>
      <c r="R26" s="465" t="s">
        <v>1005</v>
      </c>
      <c r="S26" s="466">
        <f>F26</f>
        <v>100</v>
      </c>
      <c r="T26" s="465" t="s">
        <v>1005</v>
      </c>
      <c r="U26" s="466">
        <f>H26</f>
        <v>100</v>
      </c>
      <c r="V26" s="465" t="s">
        <v>1005</v>
      </c>
      <c r="W26" s="466">
        <f>J26</f>
        <v>100</v>
      </c>
      <c r="X26" s="460"/>
      <c r="Y26" s="3861"/>
      <c r="Z26" s="459" t="str">
        <f>Q26</f>
        <v>平面位置/可视性</v>
      </c>
      <c r="AA26" s="471">
        <f t="shared" si="3"/>
        <v>1</v>
      </c>
      <c r="AB26" s="471">
        <f t="shared" si="4"/>
        <v>1</v>
      </c>
      <c r="AC26" s="471">
        <f t="shared" si="5"/>
        <v>1</v>
      </c>
    </row>
    <row r="27" spans="1:29" s="199" customFormat="1" ht="15">
      <c r="A27" s="288"/>
      <c r="B27" s="283" t="s">
        <v>2554</v>
      </c>
      <c r="C27" s="562"/>
      <c r="D27" s="521">
        <v>100</v>
      </c>
      <c r="E27" s="562"/>
      <c r="F27" s="522">
        <f>SUMIF(90:90,E27,91:91)-SUMIF(90:90,C27,91:91)+100</f>
        <v>100</v>
      </c>
      <c r="G27" s="562"/>
      <c r="H27" s="521">
        <f>SUMIF(90:90,G27,91:91)-SUMIF(90:90,C27,91:91)+100</f>
        <v>100</v>
      </c>
      <c r="I27" s="562"/>
      <c r="J27" s="521">
        <f>SUMIF(90:90,I27,91:91)-SUMIF(90:90,C27,91:91)+100</f>
        <v>100</v>
      </c>
      <c r="K27" s="406"/>
      <c r="L27" s="392"/>
      <c r="M27" s="393"/>
      <c r="N27" s="393"/>
      <c r="O27" s="394"/>
      <c r="P27" s="3861"/>
      <c r="Q27" s="464" t="str">
        <f t="shared" si="8"/>
        <v>人流量</v>
      </c>
      <c r="R27" s="461" t="s">
        <v>1005</v>
      </c>
      <c r="S27" s="462">
        <f>F27</f>
        <v>100</v>
      </c>
      <c r="T27" s="461" t="s">
        <v>1005</v>
      </c>
      <c r="U27" s="462">
        <f>H27</f>
        <v>100</v>
      </c>
      <c r="V27" s="461" t="s">
        <v>1005</v>
      </c>
      <c r="W27" s="462">
        <f>J27</f>
        <v>100</v>
      </c>
      <c r="X27" s="463"/>
      <c r="Y27" s="3861"/>
      <c r="Z27" s="481" t="str">
        <f>Q27</f>
        <v>人流量</v>
      </c>
      <c r="AA27" s="471">
        <f t="shared" si="3"/>
        <v>1</v>
      </c>
      <c r="AB27" s="471">
        <f t="shared" si="4"/>
        <v>1</v>
      </c>
      <c r="AC27" s="471">
        <f t="shared" si="5"/>
        <v>1</v>
      </c>
    </row>
    <row r="28" spans="1:29" ht="15">
      <c r="A28" s="264"/>
      <c r="B28" s="298" t="s">
        <v>2542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61"/>
      <c r="Q28" s="395" t="str">
        <f t="shared" si="8"/>
        <v>楼层</v>
      </c>
      <c r="R28" s="465" t="s">
        <v>1005</v>
      </c>
      <c r="S28" s="466">
        <f t="shared" ref="S28:S46" si="9">F28</f>
        <v>100</v>
      </c>
      <c r="T28" s="465" t="s">
        <v>1005</v>
      </c>
      <c r="U28" s="466">
        <f t="shared" ref="U28:U46" si="10">H28</f>
        <v>100</v>
      </c>
      <c r="V28" s="465" t="s">
        <v>1005</v>
      </c>
      <c r="W28" s="466">
        <f t="shared" ref="W28:W46" si="11">J28</f>
        <v>100</v>
      </c>
      <c r="X28" s="460"/>
      <c r="Y28" s="3861"/>
      <c r="Z28" s="459" t="str">
        <f t="shared" ref="Z28:Z46" si="12">Q28</f>
        <v>楼层</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61"/>
      <c r="Q29" s="395">
        <f t="shared" si="8"/>
        <v>111</v>
      </c>
      <c r="R29" s="465" t="s">
        <v>1005</v>
      </c>
      <c r="S29" s="466">
        <f t="shared" si="9"/>
        <v>100</v>
      </c>
      <c r="T29" s="465" t="s">
        <v>1005</v>
      </c>
      <c r="U29" s="466">
        <f t="shared" si="10"/>
        <v>100</v>
      </c>
      <c r="V29" s="465" t="s">
        <v>1005</v>
      </c>
      <c r="W29" s="466">
        <f t="shared" si="11"/>
        <v>100</v>
      </c>
      <c r="X29" s="460"/>
      <c r="Y29" s="3861"/>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61"/>
      <c r="Q30" s="395">
        <f t="shared" si="8"/>
        <v>111</v>
      </c>
      <c r="R30" s="465" t="s">
        <v>1005</v>
      </c>
      <c r="S30" s="466">
        <f t="shared" si="9"/>
        <v>100</v>
      </c>
      <c r="T30" s="465" t="s">
        <v>1005</v>
      </c>
      <c r="U30" s="466">
        <f t="shared" si="10"/>
        <v>100</v>
      </c>
      <c r="V30" s="465" t="s">
        <v>1005</v>
      </c>
      <c r="W30" s="466">
        <f t="shared" si="11"/>
        <v>100</v>
      </c>
      <c r="X30" s="460"/>
      <c r="Y30" s="3861"/>
      <c r="Z30" s="459">
        <f t="shared" si="12"/>
        <v>111</v>
      </c>
      <c r="AA30" s="471">
        <f t="shared" si="3"/>
        <v>1</v>
      </c>
      <c r="AB30" s="471">
        <f t="shared" si="4"/>
        <v>1</v>
      </c>
      <c r="AC30" s="471">
        <f t="shared" si="5"/>
        <v>1</v>
      </c>
    </row>
    <row r="31" spans="1:29" ht="15">
      <c r="A31" s="523"/>
      <c r="B31" s="520">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61"/>
      <c r="Q31" s="395">
        <f t="shared" si="8"/>
        <v>111</v>
      </c>
      <c r="R31" s="465" t="s">
        <v>1005</v>
      </c>
      <c r="S31" s="466">
        <f t="shared" si="9"/>
        <v>100</v>
      </c>
      <c r="T31" s="465" t="s">
        <v>1005</v>
      </c>
      <c r="U31" s="466">
        <f t="shared" si="10"/>
        <v>100</v>
      </c>
      <c r="V31" s="465" t="s">
        <v>1005</v>
      </c>
      <c r="W31" s="466">
        <f t="shared" si="11"/>
        <v>100</v>
      </c>
      <c r="X31" s="460"/>
      <c r="Y31" s="3861"/>
      <c r="Z31" s="459">
        <f t="shared" si="12"/>
        <v>111</v>
      </c>
      <c r="AA31" s="471">
        <f t="shared" si="3"/>
        <v>1</v>
      </c>
      <c r="AB31" s="471">
        <f t="shared" si="4"/>
        <v>1</v>
      </c>
      <c r="AC31" s="471">
        <f t="shared" si="5"/>
        <v>1</v>
      </c>
    </row>
    <row r="32" spans="1:29" ht="15">
      <c r="A32" s="292" t="s">
        <v>1029</v>
      </c>
      <c r="B32" s="293" t="s">
        <v>2555</v>
      </c>
      <c r="C32" s="590"/>
      <c r="D32" s="295">
        <v>100</v>
      </c>
      <c r="E32" s="590"/>
      <c r="F32" s="286">
        <f>SUMIF(100:100,E32,101:101)-SUMIF(100:100,C32,101:101)+100</f>
        <v>100</v>
      </c>
      <c r="G32" s="590"/>
      <c r="H32" s="256">
        <f>SUMIF(100:100,G32,101:101)-SUMIF(100:100,C32,101:101)+100</f>
        <v>100</v>
      </c>
      <c r="I32" s="590"/>
      <c r="J32" s="295">
        <f>SUMIF(100:100,I32,101:101)-SUMIF(100:100,C32,101:101)+100</f>
        <v>100</v>
      </c>
      <c r="K32" s="406"/>
      <c r="L32" s="402"/>
      <c r="M32" s="390"/>
      <c r="N32" s="390"/>
      <c r="O32" s="401"/>
      <c r="P32" s="3862" t="s">
        <v>1028</v>
      </c>
      <c r="Q32" s="395" t="str">
        <f t="shared" si="8"/>
        <v>商业类型</v>
      </c>
      <c r="R32" s="465" t="s">
        <v>1005</v>
      </c>
      <c r="S32" s="466">
        <f t="shared" si="9"/>
        <v>100</v>
      </c>
      <c r="T32" s="465" t="s">
        <v>1005</v>
      </c>
      <c r="U32" s="466">
        <f t="shared" si="10"/>
        <v>100</v>
      </c>
      <c r="V32" s="465" t="s">
        <v>1005</v>
      </c>
      <c r="W32" s="466">
        <f t="shared" si="11"/>
        <v>100</v>
      </c>
      <c r="X32" s="460"/>
      <c r="Y32" s="3863" t="s">
        <v>1028</v>
      </c>
      <c r="Z32" s="459" t="str">
        <f t="shared" si="12"/>
        <v>商业类型</v>
      </c>
      <c r="AA32" s="471">
        <f t="shared" si="3"/>
        <v>1</v>
      </c>
      <c r="AB32" s="471">
        <f t="shared" si="4"/>
        <v>1</v>
      </c>
      <c r="AC32" s="471">
        <f t="shared" si="5"/>
        <v>1</v>
      </c>
    </row>
    <row r="33" spans="1:29" s="201" customFormat="1" ht="15">
      <c r="A33" s="297"/>
      <c r="B33" s="298" t="s">
        <v>2474</v>
      </c>
      <c r="C33" s="251"/>
      <c r="D33" s="246">
        <v>100</v>
      </c>
      <c r="E33" s="513"/>
      <c r="F33" s="524" t="e">
        <f>LOOKUP(E33,103:103,104:104)-LOOKUP(C33,103:103,104:104)+100</f>
        <v>#N/A</v>
      </c>
      <c r="G33" s="512"/>
      <c r="H33" s="246" t="e">
        <f>LOOKUP(G33,103:103,104:104)-LOOKUP(C33,103:103,104:104)+100</f>
        <v>#N/A</v>
      </c>
      <c r="I33" s="512"/>
      <c r="J33" s="246" t="e">
        <f>LOOKUP(I33,103:103,104:104)-LOOKUP(C33,103:103,104:104)+100</f>
        <v>#N/A</v>
      </c>
      <c r="K33" s="399"/>
      <c r="L33" s="400"/>
      <c r="M33" s="407"/>
      <c r="N33" s="407"/>
      <c r="O33" s="408"/>
      <c r="P33" s="3863"/>
      <c r="Q33" s="467" t="str">
        <f t="shared" si="8"/>
        <v>项目建筑规模</v>
      </c>
      <c r="R33" s="468" t="s">
        <v>1005</v>
      </c>
      <c r="S33" s="469" t="e">
        <f t="shared" si="9"/>
        <v>#N/A</v>
      </c>
      <c r="T33" s="468" t="s">
        <v>1005</v>
      </c>
      <c r="U33" s="469" t="e">
        <f t="shared" si="10"/>
        <v>#N/A</v>
      </c>
      <c r="V33" s="468" t="s">
        <v>1005</v>
      </c>
      <c r="W33" s="469" t="e">
        <f t="shared" si="11"/>
        <v>#N/A</v>
      </c>
      <c r="X33" s="470"/>
      <c r="Y33" s="3863"/>
      <c r="Z33" s="482" t="str">
        <f t="shared" si="12"/>
        <v>项目建筑规模</v>
      </c>
      <c r="AA33" s="471" t="e">
        <f t="shared" si="3"/>
        <v>#N/A</v>
      </c>
      <c r="AB33" s="471" t="e">
        <f t="shared" si="4"/>
        <v>#N/A</v>
      </c>
      <c r="AC33" s="471" t="e">
        <f t="shared" si="5"/>
        <v>#N/A</v>
      </c>
    </row>
    <row r="34" spans="1:29" ht="15">
      <c r="A34" s="302"/>
      <c r="B34" s="298" t="s">
        <v>2475</v>
      </c>
      <c r="C34" s="591"/>
      <c r="D34" s="256">
        <v>100</v>
      </c>
      <c r="E34" s="592"/>
      <c r="F34" s="286">
        <f>SUMIF(105:105,E34,106:106)-SUMIF(105:105,C34,106:106)+100</f>
        <v>100</v>
      </c>
      <c r="G34" s="591"/>
      <c r="H34" s="256">
        <f>SUMIF(105:105,G34,106:106)-SUMIF(105:105,C34,106:106)+100</f>
        <v>100</v>
      </c>
      <c r="I34" s="591"/>
      <c r="J34" s="256">
        <f>SUMIF(105:105,I34,106:106)-SUMIF(105:105,C34,106:106)+100</f>
        <v>100</v>
      </c>
      <c r="K34" s="406"/>
      <c r="L34" s="402"/>
      <c r="M34" s="390"/>
      <c r="N34" s="390"/>
      <c r="O34" s="401"/>
      <c r="P34" s="3863"/>
      <c r="Q34" s="395" t="str">
        <f t="shared" si="8"/>
        <v>建筑结构</v>
      </c>
      <c r="R34" s="465" t="s">
        <v>1005</v>
      </c>
      <c r="S34" s="466">
        <f t="shared" si="9"/>
        <v>100</v>
      </c>
      <c r="T34" s="465" t="s">
        <v>1005</v>
      </c>
      <c r="U34" s="466">
        <f t="shared" si="10"/>
        <v>100</v>
      </c>
      <c r="V34" s="465" t="s">
        <v>1005</v>
      </c>
      <c r="W34" s="466">
        <f t="shared" si="11"/>
        <v>100</v>
      </c>
      <c r="X34" s="460"/>
      <c r="Y34" s="3863"/>
      <c r="Z34" s="459" t="str">
        <f t="shared" si="12"/>
        <v>建筑结构</v>
      </c>
      <c r="AA34" s="471">
        <f t="shared" si="3"/>
        <v>1</v>
      </c>
      <c r="AB34" s="471">
        <f t="shared" si="4"/>
        <v>1</v>
      </c>
      <c r="AC34" s="471">
        <f t="shared" si="5"/>
        <v>1</v>
      </c>
    </row>
    <row r="35" spans="1:29" ht="15">
      <c r="A35" s="302"/>
      <c r="B35" s="298" t="s">
        <v>2477</v>
      </c>
      <c r="C35" s="566"/>
      <c r="D35" s="256">
        <v>100</v>
      </c>
      <c r="E35" s="566"/>
      <c r="F35" s="286">
        <f>SUMIF(107:107,E35,108:108)-SUMIF(107:107,C35,108:108)+100</f>
        <v>100</v>
      </c>
      <c r="G35" s="566"/>
      <c r="H35" s="256">
        <f>SUMIF(107:107,G35,108:108)-SUMIF(107:107,C35,108:108)+100</f>
        <v>100</v>
      </c>
      <c r="I35" s="566"/>
      <c r="J35" s="256">
        <f>SUMIF(107:107,I35,108:108)-SUMIF(107:107,C35,108:108)+100</f>
        <v>100</v>
      </c>
      <c r="K35" s="406"/>
      <c r="L35" s="402"/>
      <c r="M35" s="390"/>
      <c r="N35" s="390"/>
      <c r="O35" s="401"/>
      <c r="P35" s="3863"/>
      <c r="Q35" s="395" t="str">
        <f t="shared" si="8"/>
        <v>公共部分装修</v>
      </c>
      <c r="R35" s="465" t="s">
        <v>1005</v>
      </c>
      <c r="S35" s="466">
        <f t="shared" si="9"/>
        <v>100</v>
      </c>
      <c r="T35" s="465" t="s">
        <v>1005</v>
      </c>
      <c r="U35" s="466">
        <f t="shared" si="10"/>
        <v>100</v>
      </c>
      <c r="V35" s="465" t="s">
        <v>1005</v>
      </c>
      <c r="W35" s="466">
        <f t="shared" si="11"/>
        <v>100</v>
      </c>
      <c r="X35" s="460"/>
      <c r="Y35" s="3863"/>
      <c r="Z35" s="459" t="str">
        <f t="shared" si="12"/>
        <v>公共部分装修</v>
      </c>
      <c r="AA35" s="471">
        <f t="shared" si="3"/>
        <v>1</v>
      </c>
      <c r="AB35" s="471">
        <f t="shared" si="4"/>
        <v>1</v>
      </c>
      <c r="AC35" s="471">
        <f t="shared" si="5"/>
        <v>1</v>
      </c>
    </row>
    <row r="36" spans="1:29" ht="15">
      <c r="A36" s="302"/>
      <c r="B36" s="298" t="s">
        <v>2478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63"/>
      <c r="Q36" s="395" t="str">
        <f t="shared" si="8"/>
        <v>成新度</v>
      </c>
      <c r="R36" s="465" t="s">
        <v>1005</v>
      </c>
      <c r="S36" s="466" t="e">
        <f t="shared" si="9"/>
        <v>#N/A</v>
      </c>
      <c r="T36" s="465" t="s">
        <v>1005</v>
      </c>
      <c r="U36" s="466" t="e">
        <f t="shared" si="10"/>
        <v>#N/A</v>
      </c>
      <c r="V36" s="465" t="s">
        <v>1005</v>
      </c>
      <c r="W36" s="466" t="e">
        <f t="shared" si="11"/>
        <v>#N/A</v>
      </c>
      <c r="X36" s="460"/>
      <c r="Y36" s="3863"/>
      <c r="Z36" s="459" t="str">
        <f t="shared" si="12"/>
        <v>成新度</v>
      </c>
      <c r="AA36" s="471" t="e">
        <f t="shared" si="3"/>
        <v>#N/A</v>
      </c>
      <c r="AB36" s="471" t="e">
        <f t="shared" si="4"/>
        <v>#N/A</v>
      </c>
      <c r="AC36" s="471" t="e">
        <f t="shared" si="5"/>
        <v>#N/A</v>
      </c>
    </row>
    <row r="37" spans="1:29" s="199" customFormat="1" ht="15">
      <c r="A37" s="305"/>
      <c r="B37" s="525" t="s">
        <v>2480</v>
      </c>
      <c r="C37" s="566"/>
      <c r="D37" s="246">
        <v>100</v>
      </c>
      <c r="E37" s="566"/>
      <c r="F37" s="286">
        <f>SUMIF(112:112,E37,113:113)-SUMIF(112:112,C37,113:113)+100</f>
        <v>100</v>
      </c>
      <c r="G37" s="566"/>
      <c r="H37" s="256">
        <f>SUMIF(112:112,G37,113:113)-SUMIF(112:112,C37,113:113)+100</f>
        <v>100</v>
      </c>
      <c r="I37" s="566"/>
      <c r="J37" s="256">
        <f>SUMIF(112:112,I37,113:113)-SUMIF(112:112,C37,113:113)+100</f>
        <v>100</v>
      </c>
      <c r="K37" s="406"/>
      <c r="L37" s="392"/>
      <c r="M37" s="393"/>
      <c r="N37" s="393"/>
      <c r="O37" s="394"/>
      <c r="P37" s="3863"/>
      <c r="Q37" s="464" t="str">
        <f t="shared" si="8"/>
        <v>市政基础设施</v>
      </c>
      <c r="R37" s="461" t="s">
        <v>1005</v>
      </c>
      <c r="S37" s="462">
        <f t="shared" si="9"/>
        <v>100</v>
      </c>
      <c r="T37" s="461" t="s">
        <v>1005</v>
      </c>
      <c r="U37" s="462">
        <f t="shared" si="10"/>
        <v>100</v>
      </c>
      <c r="V37" s="461" t="s">
        <v>1005</v>
      </c>
      <c r="W37" s="462">
        <f t="shared" si="11"/>
        <v>100</v>
      </c>
      <c r="X37" s="463"/>
      <c r="Y37" s="3863"/>
      <c r="Z37" s="481" t="str">
        <f t="shared" si="12"/>
        <v>市政基础设施</v>
      </c>
      <c r="AA37" s="480">
        <f t="shared" si="3"/>
        <v>1</v>
      </c>
      <c r="AB37" s="480">
        <f t="shared" si="4"/>
        <v>1</v>
      </c>
      <c r="AC37" s="480">
        <f t="shared" si="5"/>
        <v>1</v>
      </c>
    </row>
    <row r="38" spans="1:29" ht="15">
      <c r="A38" s="302"/>
      <c r="B38" s="298" t="s">
        <v>2556</v>
      </c>
      <c r="C38" s="566"/>
      <c r="D38" s="256">
        <v>100</v>
      </c>
      <c r="E38" s="566"/>
      <c r="F38" s="286">
        <f>SUMIF(114:114,E38,115:115)-SUMIF(114:114,C38,115:115)+100</f>
        <v>100</v>
      </c>
      <c r="G38" s="566"/>
      <c r="H38" s="256">
        <f>SUMIF(114:114,G38,115:115)-SUMIF(114:114,C38,115:115)+100</f>
        <v>100</v>
      </c>
      <c r="I38" s="566"/>
      <c r="J38" s="256">
        <f>SUMIF(114:114,I38,115:115)-SUMIF(114:114,C38,115:115)+100</f>
        <v>100</v>
      </c>
      <c r="K38" s="406"/>
      <c r="L38" s="402"/>
      <c r="M38" s="390"/>
      <c r="N38" s="390"/>
      <c r="O38" s="401"/>
      <c r="P38" s="3863" t="s">
        <v>1028</v>
      </c>
      <c r="Q38" s="395" t="str">
        <f t="shared" si="8"/>
        <v>业态</v>
      </c>
      <c r="R38" s="465" t="s">
        <v>1005</v>
      </c>
      <c r="S38" s="466">
        <f t="shared" si="9"/>
        <v>100</v>
      </c>
      <c r="T38" s="465" t="s">
        <v>1005</v>
      </c>
      <c r="U38" s="466">
        <f t="shared" si="10"/>
        <v>100</v>
      </c>
      <c r="V38" s="465" t="s">
        <v>1005</v>
      </c>
      <c r="W38" s="466">
        <f t="shared" si="11"/>
        <v>100</v>
      </c>
      <c r="X38" s="460"/>
      <c r="Y38" s="3863" t="s">
        <v>1028</v>
      </c>
      <c r="Z38" s="459" t="str">
        <f t="shared" si="12"/>
        <v>业态</v>
      </c>
      <c r="AA38" s="471">
        <f t="shared" si="3"/>
        <v>1</v>
      </c>
      <c r="AB38" s="471">
        <f t="shared" si="4"/>
        <v>1</v>
      </c>
      <c r="AC38" s="471">
        <f t="shared" si="5"/>
        <v>1</v>
      </c>
    </row>
    <row r="39" spans="1:29" ht="15">
      <c r="A39" s="302"/>
      <c r="B39" s="298" t="s">
        <v>2557</v>
      </c>
      <c r="C39" s="566"/>
      <c r="D39" s="256">
        <v>100</v>
      </c>
      <c r="E39" s="566"/>
      <c r="F39" s="286">
        <f>SUMIF(116:116,E39,117:117)-SUMIF(116:116,C39,117:117)+100</f>
        <v>100</v>
      </c>
      <c r="G39" s="566"/>
      <c r="H39" s="256">
        <f>SUMIF(116:116,G39,117:117)-SUMIF(116:116,C39,117:117)+100</f>
        <v>100</v>
      </c>
      <c r="I39" s="566"/>
      <c r="J39" s="256">
        <f>SUMIF(116:116,I39,117:117)-SUMIF(116:116,C39,117:117)+100</f>
        <v>100</v>
      </c>
      <c r="K39" s="406"/>
      <c r="L39" s="402"/>
      <c r="M39" s="390"/>
      <c r="N39" s="390"/>
      <c r="O39" s="401"/>
      <c r="P39" s="3863"/>
      <c r="Q39" s="395" t="str">
        <f t="shared" si="8"/>
        <v>层高</v>
      </c>
      <c r="R39" s="465" t="s">
        <v>1005</v>
      </c>
      <c r="S39" s="466">
        <f t="shared" si="9"/>
        <v>100</v>
      </c>
      <c r="T39" s="465" t="s">
        <v>1005</v>
      </c>
      <c r="U39" s="466">
        <f t="shared" si="10"/>
        <v>100</v>
      </c>
      <c r="V39" s="465" t="s">
        <v>1005</v>
      </c>
      <c r="W39" s="466">
        <f t="shared" si="11"/>
        <v>100</v>
      </c>
      <c r="X39" s="460"/>
      <c r="Y39" s="3863"/>
      <c r="Z39" s="459" t="str">
        <f t="shared" si="12"/>
        <v>层高</v>
      </c>
      <c r="AA39" s="471">
        <f t="shared" si="3"/>
        <v>1</v>
      </c>
      <c r="AB39" s="471">
        <f t="shared" si="4"/>
        <v>1</v>
      </c>
      <c r="AC39" s="471">
        <f t="shared" si="5"/>
        <v>1</v>
      </c>
    </row>
    <row r="40" spans="1:29" ht="15">
      <c r="A40" s="302"/>
      <c r="B40" s="298" t="s">
        <v>2558</v>
      </c>
      <c r="C40" s="593"/>
      <c r="D40" s="256">
        <v>100</v>
      </c>
      <c r="E40" s="594"/>
      <c r="F40" s="286">
        <f>SUMIF(118:118,E40,119:119)-SUMIF(118:118,C40,119:119)+100</f>
        <v>100</v>
      </c>
      <c r="G40" s="594"/>
      <c r="H40" s="256">
        <f>SUMIF(118:118,G40,119:119)-SUMIF(118:118,C40,119:119)+100</f>
        <v>100</v>
      </c>
      <c r="I40" s="594"/>
      <c r="J40" s="256">
        <f>SUMIF(118:118,I40,119:119)-SUMIF(118:118,C40,119:119)+100</f>
        <v>100</v>
      </c>
      <c r="K40" s="399"/>
      <c r="L40" s="402"/>
      <c r="M40" s="390"/>
      <c r="N40" s="390"/>
      <c r="O40" s="401"/>
      <c r="P40" s="3863"/>
      <c r="Q40" s="395" t="str">
        <f t="shared" si="8"/>
        <v>单套建筑面积</v>
      </c>
      <c r="R40" s="465" t="s">
        <v>1005</v>
      </c>
      <c r="S40" s="466">
        <f t="shared" si="9"/>
        <v>100</v>
      </c>
      <c r="T40" s="465" t="s">
        <v>1005</v>
      </c>
      <c r="U40" s="466">
        <f t="shared" si="10"/>
        <v>100</v>
      </c>
      <c r="V40" s="465" t="s">
        <v>1005</v>
      </c>
      <c r="W40" s="466">
        <f t="shared" si="11"/>
        <v>100</v>
      </c>
      <c r="X40" s="460"/>
      <c r="Y40" s="3863"/>
      <c r="Z40" s="459" t="str">
        <f t="shared" si="12"/>
        <v>单套建筑面积</v>
      </c>
      <c r="AA40" s="471">
        <f t="shared" si="3"/>
        <v>1</v>
      </c>
      <c r="AB40" s="471">
        <f t="shared" si="4"/>
        <v>1</v>
      </c>
      <c r="AC40" s="471">
        <f t="shared" si="5"/>
        <v>1</v>
      </c>
    </row>
    <row r="41" spans="1:29" s="201" customFormat="1" ht="15">
      <c r="A41" s="297"/>
      <c r="B41" s="413" t="s">
        <v>2559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63"/>
      <c r="Q41" s="467" t="str">
        <f t="shared" si="8"/>
        <v>进深比</v>
      </c>
      <c r="R41" s="468" t="s">
        <v>1005</v>
      </c>
      <c r="S41" s="469">
        <f t="shared" si="9"/>
        <v>100</v>
      </c>
      <c r="T41" s="468" t="s">
        <v>1005</v>
      </c>
      <c r="U41" s="469">
        <f t="shared" si="10"/>
        <v>100</v>
      </c>
      <c r="V41" s="468" t="s">
        <v>1005</v>
      </c>
      <c r="W41" s="469">
        <f t="shared" si="11"/>
        <v>100</v>
      </c>
      <c r="X41" s="470"/>
      <c r="Y41" s="3863"/>
      <c r="Z41" s="482" t="str">
        <f t="shared" si="12"/>
        <v>进深比</v>
      </c>
      <c r="AA41" s="471">
        <f t="shared" si="3"/>
        <v>1</v>
      </c>
      <c r="AB41" s="471">
        <f t="shared" si="4"/>
        <v>1</v>
      </c>
      <c r="AC41" s="471">
        <f t="shared" si="5"/>
        <v>1</v>
      </c>
    </row>
    <row r="42" spans="1:29" ht="15">
      <c r="A42" s="302"/>
      <c r="B42" s="298" t="s">
        <v>2483</v>
      </c>
      <c r="C42" s="566"/>
      <c r="D42" s="256">
        <v>100</v>
      </c>
      <c r="E42" s="566"/>
      <c r="F42" s="286">
        <f>SUMIF(122:122,E42,123:123)-SUMIF(122:122,C42,123:123)+100</f>
        <v>100</v>
      </c>
      <c r="G42" s="566"/>
      <c r="H42" s="256">
        <f>SUMIF(122:122,G42,123:123)-SUMIF(122:122,C42,123:123)+100</f>
        <v>100</v>
      </c>
      <c r="I42" s="566"/>
      <c r="J42" s="256">
        <f>SUMIF(122:122,I42,123:123)-SUMIF(122:122,C42,123:123)+100</f>
        <v>100</v>
      </c>
      <c r="K42" s="406"/>
      <c r="L42" s="402"/>
      <c r="M42" s="390"/>
      <c r="N42" s="390"/>
      <c r="O42" s="401"/>
      <c r="P42" s="3863"/>
      <c r="Q42" s="395" t="str">
        <f t="shared" si="8"/>
        <v>内部装修</v>
      </c>
      <c r="R42" s="465" t="s">
        <v>1005</v>
      </c>
      <c r="S42" s="466">
        <f t="shared" si="9"/>
        <v>100</v>
      </c>
      <c r="T42" s="465" t="s">
        <v>1005</v>
      </c>
      <c r="U42" s="466">
        <f t="shared" si="10"/>
        <v>100</v>
      </c>
      <c r="V42" s="465" t="s">
        <v>1005</v>
      </c>
      <c r="W42" s="466">
        <f t="shared" si="11"/>
        <v>100</v>
      </c>
      <c r="X42" s="460"/>
      <c r="Y42" s="3863"/>
      <c r="Z42" s="459" t="str">
        <f t="shared" si="12"/>
        <v>内部装修</v>
      </c>
      <c r="AA42" s="471">
        <f t="shared" si="3"/>
        <v>1</v>
      </c>
      <c r="AB42" s="471">
        <f t="shared" si="4"/>
        <v>1</v>
      </c>
      <c r="AC42" s="471">
        <f t="shared" si="5"/>
        <v>1</v>
      </c>
    </row>
    <row r="43" spans="1:29" ht="27">
      <c r="A43" s="302"/>
      <c r="B43" s="298" t="s">
        <v>233</v>
      </c>
      <c r="C43" s="566"/>
      <c r="D43" s="256">
        <v>100</v>
      </c>
      <c r="E43" s="566"/>
      <c r="F43" s="286">
        <f>SUMIF(124:124,E43,125:125)-SUMIF(124:124,C43,125:125)+100</f>
        <v>100</v>
      </c>
      <c r="G43" s="566"/>
      <c r="H43" s="256">
        <f>SUMIF(124:124,G43,125:125)-SUMIF(124:124,C43,125:125)+100</f>
        <v>100</v>
      </c>
      <c r="I43" s="566"/>
      <c r="J43" s="256">
        <f>SUMIF(124:124,I43,125:125)-SUMIF(124:124,C43,125:125)+100</f>
        <v>100</v>
      </c>
      <c r="K43" s="406"/>
      <c r="L43" s="402"/>
      <c r="M43" s="390"/>
      <c r="N43" s="390"/>
      <c r="O43" s="401"/>
      <c r="P43" s="3863"/>
      <c r="Q43" s="395" t="str">
        <f t="shared" si="8"/>
        <v>内部装修维护情况</v>
      </c>
      <c r="R43" s="465" t="s">
        <v>1005</v>
      </c>
      <c r="S43" s="466">
        <f t="shared" si="9"/>
        <v>100</v>
      </c>
      <c r="T43" s="465" t="s">
        <v>1005</v>
      </c>
      <c r="U43" s="466">
        <f t="shared" si="10"/>
        <v>100</v>
      </c>
      <c r="V43" s="465" t="s">
        <v>1005</v>
      </c>
      <c r="W43" s="466">
        <f t="shared" si="11"/>
        <v>100</v>
      </c>
      <c r="X43" s="460"/>
      <c r="Y43" s="3863"/>
      <c r="Z43" s="459" t="str">
        <f t="shared" si="12"/>
        <v>内部装修维护情况</v>
      </c>
      <c r="AA43" s="471">
        <f t="shared" si="3"/>
        <v>1</v>
      </c>
      <c r="AB43" s="471">
        <f t="shared" si="4"/>
        <v>1</v>
      </c>
      <c r="AC43" s="471">
        <f t="shared" si="5"/>
        <v>1</v>
      </c>
    </row>
    <row r="44" spans="1:29" s="199" customFormat="1" ht="15">
      <c r="A44" s="305"/>
      <c r="B44" s="520">
        <v>111</v>
      </c>
      <c r="C44" s="251"/>
      <c r="D44" s="246">
        <v>100</v>
      </c>
      <c r="E44" s="255"/>
      <c r="F44" s="524">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63"/>
      <c r="Q44" s="464">
        <f t="shared" si="8"/>
        <v>111</v>
      </c>
      <c r="R44" s="461" t="s">
        <v>1005</v>
      </c>
      <c r="S44" s="462">
        <f t="shared" si="9"/>
        <v>100</v>
      </c>
      <c r="T44" s="461" t="s">
        <v>1005</v>
      </c>
      <c r="U44" s="462">
        <f t="shared" si="10"/>
        <v>100</v>
      </c>
      <c r="V44" s="461" t="s">
        <v>1005</v>
      </c>
      <c r="W44" s="462">
        <f t="shared" si="11"/>
        <v>100</v>
      </c>
      <c r="X44" s="463"/>
      <c r="Y44" s="3863"/>
      <c r="Z44" s="481">
        <f t="shared" si="12"/>
        <v>111</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63"/>
      <c r="Q45" s="395">
        <f t="shared" si="8"/>
        <v>111</v>
      </c>
      <c r="R45" s="465" t="s">
        <v>1005</v>
      </c>
      <c r="S45" s="466">
        <f t="shared" si="9"/>
        <v>100</v>
      </c>
      <c r="T45" s="465" t="s">
        <v>1005</v>
      </c>
      <c r="U45" s="466">
        <f t="shared" si="10"/>
        <v>100</v>
      </c>
      <c r="V45" s="465" t="s">
        <v>1005</v>
      </c>
      <c r="W45" s="466">
        <f t="shared" si="11"/>
        <v>100</v>
      </c>
      <c r="X45" s="460"/>
      <c r="Y45" s="3863"/>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74"/>
      <c r="Q46" s="395">
        <f t="shared" si="8"/>
        <v>111</v>
      </c>
      <c r="R46" s="465" t="s">
        <v>1005</v>
      </c>
      <c r="S46" s="466">
        <f t="shared" si="9"/>
        <v>100</v>
      </c>
      <c r="T46" s="465" t="s">
        <v>1005</v>
      </c>
      <c r="U46" s="466">
        <f t="shared" si="10"/>
        <v>100</v>
      </c>
      <c r="V46" s="465" t="s">
        <v>1005</v>
      </c>
      <c r="W46" s="466">
        <f t="shared" si="11"/>
        <v>100</v>
      </c>
      <c r="X46" s="460"/>
      <c r="Y46" s="3974"/>
      <c r="Z46" s="459">
        <f t="shared" si="12"/>
        <v>111</v>
      </c>
      <c r="AA46" s="471">
        <f t="shared" si="3"/>
        <v>1</v>
      </c>
      <c r="AB46" s="471">
        <f t="shared" si="4"/>
        <v>1</v>
      </c>
      <c r="AC46" s="471">
        <f t="shared" si="5"/>
        <v>1</v>
      </c>
    </row>
    <row r="47" spans="1:29" ht="15">
      <c r="A47" s="312" t="s">
        <v>2484</v>
      </c>
      <c r="B47" s="313"/>
      <c r="C47" s="314" t="s">
        <v>138</v>
      </c>
      <c r="D47" s="315"/>
      <c r="E47" s="316"/>
      <c r="F47" s="317"/>
      <c r="G47" s="318"/>
      <c r="H47" s="319"/>
      <c r="I47" s="316"/>
      <c r="J47" s="319"/>
      <c r="K47" s="409"/>
      <c r="L47" s="410"/>
      <c r="M47" s="340"/>
      <c r="N47" s="390"/>
      <c r="O47" s="340"/>
      <c r="P47" s="3858" t="str">
        <f>A47</f>
        <v>成交单价（元/平方米）</v>
      </c>
      <c r="Q47" s="3858"/>
      <c r="R47" s="3973">
        <f>E47</f>
        <v>0</v>
      </c>
      <c r="S47" s="3973"/>
      <c r="T47" s="3973">
        <f>G47</f>
        <v>0</v>
      </c>
      <c r="U47" s="3973"/>
      <c r="V47" s="3973">
        <f>I47</f>
        <v>0</v>
      </c>
      <c r="W47" s="3973"/>
      <c r="X47" s="342"/>
      <c r="Y47" s="483"/>
      <c r="Z47" s="342"/>
      <c r="AA47" s="342"/>
      <c r="AB47" s="342"/>
      <c r="AC47" s="342"/>
    </row>
    <row r="48" spans="1:29" ht="15">
      <c r="A48" s="320" t="s">
        <v>1037</v>
      </c>
      <c r="B48" s="321"/>
      <c r="C48" s="322" t="e">
        <f>R49</f>
        <v>#DIV/0!</v>
      </c>
      <c r="D48" s="323" t="s">
        <v>1038</v>
      </c>
      <c r="E48" s="324" t="e">
        <f>R48</f>
        <v>#DIV/0!</v>
      </c>
      <c r="F48" s="325"/>
      <c r="G48" s="322" t="e">
        <f>T48</f>
        <v>#DIV/0!</v>
      </c>
      <c r="H48" s="325"/>
      <c r="I48" s="324" t="e">
        <f>V48</f>
        <v>#DIV/0!</v>
      </c>
      <c r="J48" s="325"/>
      <c r="K48" s="411">
        <f>F48+H48+J48</f>
        <v>0</v>
      </c>
      <c r="L48" s="410"/>
      <c r="M48" s="340"/>
      <c r="N48" s="390"/>
      <c r="O48" s="340"/>
      <c r="P48" s="3858" t="str">
        <f>A48</f>
        <v>比较价格（元/平方米）</v>
      </c>
      <c r="Q48" s="3858"/>
      <c r="R48" s="3973" t="e">
        <f>IF(F1="售价",ROUND(PRODUCT(R47,AA7:AA46),0),ROUND(PRODUCT(R47,AA7:AA46),1))</f>
        <v>#DIV/0!</v>
      </c>
      <c r="S48" s="3973"/>
      <c r="T48" s="3973" t="e">
        <f>IF(F1="售价",ROUND(PRODUCT(T47,AB7:AB46),0),ROUND(PRODUCT(T47,AB7:AB46),1))</f>
        <v>#DIV/0!</v>
      </c>
      <c r="U48" s="3973"/>
      <c r="V48" s="3973" t="e">
        <f>IF(F1="售价",ROUND(PRODUCT(V47,AC7:AC46),0),ROUND(PRODUCT(V47,AC7:AC46),1))</f>
        <v>#DIV/0!</v>
      </c>
      <c r="W48" s="3973"/>
      <c r="X48" s="342"/>
      <c r="Y48" s="342"/>
      <c r="Z48" s="342"/>
      <c r="AA48" s="342"/>
      <c r="AB48" s="342"/>
      <c r="AC48" s="342"/>
    </row>
    <row r="49" spans="1:29" ht="15">
      <c r="A49" s="326" t="s">
        <v>1039</v>
      </c>
      <c r="B49" s="327"/>
      <c r="C49" s="328" t="e">
        <f>R49</f>
        <v>#DIV/0!</v>
      </c>
      <c r="D49" s="328"/>
      <c r="E49" s="328"/>
      <c r="F49" s="328"/>
      <c r="G49" s="328"/>
      <c r="H49" s="328"/>
      <c r="I49" s="328"/>
      <c r="J49" s="328"/>
      <c r="K49" s="412"/>
      <c r="L49" s="410"/>
      <c r="M49" s="340"/>
      <c r="N49" s="390"/>
      <c r="O49" s="340"/>
      <c r="P49" s="3884" t="str">
        <f>A49</f>
        <v>估价对象XX用房的比较价格（楼面单价，元/平方米）</v>
      </c>
      <c r="Q49" s="3885"/>
      <c r="R49" s="3975" t="e">
        <f>IF(F1="售价",ROUND(IF(D48="简单平均",AVERAGE(R48:V48),R48*F48+T48*H48+V48*J48),0),ROUND(IF(D48="简单平均",AVERAGE(R48:V48),R48*F48+T48*H48+V48*J48),1))</f>
        <v>#DIV/0!</v>
      </c>
      <c r="S49" s="3975"/>
      <c r="T49" s="3975"/>
      <c r="U49" s="3975"/>
      <c r="V49" s="3975"/>
      <c r="W49" s="397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7"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5"/>
    </row>
    <row r="63" spans="1:29">
      <c r="A63" s="360" t="s">
        <v>1067</v>
      </c>
      <c r="B63" s="361" t="s">
        <v>1068</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1"/>
      <c r="D99" s="531"/>
      <c r="E99" s="531"/>
      <c r="F99" s="531"/>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2555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2474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45"/>
      <c r="J110" s="545"/>
      <c r="K110" s="546"/>
      <c r="L110" s="547"/>
      <c r="M110" s="548"/>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2480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2558</v>
      </c>
      <c r="C118" s="596"/>
      <c r="D118" s="596"/>
      <c r="E118" s="596"/>
      <c r="F118" s="596"/>
      <c r="G118" s="59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E52">
    <cfRule type="expression" dxfId="75" priority="16" stopIfTrue="1">
      <formula>$F$52="超过30%"</formula>
    </cfRule>
  </conditionalFormatting>
  <conditionalFormatting sqref="G52">
    <cfRule type="expression" dxfId="74" priority="12" stopIfTrue="1">
      <formula>$H$52="超过30%"</formula>
    </cfRule>
  </conditionalFormatting>
  <conditionalFormatting sqref="I52">
    <cfRule type="expression" dxfId="73" priority="7" stopIfTrue="1">
      <formula>$J$52="超过30%"</formula>
    </cfRule>
  </conditionalFormatting>
  <conditionalFormatting sqref="J52">
    <cfRule type="containsText" dxfId="72" priority="10" stopIfTrue="1" operator="containsText" text="超过">
      <formula>NOT(ISERROR(SEARCH("超过",J52)))</formula>
    </cfRule>
  </conditionalFormatting>
  <conditionalFormatting sqref="E53">
    <cfRule type="expression" dxfId="71" priority="15" stopIfTrue="1">
      <formula>$F$53="超过20%"</formula>
    </cfRule>
  </conditionalFormatting>
  <conditionalFormatting sqref="G53">
    <cfRule type="expression" dxfId="70" priority="11" stopIfTrue="1">
      <formula>$H$53="超过20%"</formula>
    </cfRule>
  </conditionalFormatting>
  <conditionalFormatting sqref="I53">
    <cfRule type="expression" dxfId="69" priority="6" stopIfTrue="1">
      <formula>$J$53="超过20%"</formula>
    </cfRule>
  </conditionalFormatting>
  <conditionalFormatting sqref="J53">
    <cfRule type="containsText" dxfId="68" priority="8" stopIfTrue="1" operator="containsText" text="超过">
      <formula>NOT(ISERROR(SEARCH("超过",J53)))</formula>
    </cfRule>
  </conditionalFormatting>
  <conditionalFormatting sqref="E54">
    <cfRule type="expression" dxfId="67" priority="14" stopIfTrue="1">
      <formula>$F$54="超过30%"</formula>
    </cfRule>
  </conditionalFormatting>
  <conditionalFormatting sqref="F54">
    <cfRule type="containsText" dxfId="66" priority="18" stopIfTrue="1" operator="containsText" text="超过">
      <formula>NOT(ISERROR(SEARCH("超过",F54)))</formula>
    </cfRule>
  </conditionalFormatting>
  <conditionalFormatting sqref="G54">
    <cfRule type="expression" dxfId="65" priority="13" stopIfTrue="1">
      <formula>$H$54="超过30%"</formula>
    </cfRule>
  </conditionalFormatting>
  <conditionalFormatting sqref="H54">
    <cfRule type="containsText" dxfId="64" priority="19" stopIfTrue="1" operator="containsText" text="超过">
      <formula>NOT(ISERROR(SEARCH("超过",H54)))</formula>
    </cfRule>
  </conditionalFormatting>
  <conditionalFormatting sqref="I54">
    <cfRule type="expression" dxfId="63" priority="5" stopIfTrue="1">
      <formula>$J$54="超过30%"</formula>
    </cfRule>
  </conditionalFormatting>
  <conditionalFormatting sqref="J54">
    <cfRule type="containsText" dxfId="62" priority="9" stopIfTrue="1" operator="containsText" text="超过">
      <formula>NOT(ISERROR(SEARCH("超过",J54)))</formula>
    </cfRule>
  </conditionalFormatting>
  <conditionalFormatting sqref="F7:F46 H7:H46 J7:J46">
    <cfRule type="cellIs" dxfId="61" priority="1" operator="notEqual">
      <formula>100</formula>
    </cfRule>
  </conditionalFormatting>
  <conditionalFormatting sqref="F52 H52">
    <cfRule type="containsText" dxfId="60" priority="21" stopIfTrue="1" operator="containsText" text="超过">
      <formula>NOT(ISERROR(SEARCH("超过",F52)))</formula>
    </cfRule>
  </conditionalFormatting>
  <conditionalFormatting sqref="F53 H53">
    <cfRule type="containsText" dxfId="59"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4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2561</v>
      </c>
      <c r="C1" s="209" t="s">
        <v>2464</v>
      </c>
      <c r="D1" s="210"/>
      <c r="E1" s="211"/>
      <c r="F1" s="212"/>
      <c r="G1" s="213" t="s">
        <v>2466</v>
      </c>
      <c r="H1" s="211"/>
      <c r="I1" s="211"/>
      <c r="J1" s="211"/>
      <c r="K1" s="382"/>
      <c r="L1" s="383"/>
      <c r="M1" s="384"/>
      <c r="N1" s="384"/>
      <c r="O1" s="384"/>
      <c r="P1" s="568"/>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568"/>
      <c r="Q2" s="385"/>
      <c r="R2" s="385"/>
      <c r="S2" s="385"/>
      <c r="T2" s="385"/>
      <c r="U2" s="385"/>
      <c r="V2" s="385"/>
      <c r="W2" s="385"/>
      <c r="X2" s="385"/>
      <c r="Y2" s="385"/>
      <c r="Z2" s="385"/>
      <c r="AA2" s="385"/>
      <c r="AB2" s="385"/>
      <c r="AC2" s="477"/>
    </row>
    <row r="3" spans="1:29" s="198" customFormat="1" ht="28.5" customHeight="1">
      <c r="A3" s="219" t="s">
        <v>2467</v>
      </c>
      <c r="B3" s="220" t="e">
        <f>C50</f>
        <v>#DIV/0!</v>
      </c>
      <c r="C3" s="221" t="s">
        <v>2468</v>
      </c>
      <c r="D3" s="222">
        <f>SUMIF('数据-汇总表'!$C19:$C33,D1,'数据-汇总表'!$E19:$E33)</f>
        <v>0</v>
      </c>
      <c r="E3" s="479"/>
      <c r="F3" s="218"/>
      <c r="G3" s="217"/>
      <c r="H3" s="217"/>
      <c r="I3" s="217"/>
      <c r="J3" s="217"/>
      <c r="K3" s="386"/>
      <c r="L3" s="387"/>
      <c r="M3" s="385"/>
      <c r="N3" s="385"/>
      <c r="O3" s="385"/>
      <c r="P3" s="568"/>
      <c r="Q3" s="385"/>
      <c r="R3" s="385"/>
      <c r="S3" s="385"/>
      <c r="T3" s="385"/>
      <c r="U3" s="385"/>
      <c r="V3" s="385"/>
      <c r="W3" s="385"/>
      <c r="X3" s="385"/>
      <c r="Y3" s="385"/>
      <c r="Z3" s="385"/>
      <c r="AA3" s="385"/>
      <c r="AB3" s="385"/>
      <c r="AC3" s="477"/>
    </row>
    <row r="4" spans="1:29" ht="15">
      <c r="A4" s="223" t="s">
        <v>993</v>
      </c>
      <c r="B4" s="224"/>
      <c r="C4" s="3847" t="s">
        <v>994</v>
      </c>
      <c r="D4" s="3848"/>
      <c r="E4" s="3887" t="s">
        <v>995</v>
      </c>
      <c r="F4" s="3888"/>
      <c r="G4" s="3847" t="s">
        <v>996</v>
      </c>
      <c r="H4" s="3848"/>
      <c r="I4" s="3847" t="s">
        <v>997</v>
      </c>
      <c r="J4" s="3848"/>
      <c r="K4" s="388" t="s">
        <v>998</v>
      </c>
      <c r="L4" s="389"/>
      <c r="M4" s="390"/>
      <c r="N4" s="390"/>
      <c r="O4" s="390"/>
      <c r="P4" s="3979" t="s">
        <v>999</v>
      </c>
      <c r="Q4" s="3878"/>
      <c r="R4" s="3868" t="s">
        <v>995</v>
      </c>
      <c r="S4" s="3869"/>
      <c r="T4" s="3868" t="s">
        <v>996</v>
      </c>
      <c r="U4" s="3869"/>
      <c r="V4" s="3859" t="s">
        <v>997</v>
      </c>
      <c r="W4" s="3859"/>
      <c r="X4" s="460"/>
      <c r="Y4" s="3868" t="s">
        <v>999</v>
      </c>
      <c r="Z4" s="3869"/>
      <c r="AA4" s="3874" t="s">
        <v>995</v>
      </c>
      <c r="AB4" s="3874" t="s">
        <v>996</v>
      </c>
      <c r="AC4" s="3874" t="s">
        <v>997</v>
      </c>
    </row>
    <row r="5" spans="1:29" ht="15">
      <c r="A5" s="225"/>
      <c r="B5" s="226"/>
      <c r="C5" s="3849" t="s">
        <v>1000</v>
      </c>
      <c r="D5" s="3850"/>
      <c r="E5" s="3889" t="s">
        <v>1086</v>
      </c>
      <c r="F5" s="3890"/>
      <c r="G5" s="3849" t="s">
        <v>1087</v>
      </c>
      <c r="H5" s="3850"/>
      <c r="I5" s="3849" t="s">
        <v>1088</v>
      </c>
      <c r="J5" s="3850"/>
      <c r="K5" s="388"/>
      <c r="L5" s="389"/>
      <c r="M5" s="390"/>
      <c r="N5" s="390"/>
      <c r="O5" s="390"/>
      <c r="P5" s="3980"/>
      <c r="Q5" s="3880"/>
      <c r="R5" s="3870"/>
      <c r="S5" s="3871"/>
      <c r="T5" s="3870"/>
      <c r="U5" s="3871"/>
      <c r="V5" s="3859"/>
      <c r="W5" s="3859"/>
      <c r="X5" s="460"/>
      <c r="Y5" s="3870"/>
      <c r="Z5" s="3871"/>
      <c r="AA5" s="3875"/>
      <c r="AB5" s="3875"/>
      <c r="AC5" s="3875"/>
    </row>
    <row r="6" spans="1:29" ht="15">
      <c r="A6" s="227"/>
      <c r="B6" s="228"/>
      <c r="C6" s="3853" t="s">
        <v>1001</v>
      </c>
      <c r="D6" s="3854"/>
      <c r="E6" s="3891" t="s">
        <v>1001</v>
      </c>
      <c r="F6" s="3892"/>
      <c r="G6" s="3853" t="s">
        <v>1001</v>
      </c>
      <c r="H6" s="3854"/>
      <c r="I6" s="3853" t="s">
        <v>1001</v>
      </c>
      <c r="J6" s="3854"/>
      <c r="K6" s="388" t="s">
        <v>1002</v>
      </c>
      <c r="L6" s="389"/>
      <c r="M6" s="390"/>
      <c r="N6" s="390"/>
      <c r="O6" s="390"/>
      <c r="P6" s="3981"/>
      <c r="Q6" s="3882"/>
      <c r="R6" s="3870"/>
      <c r="S6" s="3871"/>
      <c r="T6" s="3872"/>
      <c r="U6" s="3873"/>
      <c r="V6" s="3859"/>
      <c r="W6" s="3859"/>
      <c r="X6" s="460"/>
      <c r="Y6" s="3872"/>
      <c r="Z6" s="3873"/>
      <c r="AA6" s="3876"/>
      <c r="AB6" s="3876"/>
      <c r="AC6" s="3876"/>
    </row>
    <row r="7" spans="1:29" s="199" customFormat="1" ht="15">
      <c r="A7" s="229"/>
      <c r="B7" s="230" t="s">
        <v>1003</v>
      </c>
      <c r="C7" s="231">
        <f>'数据-取费表'!B2</f>
        <v>45271</v>
      </c>
      <c r="D7" s="232">
        <v>100</v>
      </c>
      <c r="E7" s="233"/>
      <c r="F7" s="234">
        <f>SUMIF(59:59,YEAR(E7)&amp;"-"&amp;MONTH(E7),60:60)</f>
        <v>0</v>
      </c>
      <c r="G7" s="233"/>
      <c r="H7" s="232">
        <f>SUMIF(59:59,YEAR(G7)&amp;"-"&amp;MONTH(G7),60:60)</f>
        <v>0</v>
      </c>
      <c r="I7" s="233"/>
      <c r="J7" s="232">
        <f>SUMIF(59:59,YEAR(I7)&amp;"-"&amp;MONTH(I7),60:60)</f>
        <v>0</v>
      </c>
      <c r="K7" s="391"/>
      <c r="L7" s="392"/>
      <c r="M7" s="393"/>
      <c r="N7" s="393"/>
      <c r="O7" s="393"/>
      <c r="P7" s="3856" t="s">
        <v>1004</v>
      </c>
      <c r="Q7" s="3856"/>
      <c r="R7" s="461" t="s">
        <v>1005</v>
      </c>
      <c r="S7" s="462">
        <f t="shared" ref="S7:S15" si="0">F7</f>
        <v>0</v>
      </c>
      <c r="T7" s="461" t="s">
        <v>1005</v>
      </c>
      <c r="U7" s="462">
        <f t="shared" ref="U7:U15" si="1">H7</f>
        <v>0</v>
      </c>
      <c r="V7" s="461" t="s">
        <v>1005</v>
      </c>
      <c r="W7" s="462">
        <f t="shared" ref="W7:W15" si="2">J7</f>
        <v>0</v>
      </c>
      <c r="X7" s="463"/>
      <c r="Y7" s="3855" t="s">
        <v>1004</v>
      </c>
      <c r="Z7" s="3857"/>
      <c r="AA7" s="480" t="e">
        <f>D7/F7</f>
        <v>#DIV/0!</v>
      </c>
      <c r="AB7" s="480" t="e">
        <f>D7/H7</f>
        <v>#DIV/0!</v>
      </c>
      <c r="AC7" s="480" t="e">
        <f>D7/J7</f>
        <v>#DIV/0!</v>
      </c>
    </row>
    <row r="8" spans="1:29" s="199" customFormat="1" ht="15">
      <c r="A8" s="236"/>
      <c r="B8" s="237" t="s">
        <v>1006</v>
      </c>
      <c r="C8" s="238" t="s">
        <v>1007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56" t="s">
        <v>1009</v>
      </c>
      <c r="Q8" s="3857"/>
      <c r="R8" s="461" t="s">
        <v>1005</v>
      </c>
      <c r="S8" s="462">
        <f t="shared" si="0"/>
        <v>0</v>
      </c>
      <c r="T8" s="461" t="s">
        <v>1005</v>
      </c>
      <c r="U8" s="462">
        <f t="shared" si="1"/>
        <v>0</v>
      </c>
      <c r="V8" s="461" t="s">
        <v>1005</v>
      </c>
      <c r="W8" s="462">
        <f t="shared" si="2"/>
        <v>0</v>
      </c>
      <c r="X8" s="463"/>
      <c r="Y8" s="3855" t="s">
        <v>1009</v>
      </c>
      <c r="Z8" s="3857"/>
      <c r="AA8" s="480" t="e">
        <f t="shared" ref="AA8:AA47" si="3">D8/F8</f>
        <v>#DIV/0!</v>
      </c>
      <c r="AB8" s="480" t="e">
        <f t="shared" ref="AB8:AB47" si="4">D8/H8</f>
        <v>#DIV/0!</v>
      </c>
      <c r="AC8" s="480" t="e">
        <f t="shared" ref="AC8:AC47" si="5">D8/J8</f>
        <v>#DIV/0!</v>
      </c>
    </row>
    <row r="9" spans="1:29" s="199" customFormat="1" ht="15">
      <c r="A9" s="239"/>
      <c r="B9" s="240" t="s">
        <v>1010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58" t="s">
        <v>1011</v>
      </c>
      <c r="Q9" s="464" t="str">
        <f t="shared" ref="Q9:Q15" si="6">B9</f>
        <v>用途</v>
      </c>
      <c r="R9" s="461" t="s">
        <v>1005</v>
      </c>
      <c r="S9" s="462">
        <f t="shared" si="0"/>
        <v>100</v>
      </c>
      <c r="T9" s="461" t="s">
        <v>1005</v>
      </c>
      <c r="U9" s="462">
        <f t="shared" si="1"/>
        <v>100</v>
      </c>
      <c r="V9" s="461" t="s">
        <v>1005</v>
      </c>
      <c r="W9" s="462">
        <f t="shared" si="2"/>
        <v>100</v>
      </c>
      <c r="X9" s="463"/>
      <c r="Y9" s="377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58"/>
      <c r="Q10" s="464" t="str">
        <f t="shared" si="6"/>
        <v>土地使用年限（年）</v>
      </c>
      <c r="R10" s="461" t="s">
        <v>1005</v>
      </c>
      <c r="S10" s="462">
        <f t="shared" si="0"/>
        <v>100</v>
      </c>
      <c r="T10" s="461" t="s">
        <v>1005</v>
      </c>
      <c r="U10" s="462">
        <f t="shared" si="1"/>
        <v>100</v>
      </c>
      <c r="V10" s="461" t="s">
        <v>1005</v>
      </c>
      <c r="W10" s="462">
        <f t="shared" si="2"/>
        <v>100</v>
      </c>
      <c r="X10" s="463"/>
      <c r="Y10" s="3776"/>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LOOKUP(E11,69:69,70:70)-LOOKUP(C11,69:69,70:70)+100</f>
        <v>#N/A</v>
      </c>
      <c r="G11" s="513"/>
      <c r="H11" s="246" t="e">
        <f>LOOKUP(G11,69:69,70:70)-LOOKUP(C11,69:69,70:70)+100</f>
        <v>#N/A</v>
      </c>
      <c r="I11" s="512"/>
      <c r="J11" s="246" t="e">
        <f>LOOKUP(I11,69:69,70:70)-LOOKUP(C11,69:69,70:70)+100</f>
        <v>#N/A</v>
      </c>
      <c r="K11" s="406"/>
      <c r="L11" s="400"/>
      <c r="M11" s="390"/>
      <c r="N11" s="390"/>
      <c r="O11" s="390"/>
      <c r="P11" s="3858"/>
      <c r="Q11" s="464" t="str">
        <f t="shared" si="6"/>
        <v>容积率</v>
      </c>
      <c r="R11" s="461" t="s">
        <v>1005</v>
      </c>
      <c r="S11" s="462" t="e">
        <f t="shared" si="0"/>
        <v>#N/A</v>
      </c>
      <c r="T11" s="461" t="s">
        <v>1005</v>
      </c>
      <c r="U11" s="462" t="e">
        <f t="shared" si="1"/>
        <v>#N/A</v>
      </c>
      <c r="V11" s="461" t="s">
        <v>1005</v>
      </c>
      <c r="W11" s="462" t="e">
        <f t="shared" si="2"/>
        <v>#N/A</v>
      </c>
      <c r="X11" s="463"/>
      <c r="Y11" s="3776"/>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50"/>
      <c r="H12" s="246">
        <f>SUMIF(71:71,G12,72:72)-SUMIF(71:71,C12,72:72)+100</f>
        <v>100</v>
      </c>
      <c r="I12" s="250"/>
      <c r="J12" s="246">
        <f>SUMIF(71:71,I12,72:72)-SUMIF(71:71,C12,72:72)+100</f>
        <v>100</v>
      </c>
      <c r="K12" s="399"/>
      <c r="L12" s="392"/>
      <c r="M12" s="393"/>
      <c r="N12" s="393"/>
      <c r="O12" s="393"/>
      <c r="P12" s="3858"/>
      <c r="Q12" s="464">
        <f t="shared" si="6"/>
        <v>111</v>
      </c>
      <c r="R12" s="461" t="s">
        <v>1005</v>
      </c>
      <c r="S12" s="462">
        <f t="shared" si="0"/>
        <v>100</v>
      </c>
      <c r="T12" s="461" t="s">
        <v>1005</v>
      </c>
      <c r="U12" s="462">
        <f t="shared" si="1"/>
        <v>100</v>
      </c>
      <c r="V12" s="461" t="s">
        <v>1005</v>
      </c>
      <c r="W12" s="462">
        <f t="shared" si="2"/>
        <v>100</v>
      </c>
      <c r="X12" s="463"/>
      <c r="Y12" s="3776"/>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50"/>
      <c r="H13" s="256">
        <f>SUMIF(73:73,G13,74:74)-SUMIF(73:73,C13,74:74)+100</f>
        <v>100</v>
      </c>
      <c r="I13" s="250"/>
      <c r="J13" s="256">
        <f>SUMIF(73:73,I13,74:74)-SUMIF(73:73,C13,74:74)+100</f>
        <v>100</v>
      </c>
      <c r="K13" s="399"/>
      <c r="L13" s="402"/>
      <c r="M13" s="390"/>
      <c r="N13" s="390"/>
      <c r="O13" s="390"/>
      <c r="P13" s="3858"/>
      <c r="Q13" s="464">
        <f t="shared" si="6"/>
        <v>111</v>
      </c>
      <c r="R13" s="461" t="s">
        <v>1005</v>
      </c>
      <c r="S13" s="462">
        <f t="shared" si="0"/>
        <v>100</v>
      </c>
      <c r="T13" s="461" t="s">
        <v>1005</v>
      </c>
      <c r="U13" s="462">
        <f t="shared" si="1"/>
        <v>100</v>
      </c>
      <c r="V13" s="461" t="s">
        <v>1005</v>
      </c>
      <c r="W13" s="462">
        <f t="shared" si="2"/>
        <v>100</v>
      </c>
      <c r="X13" s="463"/>
      <c r="Y13" s="3776"/>
      <c r="Z13" s="481">
        <f t="shared" si="7"/>
        <v>111</v>
      </c>
      <c r="AA13" s="480">
        <f t="shared" si="3"/>
        <v>1</v>
      </c>
      <c r="AB13" s="480">
        <f t="shared" si="4"/>
        <v>1</v>
      </c>
      <c r="AC13" s="480">
        <f t="shared" si="5"/>
        <v>1</v>
      </c>
    </row>
    <row r="14" spans="1:29" ht="15">
      <c r="A14" s="253"/>
      <c r="B14" s="254">
        <v>111</v>
      </c>
      <c r="C14" s="308"/>
      <c r="D14" s="309">
        <v>100</v>
      </c>
      <c r="E14" s="551"/>
      <c r="F14" s="309">
        <f>SUMIF(75:75,E14,76:76)-SUMIF(75:75,C14,76:76)+100</f>
        <v>100</v>
      </c>
      <c r="G14" s="550"/>
      <c r="H14" s="309">
        <f>SUMIF(75:75,G14,76:76)-SUMIF(75:75,C14,76:76)+100</f>
        <v>100</v>
      </c>
      <c r="I14" s="250"/>
      <c r="J14" s="309">
        <f>SUMIF(75:75,I14,76:76)-SUMIF(75:75,C14,76:76)+100</f>
        <v>100</v>
      </c>
      <c r="K14" s="399"/>
      <c r="L14" s="402"/>
      <c r="M14" s="390"/>
      <c r="N14" s="390"/>
      <c r="O14" s="390"/>
      <c r="P14" s="3858"/>
      <c r="Q14" s="464">
        <f t="shared" si="6"/>
        <v>111</v>
      </c>
      <c r="R14" s="461" t="s">
        <v>1005</v>
      </c>
      <c r="S14" s="462">
        <f t="shared" si="0"/>
        <v>100</v>
      </c>
      <c r="T14" s="461" t="s">
        <v>1005</v>
      </c>
      <c r="U14" s="462">
        <f t="shared" si="1"/>
        <v>100</v>
      </c>
      <c r="V14" s="461" t="s">
        <v>1005</v>
      </c>
      <c r="W14" s="462">
        <f t="shared" si="2"/>
        <v>100</v>
      </c>
      <c r="X14" s="463"/>
      <c r="Y14" s="3776"/>
      <c r="Z14" s="481">
        <f t="shared" si="7"/>
        <v>111</v>
      </c>
      <c r="AA14" s="480">
        <f t="shared" si="3"/>
        <v>1</v>
      </c>
      <c r="AB14" s="480">
        <f t="shared" si="4"/>
        <v>1</v>
      </c>
      <c r="AC14" s="480">
        <f t="shared" si="5"/>
        <v>1</v>
      </c>
    </row>
    <row r="15" spans="1:29" ht="15">
      <c r="A15" s="257" t="s">
        <v>1016</v>
      </c>
      <c r="B15" s="552" t="s">
        <v>225</v>
      </c>
      <c r="C15" s="553">
        <f>估价对象房地状况!C5</f>
        <v>0</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60" t="s">
        <v>1017</v>
      </c>
      <c r="Q15" s="395" t="str">
        <f t="shared" si="6"/>
        <v>办公集聚程度</v>
      </c>
      <c r="R15" s="465" t="s">
        <v>1005</v>
      </c>
      <c r="S15" s="466">
        <f t="shared" si="0"/>
        <v>100</v>
      </c>
      <c r="T15" s="465" t="s">
        <v>1005</v>
      </c>
      <c r="U15" s="466">
        <f t="shared" si="1"/>
        <v>100</v>
      </c>
      <c r="V15" s="465" t="s">
        <v>1005</v>
      </c>
      <c r="W15" s="466">
        <f t="shared" si="2"/>
        <v>100</v>
      </c>
      <c r="X15" s="460"/>
      <c r="Y15" s="3860" t="s">
        <v>1017</v>
      </c>
      <c r="Z15" s="459" t="str">
        <f t="shared" si="7"/>
        <v>办公集聚程度</v>
      </c>
      <c r="AA15" s="471">
        <f t="shared" si="3"/>
        <v>1</v>
      </c>
      <c r="AB15" s="471">
        <f t="shared" si="4"/>
        <v>1</v>
      </c>
      <c r="AC15" s="471">
        <f t="shared" si="5"/>
        <v>1</v>
      </c>
    </row>
    <row r="16" spans="1:29" ht="15">
      <c r="A16" s="264"/>
      <c r="B16" s="554"/>
      <c r="C16" s="555"/>
      <c r="D16" s="267"/>
      <c r="E16" s="266"/>
      <c r="F16" s="267"/>
      <c r="G16" s="555"/>
      <c r="H16" s="269"/>
      <c r="I16" s="266"/>
      <c r="J16" s="267"/>
      <c r="K16" s="404"/>
      <c r="L16" s="402"/>
      <c r="M16" s="390"/>
      <c r="N16" s="390"/>
      <c r="O16" s="390"/>
      <c r="P16" s="3861"/>
      <c r="Q16" s="395"/>
      <c r="R16" s="465"/>
      <c r="S16" s="466"/>
      <c r="T16" s="465"/>
      <c r="U16" s="466"/>
      <c r="V16" s="465"/>
      <c r="W16" s="466"/>
      <c r="X16" s="460"/>
      <c r="Y16" s="3861"/>
      <c r="Z16" s="459"/>
      <c r="AA16" s="471">
        <v>1</v>
      </c>
      <c r="AB16" s="471">
        <v>1</v>
      </c>
      <c r="AC16" s="471">
        <v>1</v>
      </c>
    </row>
    <row r="17" spans="1:29" ht="114">
      <c r="A17" s="264"/>
      <c r="B17" s="556" t="s">
        <v>227</v>
      </c>
      <c r="C17" s="557" t="str">
        <f>估价对象房地状况!C6</f>
        <v>估价对象周边道路状况、公共交通通达情况970、980、郊80、密6路等、停车便捷程度，综合评价交通便捷度一般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61"/>
      <c r="Q17" s="395" t="str">
        <f>B17</f>
        <v>交通便捷度</v>
      </c>
      <c r="R17" s="465" t="s">
        <v>1005</v>
      </c>
      <c r="S17" s="466">
        <f>F17</f>
        <v>100</v>
      </c>
      <c r="T17" s="465" t="s">
        <v>1005</v>
      </c>
      <c r="U17" s="466">
        <f>H17</f>
        <v>100</v>
      </c>
      <c r="V17" s="465" t="s">
        <v>1005</v>
      </c>
      <c r="W17" s="466">
        <f>J17</f>
        <v>100</v>
      </c>
      <c r="X17" s="460"/>
      <c r="Y17" s="3861"/>
      <c r="Z17" s="459" t="str">
        <f>Q17</f>
        <v>交通便捷度</v>
      </c>
      <c r="AA17" s="471">
        <f t="shared" si="3"/>
        <v>1</v>
      </c>
      <c r="AB17" s="471">
        <f t="shared" si="4"/>
        <v>1</v>
      </c>
      <c r="AC17" s="471">
        <f t="shared" si="5"/>
        <v>1</v>
      </c>
    </row>
    <row r="18" spans="1:29" ht="15">
      <c r="A18" s="264"/>
      <c r="B18" s="276"/>
      <c r="C18" s="558"/>
      <c r="D18" s="269"/>
      <c r="E18" s="516"/>
      <c r="F18" s="269"/>
      <c r="G18" s="515"/>
      <c r="H18" s="267"/>
      <c r="I18" s="515"/>
      <c r="J18" s="267"/>
      <c r="K18" s="404"/>
      <c r="L18" s="402"/>
      <c r="M18" s="390"/>
      <c r="N18" s="390"/>
      <c r="O18" s="390"/>
      <c r="P18" s="3861"/>
      <c r="Q18" s="395"/>
      <c r="R18" s="465"/>
      <c r="S18" s="466"/>
      <c r="T18" s="465"/>
      <c r="U18" s="466"/>
      <c r="V18" s="465"/>
      <c r="W18" s="466"/>
      <c r="X18" s="460"/>
      <c r="Y18" s="3861"/>
      <c r="Z18" s="459"/>
      <c r="AA18" s="471">
        <v>1</v>
      </c>
      <c r="AB18" s="471">
        <v>1</v>
      </c>
      <c r="AC18" s="471">
        <v>1</v>
      </c>
    </row>
    <row r="19" spans="1:29" ht="42.75">
      <c r="A19" s="264"/>
      <c r="B19" s="270" t="s">
        <v>229</v>
      </c>
      <c r="C19" s="557" t="str">
        <f>估价对象房地状况!C7</f>
        <v>估价对象所在区域公共配套设施齐备情况较差</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61"/>
      <c r="Q19" s="395" t="str">
        <f>B19</f>
        <v>公共配套设施</v>
      </c>
      <c r="R19" s="465" t="s">
        <v>1005</v>
      </c>
      <c r="S19" s="466">
        <f>F19</f>
        <v>100</v>
      </c>
      <c r="T19" s="465" t="s">
        <v>1005</v>
      </c>
      <c r="U19" s="466">
        <f>H19</f>
        <v>100</v>
      </c>
      <c r="V19" s="465" t="s">
        <v>1005</v>
      </c>
      <c r="W19" s="466">
        <f>J19</f>
        <v>100</v>
      </c>
      <c r="X19" s="460"/>
      <c r="Y19" s="3861"/>
      <c r="Z19" s="459" t="str">
        <f>Q19</f>
        <v>公共配套设施</v>
      </c>
      <c r="AA19" s="471">
        <f t="shared" si="3"/>
        <v>1</v>
      </c>
      <c r="AB19" s="471">
        <f t="shared" si="4"/>
        <v>1</v>
      </c>
      <c r="AC19" s="471">
        <f t="shared" si="5"/>
        <v>1</v>
      </c>
    </row>
    <row r="20" spans="1:29" ht="15">
      <c r="A20" s="264"/>
      <c r="B20" s="276"/>
      <c r="C20" s="555"/>
      <c r="D20" s="267"/>
      <c r="E20" s="518"/>
      <c r="F20" s="267"/>
      <c r="G20" s="517"/>
      <c r="H20" s="267"/>
      <c r="I20" s="517"/>
      <c r="J20" s="267"/>
      <c r="K20" s="404"/>
      <c r="L20" s="402"/>
      <c r="M20" s="390"/>
      <c r="N20" s="390"/>
      <c r="O20" s="390"/>
      <c r="P20" s="3861"/>
      <c r="Q20" s="395"/>
      <c r="R20" s="465"/>
      <c r="S20" s="466"/>
      <c r="T20" s="465"/>
      <c r="U20" s="466"/>
      <c r="V20" s="465"/>
      <c r="W20" s="466"/>
      <c r="X20" s="460"/>
      <c r="Y20" s="3861"/>
      <c r="Z20" s="459"/>
      <c r="AA20" s="471">
        <v>1</v>
      </c>
      <c r="AB20" s="471">
        <v>1</v>
      </c>
      <c r="AC20" s="471">
        <v>1</v>
      </c>
    </row>
    <row r="21" spans="1:29" ht="28.5">
      <c r="A21" s="264"/>
      <c r="B21" s="278" t="s">
        <v>230</v>
      </c>
      <c r="C21" s="55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61"/>
      <c r="Q21" s="395" t="str">
        <f>B21</f>
        <v>基础设施水平</v>
      </c>
      <c r="R21" s="465" t="s">
        <v>1005</v>
      </c>
      <c r="S21" s="466">
        <f>F21</f>
        <v>100</v>
      </c>
      <c r="T21" s="465" t="s">
        <v>1005</v>
      </c>
      <c r="U21" s="466">
        <f>H21</f>
        <v>100</v>
      </c>
      <c r="V21" s="465" t="s">
        <v>1005</v>
      </c>
      <c r="W21" s="466">
        <f>J21</f>
        <v>100</v>
      </c>
      <c r="X21" s="460"/>
      <c r="Y21" s="3861"/>
      <c r="Z21" s="459" t="str">
        <f>Q21</f>
        <v>基础设施水平</v>
      </c>
      <c r="AA21" s="471">
        <f>D21/F21</f>
        <v>1</v>
      </c>
      <c r="AB21" s="471">
        <f>D21/H21</f>
        <v>1</v>
      </c>
      <c r="AC21" s="471">
        <f>D21/J21</f>
        <v>1</v>
      </c>
    </row>
    <row r="22" spans="1:29" ht="15">
      <c r="A22" s="264"/>
      <c r="B22" s="282"/>
      <c r="C22" s="558"/>
      <c r="D22" s="267"/>
      <c r="E22" s="266"/>
      <c r="F22" s="267"/>
      <c r="G22" s="555"/>
      <c r="H22" s="267"/>
      <c r="I22" s="555"/>
      <c r="J22" s="267"/>
      <c r="K22" s="405"/>
      <c r="L22" s="402"/>
      <c r="M22" s="390"/>
      <c r="N22" s="390"/>
      <c r="O22" s="390"/>
      <c r="P22" s="3861"/>
      <c r="Q22" s="395"/>
      <c r="R22" s="465"/>
      <c r="S22" s="466"/>
      <c r="T22" s="465"/>
      <c r="U22" s="466"/>
      <c r="V22" s="465"/>
      <c r="W22" s="466"/>
      <c r="X22" s="460"/>
      <c r="Y22" s="3861"/>
      <c r="Z22" s="459"/>
      <c r="AA22" s="471">
        <v>1</v>
      </c>
      <c r="AB22" s="471">
        <v>1</v>
      </c>
      <c r="AC22" s="471">
        <v>1</v>
      </c>
    </row>
    <row r="23" spans="1:29" ht="57">
      <c r="A23" s="264"/>
      <c r="B23" s="556" t="s">
        <v>231</v>
      </c>
      <c r="C23" s="55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61"/>
      <c r="Q23" s="395" t="str">
        <f>B23</f>
        <v>环境质量</v>
      </c>
      <c r="R23" s="465" t="s">
        <v>1005</v>
      </c>
      <c r="S23" s="466">
        <f>F23</f>
        <v>100</v>
      </c>
      <c r="T23" s="465" t="s">
        <v>1005</v>
      </c>
      <c r="U23" s="466">
        <f>H23</f>
        <v>100</v>
      </c>
      <c r="V23" s="465" t="s">
        <v>1005</v>
      </c>
      <c r="W23" s="466">
        <f>J23</f>
        <v>100</v>
      </c>
      <c r="X23" s="460"/>
      <c r="Y23" s="3861"/>
      <c r="Z23" s="459" t="str">
        <f>Q23</f>
        <v>环境质量</v>
      </c>
      <c r="AA23" s="471">
        <f t="shared" si="3"/>
        <v>1</v>
      </c>
      <c r="AB23" s="471">
        <f t="shared" si="4"/>
        <v>1</v>
      </c>
      <c r="AC23" s="471">
        <f t="shared" si="5"/>
        <v>1</v>
      </c>
    </row>
    <row r="24" spans="1:29" ht="15">
      <c r="A24" s="264"/>
      <c r="B24" s="282"/>
      <c r="C24" s="555"/>
      <c r="D24" s="267"/>
      <c r="E24" s="518"/>
      <c r="F24" s="267"/>
      <c r="G24" s="517"/>
      <c r="H24" s="267"/>
      <c r="I24" s="517"/>
      <c r="J24" s="267"/>
      <c r="K24" s="404"/>
      <c r="L24" s="402"/>
      <c r="M24" s="390"/>
      <c r="N24" s="390"/>
      <c r="O24" s="390"/>
      <c r="P24" s="3861"/>
      <c r="Q24" s="395"/>
      <c r="R24" s="465"/>
      <c r="S24" s="466"/>
      <c r="T24" s="465"/>
      <c r="U24" s="466"/>
      <c r="V24" s="465"/>
      <c r="W24" s="466"/>
      <c r="X24" s="460"/>
      <c r="Y24" s="3861"/>
      <c r="Z24" s="459"/>
      <c r="AA24" s="471">
        <v>1</v>
      </c>
      <c r="AB24" s="471">
        <v>1</v>
      </c>
      <c r="AC24" s="471">
        <v>1</v>
      </c>
    </row>
    <row r="25" spans="1:29" ht="27">
      <c r="A25" s="225"/>
      <c r="B25" s="556" t="s">
        <v>1024</v>
      </c>
      <c r="C25" s="559"/>
      <c r="D25" s="256">
        <v>100</v>
      </c>
      <c r="E25" s="255"/>
      <c r="F25" s="256">
        <f>SUMIF(87:87,E26,88:88)-SUMIF(87:87,C26,88:88)+100</f>
        <v>100</v>
      </c>
      <c r="G25" s="559"/>
      <c r="H25" s="256">
        <f>SUMIF(87:87,G26,88:88)-SUMIF(87:87,C26,88:88)+100</f>
        <v>100</v>
      </c>
      <c r="I25" s="255"/>
      <c r="J25" s="256">
        <f>SUMIF(87:87,I26,88:88)-SUMIF(87:87,C26,88:88)+100</f>
        <v>100</v>
      </c>
      <c r="K25" s="403"/>
      <c r="L25" s="402"/>
      <c r="M25" s="390"/>
      <c r="N25" s="390"/>
      <c r="O25" s="390"/>
      <c r="P25" s="3861"/>
      <c r="Q25" s="395" t="str">
        <f>B25</f>
        <v>毗邻道路的类型与等级</v>
      </c>
      <c r="R25" s="465" t="s">
        <v>1005</v>
      </c>
      <c r="S25" s="466">
        <f>F25</f>
        <v>100</v>
      </c>
      <c r="T25" s="465" t="s">
        <v>1005</v>
      </c>
      <c r="U25" s="466">
        <f>H25</f>
        <v>100</v>
      </c>
      <c r="V25" s="465" t="s">
        <v>1005</v>
      </c>
      <c r="W25" s="466">
        <f>J25</f>
        <v>100</v>
      </c>
      <c r="X25" s="460"/>
      <c r="Y25" s="3861"/>
      <c r="Z25" s="459" t="str">
        <f>Q25</f>
        <v>毗邻道路的类型与等级</v>
      </c>
      <c r="AA25" s="471">
        <f t="shared" si="3"/>
        <v>1</v>
      </c>
      <c r="AB25" s="471">
        <f t="shared" si="4"/>
        <v>1</v>
      </c>
      <c r="AC25" s="471">
        <f t="shared" si="5"/>
        <v>1</v>
      </c>
    </row>
    <row r="26" spans="1:29" ht="15">
      <c r="A26" s="225"/>
      <c r="B26" s="276"/>
      <c r="C26" s="560"/>
      <c r="D26" s="256"/>
      <c r="E26" s="285"/>
      <c r="F26" s="256"/>
      <c r="G26" s="560"/>
      <c r="H26" s="256"/>
      <c r="I26" s="285"/>
      <c r="J26" s="256"/>
      <c r="K26" s="404"/>
      <c r="L26" s="402"/>
      <c r="M26" s="390"/>
      <c r="N26" s="390"/>
      <c r="O26" s="390"/>
      <c r="P26" s="3861"/>
      <c r="Q26" s="395"/>
      <c r="R26" s="465"/>
      <c r="S26" s="466"/>
      <c r="T26" s="465"/>
      <c r="U26" s="466"/>
      <c r="V26" s="465"/>
      <c r="W26" s="466"/>
      <c r="X26" s="460"/>
      <c r="Y26" s="3861"/>
      <c r="Z26" s="459"/>
      <c r="AA26" s="471">
        <v>1</v>
      </c>
      <c r="AB26" s="471">
        <v>1</v>
      </c>
      <c r="AC26" s="471">
        <v>1</v>
      </c>
    </row>
    <row r="27" spans="1:29" ht="15">
      <c r="A27" s="264"/>
      <c r="B27" s="276" t="s">
        <v>2542</v>
      </c>
      <c r="C27" s="560"/>
      <c r="D27" s="256">
        <v>100</v>
      </c>
      <c r="E27" s="285"/>
      <c r="F27" s="256">
        <f>SUMIF(89:89,E27,90:90)-SUMIF(89:89,C27,90:90)+100</f>
        <v>100</v>
      </c>
      <c r="G27" s="560"/>
      <c r="H27" s="256">
        <f>SUMIF(89:89,G27,90:90)-SUMIF(89:89,C27,90:90)+100</f>
        <v>100</v>
      </c>
      <c r="I27" s="285"/>
      <c r="J27" s="256">
        <f>SUMIF(89:89,I27,90:90)-SUMIF(89:89,C27,90:90)+100</f>
        <v>100</v>
      </c>
      <c r="K27" s="406"/>
      <c r="L27" s="402"/>
      <c r="M27" s="390"/>
      <c r="N27" s="390"/>
      <c r="O27" s="390"/>
      <c r="P27" s="3861"/>
      <c r="Q27" s="395" t="str">
        <f t="shared" ref="Q27:Q47" si="8">B27</f>
        <v>楼层</v>
      </c>
      <c r="R27" s="465" t="s">
        <v>1005</v>
      </c>
      <c r="S27" s="466">
        <f>F27</f>
        <v>100</v>
      </c>
      <c r="T27" s="465" t="s">
        <v>1005</v>
      </c>
      <c r="U27" s="466">
        <f>H27</f>
        <v>100</v>
      </c>
      <c r="V27" s="465" t="s">
        <v>1005</v>
      </c>
      <c r="W27" s="466">
        <f>J27</f>
        <v>100</v>
      </c>
      <c r="X27" s="460"/>
      <c r="Y27" s="3861"/>
      <c r="Z27" s="459" t="str">
        <f>Q27</f>
        <v>楼层</v>
      </c>
      <c r="AA27" s="471">
        <f t="shared" si="3"/>
        <v>1</v>
      </c>
      <c r="AB27" s="471">
        <f t="shared" si="4"/>
        <v>1</v>
      </c>
      <c r="AC27" s="471">
        <f t="shared" si="5"/>
        <v>1</v>
      </c>
    </row>
    <row r="28" spans="1:29" s="199" customFormat="1" ht="15">
      <c r="A28" s="288"/>
      <c r="B28" s="556" t="s">
        <v>2471</v>
      </c>
      <c r="C28" s="561"/>
      <c r="D28" s="521">
        <v>100</v>
      </c>
      <c r="E28" s="562"/>
      <c r="F28" s="521">
        <f>SUMIF(91:91,E28,92:92)-SUMIF(91:91,C28,92:92)+100</f>
        <v>100</v>
      </c>
      <c r="G28" s="561"/>
      <c r="H28" s="521">
        <f>SUMIF(91:91,G28,92:92)-SUMIF(91:91,C28,92:92)+100</f>
        <v>100</v>
      </c>
      <c r="I28" s="562"/>
      <c r="J28" s="521">
        <f>SUMIF(91:91,I28,92:92)-SUMIF(91:91,C28,92:92)+100</f>
        <v>100</v>
      </c>
      <c r="K28" s="406"/>
      <c r="L28" s="392"/>
      <c r="M28" s="393"/>
      <c r="N28" s="393"/>
      <c r="O28" s="393"/>
      <c r="P28" s="3861"/>
      <c r="Q28" s="464" t="str">
        <f t="shared" si="8"/>
        <v>朝向</v>
      </c>
      <c r="R28" s="461" t="s">
        <v>1005</v>
      </c>
      <c r="S28" s="462">
        <f>F28</f>
        <v>100</v>
      </c>
      <c r="T28" s="461" t="s">
        <v>1005</v>
      </c>
      <c r="U28" s="462">
        <f>H28</f>
        <v>100</v>
      </c>
      <c r="V28" s="461" t="s">
        <v>1005</v>
      </c>
      <c r="W28" s="462">
        <f>J28</f>
        <v>100</v>
      </c>
      <c r="X28" s="463"/>
      <c r="Y28" s="3861"/>
      <c r="Z28" s="481" t="str">
        <f>Q28</f>
        <v>朝向</v>
      </c>
      <c r="AA28" s="471">
        <f t="shared" si="3"/>
        <v>1</v>
      </c>
      <c r="AB28" s="471">
        <f t="shared" si="4"/>
        <v>1</v>
      </c>
      <c r="AC28" s="471">
        <f t="shared" si="5"/>
        <v>1</v>
      </c>
    </row>
    <row r="29" spans="1:29" ht="15">
      <c r="A29" s="264"/>
      <c r="B29" s="563">
        <v>111</v>
      </c>
      <c r="C29" s="559"/>
      <c r="D29" s="256">
        <v>100</v>
      </c>
      <c r="E29" s="250"/>
      <c r="F29" s="256">
        <f>SUMIF(93:93,E29,94:94)-SUMIF(93:93,C29,94:94)+100</f>
        <v>100</v>
      </c>
      <c r="G29" s="550"/>
      <c r="H29" s="256">
        <f>SUMIF(93:93,G29,94:94)-SUMIF(93:93,C29,94:94)+100</f>
        <v>100</v>
      </c>
      <c r="I29" s="250"/>
      <c r="J29" s="256">
        <f>SUMIF(93:93,I29,94:94)-SUMIF(93:93,C29,94:94)+100</f>
        <v>100</v>
      </c>
      <c r="K29" s="399"/>
      <c r="L29" s="402"/>
      <c r="M29" s="390"/>
      <c r="N29" s="390"/>
      <c r="O29" s="390"/>
      <c r="P29" s="3861"/>
      <c r="Q29" s="395">
        <f t="shared" si="8"/>
        <v>111</v>
      </c>
      <c r="R29" s="465" t="s">
        <v>1005</v>
      </c>
      <c r="S29" s="466">
        <f t="shared" ref="S29:S47" si="9">F29</f>
        <v>100</v>
      </c>
      <c r="T29" s="465" t="s">
        <v>1005</v>
      </c>
      <c r="U29" s="466">
        <f t="shared" ref="U29:U47" si="10">H29</f>
        <v>100</v>
      </c>
      <c r="V29" s="465" t="s">
        <v>1005</v>
      </c>
      <c r="W29" s="466">
        <f t="shared" ref="W29:W47" si="11">J29</f>
        <v>100</v>
      </c>
      <c r="X29" s="460"/>
      <c r="Y29" s="3861"/>
      <c r="Z29" s="459">
        <f t="shared" ref="Z29:Z47" si="12">Q29</f>
        <v>111</v>
      </c>
      <c r="AA29" s="471">
        <f t="shared" si="3"/>
        <v>1</v>
      </c>
      <c r="AB29" s="471">
        <f t="shared" si="4"/>
        <v>1</v>
      </c>
      <c r="AC29" s="471">
        <f t="shared" si="5"/>
        <v>1</v>
      </c>
    </row>
    <row r="30" spans="1:29" ht="15">
      <c r="A30" s="264"/>
      <c r="B30" s="563">
        <v>111</v>
      </c>
      <c r="C30" s="559"/>
      <c r="D30" s="256">
        <v>100</v>
      </c>
      <c r="E30" s="250"/>
      <c r="F30" s="256">
        <f>SUMIF(95:95,E30,96:96)-SUMIF(95:95,C30,96:96)+100</f>
        <v>100</v>
      </c>
      <c r="G30" s="550"/>
      <c r="H30" s="256">
        <f>SUMIF(95:95,G30,96:96)-SUMIF(95:95,C30,96:96)+100</f>
        <v>100</v>
      </c>
      <c r="I30" s="250"/>
      <c r="J30" s="256">
        <f>SUMIF(95:95,I30,96:96)-SUMIF(95:95,C30,96:96)+100</f>
        <v>100</v>
      </c>
      <c r="K30" s="399"/>
      <c r="L30" s="402"/>
      <c r="M30" s="390"/>
      <c r="N30" s="390"/>
      <c r="O30" s="390"/>
      <c r="P30" s="3861"/>
      <c r="Q30" s="395">
        <f t="shared" si="8"/>
        <v>111</v>
      </c>
      <c r="R30" s="465" t="s">
        <v>1005</v>
      </c>
      <c r="S30" s="466">
        <f t="shared" si="9"/>
        <v>100</v>
      </c>
      <c r="T30" s="465" t="s">
        <v>1005</v>
      </c>
      <c r="U30" s="466">
        <f t="shared" si="10"/>
        <v>100</v>
      </c>
      <c r="V30" s="465" t="s">
        <v>1005</v>
      </c>
      <c r="W30" s="466">
        <f t="shared" si="11"/>
        <v>100</v>
      </c>
      <c r="X30" s="460"/>
      <c r="Y30" s="3861"/>
      <c r="Z30" s="459">
        <f t="shared" si="12"/>
        <v>111</v>
      </c>
      <c r="AA30" s="471">
        <f t="shared" si="3"/>
        <v>1</v>
      </c>
      <c r="AB30" s="471">
        <f t="shared" si="4"/>
        <v>1</v>
      </c>
      <c r="AC30" s="471">
        <f t="shared" si="5"/>
        <v>1</v>
      </c>
    </row>
    <row r="31" spans="1:29" ht="15">
      <c r="A31" s="264"/>
      <c r="B31" s="563">
        <v>111</v>
      </c>
      <c r="C31" s="559"/>
      <c r="D31" s="256">
        <v>100</v>
      </c>
      <c r="E31" s="250"/>
      <c r="F31" s="256">
        <f>SUMIF(97:97,E31,98:98)-SUMIF(97:97,C31,98:98)+100</f>
        <v>100</v>
      </c>
      <c r="G31" s="550"/>
      <c r="H31" s="256">
        <f>SUMIF(97:97,G31,98:98)-SUMIF(97:97,C31,98:98)+100</f>
        <v>100</v>
      </c>
      <c r="I31" s="250"/>
      <c r="J31" s="256">
        <f>SUMIF(97:97,I31,98:98)-SUMIF(97:97,C31,98:98)+100</f>
        <v>100</v>
      </c>
      <c r="K31" s="399"/>
      <c r="L31" s="402"/>
      <c r="M31" s="390"/>
      <c r="N31" s="390"/>
      <c r="O31" s="390"/>
      <c r="P31" s="3861"/>
      <c r="Q31" s="395">
        <f t="shared" si="8"/>
        <v>111</v>
      </c>
      <c r="R31" s="465" t="s">
        <v>1005</v>
      </c>
      <c r="S31" s="466">
        <f t="shared" si="9"/>
        <v>100</v>
      </c>
      <c r="T31" s="465" t="s">
        <v>1005</v>
      </c>
      <c r="U31" s="466">
        <f t="shared" si="10"/>
        <v>100</v>
      </c>
      <c r="V31" s="465" t="s">
        <v>1005</v>
      </c>
      <c r="W31" s="466">
        <f t="shared" si="11"/>
        <v>100</v>
      </c>
      <c r="X31" s="460"/>
      <c r="Y31" s="3861"/>
      <c r="Z31" s="459">
        <f t="shared" si="12"/>
        <v>111</v>
      </c>
      <c r="AA31" s="471">
        <f t="shared" si="3"/>
        <v>1</v>
      </c>
      <c r="AB31" s="471">
        <f t="shared" si="4"/>
        <v>1</v>
      </c>
      <c r="AC31" s="471">
        <f t="shared" si="5"/>
        <v>1</v>
      </c>
    </row>
    <row r="32" spans="1:29" ht="15">
      <c r="A32" s="523"/>
      <c r="B32" s="564">
        <v>111</v>
      </c>
      <c r="C32" s="565"/>
      <c r="D32" s="309">
        <v>100</v>
      </c>
      <c r="E32" s="551"/>
      <c r="F32" s="309">
        <f>SUMIF(99:99,E32,100:100)-SUMIF(99:99,C32,100:100)+100</f>
        <v>100</v>
      </c>
      <c r="G32" s="550"/>
      <c r="H32" s="309">
        <f>SUMIF(99:99,G32,100:100)-SUMIF(99:99,C32,100:100)+100</f>
        <v>100</v>
      </c>
      <c r="I32" s="250"/>
      <c r="J32" s="309">
        <f>SUMIF(99:99,I32,100:100)-SUMIF(99:99,C32,100:100)+100</f>
        <v>100</v>
      </c>
      <c r="K32" s="399"/>
      <c r="L32" s="402"/>
      <c r="M32" s="390"/>
      <c r="N32" s="390"/>
      <c r="O32" s="390"/>
      <c r="P32" s="3861"/>
      <c r="Q32" s="395">
        <f t="shared" si="8"/>
        <v>111</v>
      </c>
      <c r="R32" s="465" t="s">
        <v>1005</v>
      </c>
      <c r="S32" s="466">
        <f t="shared" si="9"/>
        <v>100</v>
      </c>
      <c r="T32" s="465" t="s">
        <v>1005</v>
      </c>
      <c r="U32" s="466">
        <f t="shared" si="10"/>
        <v>100</v>
      </c>
      <c r="V32" s="465" t="s">
        <v>1005</v>
      </c>
      <c r="W32" s="466">
        <f t="shared" si="11"/>
        <v>100</v>
      </c>
      <c r="X32" s="460"/>
      <c r="Y32" s="3861"/>
      <c r="Z32" s="459">
        <f t="shared" si="12"/>
        <v>111</v>
      </c>
      <c r="AA32" s="471">
        <f t="shared" si="3"/>
        <v>1</v>
      </c>
      <c r="AB32" s="471">
        <f t="shared" si="4"/>
        <v>1</v>
      </c>
      <c r="AC32" s="471">
        <f t="shared" si="5"/>
        <v>1</v>
      </c>
    </row>
    <row r="33" spans="1:29" ht="15">
      <c r="A33" s="292" t="s">
        <v>1029</v>
      </c>
      <c r="B33" s="293" t="s">
        <v>2473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62" t="s">
        <v>1028</v>
      </c>
      <c r="Q33" s="395" t="str">
        <f t="shared" si="8"/>
        <v>建筑类型</v>
      </c>
      <c r="R33" s="465" t="s">
        <v>1005</v>
      </c>
      <c r="S33" s="466">
        <f t="shared" si="9"/>
        <v>100</v>
      </c>
      <c r="T33" s="465" t="s">
        <v>1005</v>
      </c>
      <c r="U33" s="466">
        <f t="shared" si="10"/>
        <v>100</v>
      </c>
      <c r="V33" s="465" t="s">
        <v>1005</v>
      </c>
      <c r="W33" s="466">
        <f t="shared" si="11"/>
        <v>100</v>
      </c>
      <c r="X33" s="460"/>
      <c r="Y33" s="3863" t="s">
        <v>1028</v>
      </c>
      <c r="Z33" s="459" t="str">
        <f t="shared" si="12"/>
        <v>建筑类型</v>
      </c>
      <c r="AA33" s="471">
        <f t="shared" si="3"/>
        <v>1</v>
      </c>
      <c r="AB33" s="471">
        <f t="shared" si="4"/>
        <v>1</v>
      </c>
      <c r="AC33" s="471">
        <f t="shared" si="5"/>
        <v>1</v>
      </c>
    </row>
    <row r="34" spans="1:29" s="201" customFormat="1" ht="15">
      <c r="A34" s="297"/>
      <c r="B34" s="298" t="s">
        <v>2474</v>
      </c>
      <c r="C34" s="251"/>
      <c r="D34" s="246">
        <v>100</v>
      </c>
      <c r="E34" s="513"/>
      <c r="F34" s="524" t="e">
        <f>LOOKUP(E34,104:104,105:105)-LOOKUP(C34,104:104,105:105)+100</f>
        <v>#N/A</v>
      </c>
      <c r="G34" s="512"/>
      <c r="H34" s="246" t="e">
        <f>LOOKUP(G34,104:104,105:105)-LOOKUP(C34,104:104,105:105)+100</f>
        <v>#N/A</v>
      </c>
      <c r="I34" s="512"/>
      <c r="J34" s="246" t="e">
        <f>LOOKUP(I34,104:104,105:105)-LOOKUP(C34,104:104,105:105)+100</f>
        <v>#N/A</v>
      </c>
      <c r="K34" s="399"/>
      <c r="L34" s="400"/>
      <c r="M34" s="407"/>
      <c r="N34" s="407"/>
      <c r="O34" s="407"/>
      <c r="P34" s="3863"/>
      <c r="Q34" s="467" t="str">
        <f t="shared" si="8"/>
        <v>项目建筑规模</v>
      </c>
      <c r="R34" s="468" t="s">
        <v>1005</v>
      </c>
      <c r="S34" s="469" t="e">
        <f t="shared" si="9"/>
        <v>#N/A</v>
      </c>
      <c r="T34" s="468" t="s">
        <v>1005</v>
      </c>
      <c r="U34" s="469" t="e">
        <f t="shared" si="10"/>
        <v>#N/A</v>
      </c>
      <c r="V34" s="468" t="s">
        <v>1005</v>
      </c>
      <c r="W34" s="469" t="e">
        <f t="shared" si="11"/>
        <v>#N/A</v>
      </c>
      <c r="X34" s="470"/>
      <c r="Y34" s="3863"/>
      <c r="Z34" s="482" t="str">
        <f t="shared" si="12"/>
        <v>项目建筑规模</v>
      </c>
      <c r="AA34" s="471" t="e">
        <f t="shared" si="3"/>
        <v>#N/A</v>
      </c>
      <c r="AB34" s="471" t="e">
        <f t="shared" si="4"/>
        <v>#N/A</v>
      </c>
      <c r="AC34" s="471" t="e">
        <f t="shared" si="5"/>
        <v>#N/A</v>
      </c>
    </row>
    <row r="35" spans="1:29" ht="15">
      <c r="A35" s="302"/>
      <c r="B35" s="298" t="s">
        <v>2475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63"/>
      <c r="Q35" s="395" t="str">
        <f t="shared" si="8"/>
        <v>建筑结构</v>
      </c>
      <c r="R35" s="465" t="s">
        <v>1005</v>
      </c>
      <c r="S35" s="466">
        <f t="shared" si="9"/>
        <v>100</v>
      </c>
      <c r="T35" s="465" t="s">
        <v>1005</v>
      </c>
      <c r="U35" s="466">
        <f t="shared" si="10"/>
        <v>100</v>
      </c>
      <c r="V35" s="465" t="s">
        <v>1005</v>
      </c>
      <c r="W35" s="466">
        <f t="shared" si="11"/>
        <v>100</v>
      </c>
      <c r="X35" s="460"/>
      <c r="Y35" s="3863"/>
      <c r="Z35" s="459" t="str">
        <f t="shared" si="12"/>
        <v>建筑结构</v>
      </c>
      <c r="AA35" s="471">
        <f t="shared" si="3"/>
        <v>1</v>
      </c>
      <c r="AB35" s="471">
        <f t="shared" si="4"/>
        <v>1</v>
      </c>
      <c r="AC35" s="471">
        <f t="shared" si="5"/>
        <v>1</v>
      </c>
    </row>
    <row r="36" spans="1:29" ht="15">
      <c r="A36" s="302"/>
      <c r="B36" s="298" t="s">
        <v>2477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63"/>
      <c r="Q36" s="395" t="str">
        <f t="shared" si="8"/>
        <v>公共部分装修</v>
      </c>
      <c r="R36" s="465" t="s">
        <v>1005</v>
      </c>
      <c r="S36" s="466">
        <f t="shared" si="9"/>
        <v>100</v>
      </c>
      <c r="T36" s="465" t="s">
        <v>1005</v>
      </c>
      <c r="U36" s="466">
        <f t="shared" si="10"/>
        <v>100</v>
      </c>
      <c r="V36" s="465" t="s">
        <v>1005</v>
      </c>
      <c r="W36" s="466">
        <f t="shared" si="11"/>
        <v>100</v>
      </c>
      <c r="X36" s="460"/>
      <c r="Y36" s="3863"/>
      <c r="Z36" s="459" t="str">
        <f t="shared" si="12"/>
        <v>公共部分装修</v>
      </c>
      <c r="AA36" s="471">
        <f t="shared" si="3"/>
        <v>1</v>
      </c>
      <c r="AB36" s="471">
        <f t="shared" si="4"/>
        <v>1</v>
      </c>
      <c r="AC36" s="471">
        <f t="shared" si="5"/>
        <v>1</v>
      </c>
    </row>
    <row r="37" spans="1:29" ht="15">
      <c r="A37" s="302"/>
      <c r="B37" s="298" t="s">
        <v>2478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63"/>
      <c r="Q37" s="395" t="str">
        <f t="shared" si="8"/>
        <v>成新度</v>
      </c>
      <c r="R37" s="465" t="s">
        <v>1005</v>
      </c>
      <c r="S37" s="466" t="e">
        <f t="shared" si="9"/>
        <v>#N/A</v>
      </c>
      <c r="T37" s="465" t="s">
        <v>1005</v>
      </c>
      <c r="U37" s="466" t="e">
        <f t="shared" si="10"/>
        <v>#N/A</v>
      </c>
      <c r="V37" s="465" t="s">
        <v>1005</v>
      </c>
      <c r="W37" s="466" t="e">
        <f t="shared" si="11"/>
        <v>#N/A</v>
      </c>
      <c r="X37" s="460"/>
      <c r="Y37" s="3863"/>
      <c r="Z37" s="459" t="str">
        <f t="shared" si="12"/>
        <v>成新度</v>
      </c>
      <c r="AA37" s="471" t="e">
        <f t="shared" si="3"/>
        <v>#N/A</v>
      </c>
      <c r="AB37" s="471" t="e">
        <f t="shared" si="4"/>
        <v>#N/A</v>
      </c>
      <c r="AC37" s="471" t="e">
        <f t="shared" si="5"/>
        <v>#N/A</v>
      </c>
    </row>
    <row r="38" spans="1:29" s="199" customFormat="1" ht="15">
      <c r="A38" s="305"/>
      <c r="B38" s="298" t="s">
        <v>2562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63"/>
      <c r="Q38" s="464" t="str">
        <f t="shared" si="8"/>
        <v>写字楼等级</v>
      </c>
      <c r="R38" s="461" t="s">
        <v>1005</v>
      </c>
      <c r="S38" s="462">
        <f t="shared" si="9"/>
        <v>100</v>
      </c>
      <c r="T38" s="461" t="s">
        <v>1005</v>
      </c>
      <c r="U38" s="462">
        <f t="shared" si="10"/>
        <v>100</v>
      </c>
      <c r="V38" s="461" t="s">
        <v>1005</v>
      </c>
      <c r="W38" s="462">
        <f t="shared" si="11"/>
        <v>100</v>
      </c>
      <c r="X38" s="463"/>
      <c r="Y38" s="3863"/>
      <c r="Z38" s="481" t="str">
        <f t="shared" si="12"/>
        <v>写字楼等级</v>
      </c>
      <c r="AA38" s="480">
        <f t="shared" si="3"/>
        <v>1</v>
      </c>
      <c r="AB38" s="480">
        <f t="shared" si="4"/>
        <v>1</v>
      </c>
      <c r="AC38" s="480">
        <f t="shared" si="5"/>
        <v>1</v>
      </c>
    </row>
    <row r="39" spans="1:29" ht="15">
      <c r="A39" s="302"/>
      <c r="B39" s="298" t="s">
        <v>2479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63" t="s">
        <v>1028</v>
      </c>
      <c r="Q39" s="395" t="str">
        <f t="shared" si="8"/>
        <v>物业管理</v>
      </c>
      <c r="R39" s="465" t="s">
        <v>1005</v>
      </c>
      <c r="S39" s="466">
        <f t="shared" si="9"/>
        <v>100</v>
      </c>
      <c r="T39" s="465" t="s">
        <v>1005</v>
      </c>
      <c r="U39" s="466">
        <f t="shared" si="10"/>
        <v>100</v>
      </c>
      <c r="V39" s="465" t="s">
        <v>1005</v>
      </c>
      <c r="W39" s="466">
        <f t="shared" si="11"/>
        <v>100</v>
      </c>
      <c r="X39" s="460"/>
      <c r="Y39" s="3863" t="s">
        <v>1028</v>
      </c>
      <c r="Z39" s="459" t="str">
        <f t="shared" si="12"/>
        <v>物业管理</v>
      </c>
      <c r="AA39" s="471">
        <f t="shared" si="3"/>
        <v>1</v>
      </c>
      <c r="AB39" s="471">
        <f t="shared" si="4"/>
        <v>1</v>
      </c>
      <c r="AC39" s="471">
        <f t="shared" si="5"/>
        <v>1</v>
      </c>
    </row>
    <row r="40" spans="1:29" ht="15">
      <c r="A40" s="302"/>
      <c r="B40" s="525" t="s">
        <v>2480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63"/>
      <c r="Q40" s="395" t="str">
        <f t="shared" si="8"/>
        <v>市政基础设施</v>
      </c>
      <c r="R40" s="465" t="s">
        <v>1005</v>
      </c>
      <c r="S40" s="466">
        <f t="shared" si="9"/>
        <v>100</v>
      </c>
      <c r="T40" s="465" t="s">
        <v>1005</v>
      </c>
      <c r="U40" s="466">
        <f t="shared" si="10"/>
        <v>100</v>
      </c>
      <c r="V40" s="465" t="s">
        <v>1005</v>
      </c>
      <c r="W40" s="466">
        <f t="shared" si="11"/>
        <v>100</v>
      </c>
      <c r="X40" s="460"/>
      <c r="Y40" s="3863"/>
      <c r="Z40" s="459" t="str">
        <f t="shared" si="12"/>
        <v>市政基础设施</v>
      </c>
      <c r="AA40" s="471">
        <f t="shared" si="3"/>
        <v>1</v>
      </c>
      <c r="AB40" s="471">
        <f t="shared" si="4"/>
        <v>1</v>
      </c>
      <c r="AC40" s="471">
        <f t="shared" si="5"/>
        <v>1</v>
      </c>
    </row>
    <row r="41" spans="1:29" ht="15">
      <c r="A41" s="302"/>
      <c r="B41" s="298" t="s">
        <v>2557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63"/>
      <c r="Q41" s="395" t="str">
        <f t="shared" si="8"/>
        <v>层高</v>
      </c>
      <c r="R41" s="465" t="s">
        <v>1005</v>
      </c>
      <c r="S41" s="466">
        <f t="shared" si="9"/>
        <v>100</v>
      </c>
      <c r="T41" s="465" t="s">
        <v>1005</v>
      </c>
      <c r="U41" s="466">
        <f t="shared" si="10"/>
        <v>100</v>
      </c>
      <c r="V41" s="465" t="s">
        <v>1005</v>
      </c>
      <c r="W41" s="466">
        <f t="shared" si="11"/>
        <v>100</v>
      </c>
      <c r="X41" s="460"/>
      <c r="Y41" s="3863"/>
      <c r="Z41" s="459" t="str">
        <f t="shared" si="12"/>
        <v>层高</v>
      </c>
      <c r="AA41" s="471">
        <f t="shared" si="3"/>
        <v>1</v>
      </c>
      <c r="AB41" s="471">
        <f t="shared" si="4"/>
        <v>1</v>
      </c>
      <c r="AC41" s="471">
        <f t="shared" si="5"/>
        <v>1</v>
      </c>
    </row>
    <row r="42" spans="1:29" s="201" customFormat="1" ht="15">
      <c r="A42" s="297"/>
      <c r="B42" s="413" t="s">
        <v>2563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63"/>
      <c r="Q42" s="467" t="str">
        <f t="shared" si="8"/>
        <v>单套建筑面积</v>
      </c>
      <c r="R42" s="468" t="s">
        <v>1005</v>
      </c>
      <c r="S42" s="469">
        <f t="shared" si="9"/>
        <v>100</v>
      </c>
      <c r="T42" s="468" t="s">
        <v>1005</v>
      </c>
      <c r="U42" s="469">
        <f t="shared" si="10"/>
        <v>100</v>
      </c>
      <c r="V42" s="468" t="s">
        <v>1005</v>
      </c>
      <c r="W42" s="469">
        <f t="shared" si="11"/>
        <v>100</v>
      </c>
      <c r="X42" s="470"/>
      <c r="Y42" s="3863"/>
      <c r="Z42" s="482" t="str">
        <f t="shared" si="12"/>
        <v>单套建筑面积</v>
      </c>
      <c r="AA42" s="471">
        <f t="shared" si="3"/>
        <v>1</v>
      </c>
      <c r="AB42" s="471">
        <f t="shared" si="4"/>
        <v>1</v>
      </c>
      <c r="AC42" s="471">
        <f t="shared" si="5"/>
        <v>1</v>
      </c>
    </row>
    <row r="43" spans="1:29" ht="15">
      <c r="A43" s="302"/>
      <c r="B43" s="298" t="s">
        <v>2483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63"/>
      <c r="Q43" s="395" t="str">
        <f t="shared" si="8"/>
        <v>内部装修</v>
      </c>
      <c r="R43" s="465" t="s">
        <v>1005</v>
      </c>
      <c r="S43" s="466">
        <f t="shared" si="9"/>
        <v>100</v>
      </c>
      <c r="T43" s="465" t="s">
        <v>1005</v>
      </c>
      <c r="U43" s="466">
        <f t="shared" si="10"/>
        <v>100</v>
      </c>
      <c r="V43" s="465" t="s">
        <v>1005</v>
      </c>
      <c r="W43" s="466">
        <f t="shared" si="11"/>
        <v>100</v>
      </c>
      <c r="X43" s="460"/>
      <c r="Y43" s="3863"/>
      <c r="Z43" s="459" t="str">
        <f t="shared" si="12"/>
        <v>内部装修</v>
      </c>
      <c r="AA43" s="471">
        <f t="shared" si="3"/>
        <v>1</v>
      </c>
      <c r="AB43" s="471">
        <f t="shared" si="4"/>
        <v>1</v>
      </c>
      <c r="AC43" s="471">
        <f t="shared" si="5"/>
        <v>1</v>
      </c>
    </row>
    <row r="44" spans="1:29" ht="27">
      <c r="A44" s="302"/>
      <c r="B44" s="298" t="s">
        <v>233</v>
      </c>
      <c r="C44" s="303"/>
      <c r="D44" s="256">
        <v>100</v>
      </c>
      <c r="E44" s="566"/>
      <c r="F44" s="286">
        <f>SUMIF(125:125,E44,126:126)-SUMIF(125:125,C44,126:126)+100</f>
        <v>100</v>
      </c>
      <c r="G44" s="566"/>
      <c r="H44" s="256">
        <f>SUMIF(125:125,G44,126:126)-SUMIF(125:125,C44,126:126)+100</f>
        <v>100</v>
      </c>
      <c r="I44" s="566"/>
      <c r="J44" s="256">
        <f>SUMIF(125:125,I44,126:126)-SUMIF(125:125,C44,126:126)+100</f>
        <v>100</v>
      </c>
      <c r="K44" s="406"/>
      <c r="L44" s="402"/>
      <c r="M44" s="390"/>
      <c r="N44" s="390"/>
      <c r="O44" s="390"/>
      <c r="P44" s="3863"/>
      <c r="Q44" s="395" t="str">
        <f t="shared" si="8"/>
        <v>内部装修维护情况</v>
      </c>
      <c r="R44" s="465" t="s">
        <v>1005</v>
      </c>
      <c r="S44" s="466">
        <f t="shared" si="9"/>
        <v>100</v>
      </c>
      <c r="T44" s="465" t="s">
        <v>1005</v>
      </c>
      <c r="U44" s="466">
        <f t="shared" si="10"/>
        <v>100</v>
      </c>
      <c r="V44" s="465" t="s">
        <v>1005</v>
      </c>
      <c r="W44" s="466">
        <f t="shared" si="11"/>
        <v>100</v>
      </c>
      <c r="X44" s="460"/>
      <c r="Y44" s="3863"/>
      <c r="Z44" s="459" t="str">
        <f t="shared" si="12"/>
        <v>内部装修维护情况</v>
      </c>
      <c r="AA44" s="471">
        <f t="shared" si="3"/>
        <v>1</v>
      </c>
      <c r="AB44" s="471">
        <f t="shared" si="4"/>
        <v>1</v>
      </c>
      <c r="AC44" s="471">
        <f t="shared" si="5"/>
        <v>1</v>
      </c>
    </row>
    <row r="45" spans="1:29" s="199" customFormat="1" ht="15">
      <c r="A45" s="305"/>
      <c r="B45" s="520">
        <v>111</v>
      </c>
      <c r="C45" s="251"/>
      <c r="D45" s="246">
        <v>100</v>
      </c>
      <c r="E45" s="250"/>
      <c r="F45" s="524">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63"/>
      <c r="Q45" s="464">
        <f t="shared" si="8"/>
        <v>111</v>
      </c>
      <c r="R45" s="461" t="s">
        <v>1005</v>
      </c>
      <c r="S45" s="462">
        <f t="shared" si="9"/>
        <v>100</v>
      </c>
      <c r="T45" s="461" t="s">
        <v>1005</v>
      </c>
      <c r="U45" s="462">
        <f t="shared" si="10"/>
        <v>100</v>
      </c>
      <c r="V45" s="461" t="s">
        <v>1005</v>
      </c>
      <c r="W45" s="462">
        <f t="shared" si="11"/>
        <v>100</v>
      </c>
      <c r="X45" s="463"/>
      <c r="Y45" s="3863"/>
      <c r="Z45" s="481">
        <f t="shared" si="12"/>
        <v>111</v>
      </c>
      <c r="AA45" s="480">
        <f t="shared" si="3"/>
        <v>1</v>
      </c>
      <c r="AB45" s="480">
        <f t="shared" si="4"/>
        <v>1</v>
      </c>
      <c r="AC45" s="480">
        <f t="shared" si="5"/>
        <v>1</v>
      </c>
    </row>
    <row r="46" spans="1:29" ht="15">
      <c r="A46" s="302"/>
      <c r="B46" s="520">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63"/>
      <c r="Q46" s="395">
        <f t="shared" si="8"/>
        <v>111</v>
      </c>
      <c r="R46" s="465" t="s">
        <v>1005</v>
      </c>
      <c r="S46" s="466">
        <f t="shared" si="9"/>
        <v>100</v>
      </c>
      <c r="T46" s="465" t="s">
        <v>1005</v>
      </c>
      <c r="U46" s="466">
        <f t="shared" si="10"/>
        <v>100</v>
      </c>
      <c r="V46" s="465" t="s">
        <v>1005</v>
      </c>
      <c r="W46" s="466">
        <f t="shared" si="11"/>
        <v>100</v>
      </c>
      <c r="X46" s="460"/>
      <c r="Y46" s="3863"/>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74"/>
      <c r="Q47" s="395">
        <f t="shared" si="8"/>
        <v>111</v>
      </c>
      <c r="R47" s="465" t="s">
        <v>1005</v>
      </c>
      <c r="S47" s="466">
        <f t="shared" si="9"/>
        <v>100</v>
      </c>
      <c r="T47" s="465" t="s">
        <v>1005</v>
      </c>
      <c r="U47" s="466">
        <f t="shared" si="10"/>
        <v>100</v>
      </c>
      <c r="V47" s="465" t="s">
        <v>1005</v>
      </c>
      <c r="W47" s="466">
        <f t="shared" si="11"/>
        <v>100</v>
      </c>
      <c r="X47" s="460"/>
      <c r="Y47" s="3974"/>
      <c r="Z47" s="459">
        <f t="shared" si="12"/>
        <v>111</v>
      </c>
      <c r="AA47" s="471">
        <f t="shared" si="3"/>
        <v>1</v>
      </c>
      <c r="AB47" s="471">
        <f t="shared" si="4"/>
        <v>1</v>
      </c>
      <c r="AC47" s="471">
        <f t="shared" si="5"/>
        <v>1</v>
      </c>
    </row>
    <row r="48" spans="1:29" ht="15">
      <c r="A48" s="312" t="s">
        <v>2484</v>
      </c>
      <c r="B48" s="313"/>
      <c r="C48" s="314" t="s">
        <v>138</v>
      </c>
      <c r="D48" s="315"/>
      <c r="E48" s="316"/>
      <c r="F48" s="317"/>
      <c r="G48" s="318"/>
      <c r="H48" s="319"/>
      <c r="I48" s="316"/>
      <c r="J48" s="319"/>
      <c r="K48" s="409"/>
      <c r="L48" s="410"/>
      <c r="M48" s="390"/>
      <c r="N48" s="390"/>
      <c r="O48" s="390"/>
      <c r="P48" s="3885" t="str">
        <f>A48</f>
        <v>成交单价（元/平方米）</v>
      </c>
      <c r="Q48" s="3858"/>
      <c r="R48" s="3973">
        <f>E48</f>
        <v>0</v>
      </c>
      <c r="S48" s="3973"/>
      <c r="T48" s="3973">
        <f>G48</f>
        <v>0</v>
      </c>
      <c r="U48" s="3973"/>
      <c r="V48" s="3973">
        <f>I48</f>
        <v>0</v>
      </c>
      <c r="W48" s="3973"/>
      <c r="X48" s="342"/>
      <c r="Y48" s="483"/>
      <c r="Z48" s="342"/>
      <c r="AA48" s="342"/>
      <c r="AB48" s="342"/>
      <c r="AC48" s="342"/>
    </row>
    <row r="49" spans="1:29" ht="15">
      <c r="A49" s="320" t="s">
        <v>1037</v>
      </c>
      <c r="B49" s="321"/>
      <c r="C49" s="322" t="e">
        <f>R50</f>
        <v>#DIV/0!</v>
      </c>
      <c r="D49" s="323" t="s">
        <v>1038</v>
      </c>
      <c r="E49" s="324" t="e">
        <f>R49</f>
        <v>#DIV/0!</v>
      </c>
      <c r="F49" s="325"/>
      <c r="G49" s="322" t="e">
        <f>T49</f>
        <v>#DIV/0!</v>
      </c>
      <c r="H49" s="325"/>
      <c r="I49" s="324" t="e">
        <f>V49</f>
        <v>#DIV/0!</v>
      </c>
      <c r="J49" s="325"/>
      <c r="K49" s="411">
        <f>F49+H49+J49</f>
        <v>0</v>
      </c>
      <c r="L49" s="410"/>
      <c r="M49" s="390"/>
      <c r="N49" s="390"/>
      <c r="O49" s="390"/>
      <c r="P49" s="3885" t="str">
        <f>A49</f>
        <v>比较价格（元/平方米）</v>
      </c>
      <c r="Q49" s="3858"/>
      <c r="R49" s="3973" t="e">
        <f>IF(F1="售价",ROUND(PRODUCT(R48,AA7:AA47),0),ROUND(PRODUCT(R48,AA7:AA47),1))</f>
        <v>#DIV/0!</v>
      </c>
      <c r="S49" s="3973"/>
      <c r="T49" s="3973" t="e">
        <f>IF(F1="售价",ROUND(PRODUCT(T48,AB7:AB47),0),ROUND(PRODUCT(T48,AB7:AB47),1))</f>
        <v>#DIV/0!</v>
      </c>
      <c r="U49" s="3973"/>
      <c r="V49" s="3973" t="e">
        <f>IF(F1="售价",ROUND(PRODUCT(V48,AC7:AC47),0),ROUND(PRODUCT(V48,AC7:AC47),1))</f>
        <v>#DIV/0!</v>
      </c>
      <c r="W49" s="3973"/>
      <c r="X49" s="342"/>
      <c r="Y49" s="342"/>
      <c r="Z49" s="342"/>
      <c r="AA49" s="342"/>
      <c r="AB49" s="342"/>
      <c r="AC49" s="342"/>
    </row>
    <row r="50" spans="1:29" ht="15">
      <c r="A50" s="326" t="s">
        <v>1039</v>
      </c>
      <c r="B50" s="327"/>
      <c r="C50" s="328" t="e">
        <f>R50</f>
        <v>#DIV/0!</v>
      </c>
      <c r="D50" s="328"/>
      <c r="E50" s="328"/>
      <c r="F50" s="328"/>
      <c r="G50" s="328"/>
      <c r="H50" s="328"/>
      <c r="I50" s="328"/>
      <c r="J50" s="328"/>
      <c r="K50" s="412"/>
      <c r="L50" s="410"/>
      <c r="M50" s="390"/>
      <c r="N50" s="390"/>
      <c r="O50" s="390"/>
      <c r="P50" s="3978" t="str">
        <f>A50</f>
        <v>估价对象XX用房的比较价格（楼面单价，元/平方米）</v>
      </c>
      <c r="Q50" s="3885"/>
      <c r="R50" s="3975" t="e">
        <f>IF(F1="售价",ROUND(IF(D49="简单平均",AVERAGE(R49:V49),R49*F49+T49*H49+V49*J49),0),ROUND(IF(D49="简单平均",AVERAGE(R49:V49),R49*F49+T49*H49+V49*J49),1))</f>
        <v>#DIV/0!</v>
      </c>
      <c r="S50" s="3975"/>
      <c r="T50" s="3975"/>
      <c r="U50" s="3975"/>
      <c r="V50" s="3975"/>
      <c r="W50" s="3975"/>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69"/>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69"/>
      <c r="Q52" s="340"/>
      <c r="R52" s="340"/>
      <c r="S52" s="340"/>
      <c r="T52" s="340"/>
      <c r="U52" s="340"/>
      <c r="V52" s="340"/>
      <c r="W52" s="340"/>
      <c r="X52" s="340"/>
      <c r="Y52" s="340"/>
      <c r="Z52" s="340"/>
      <c r="AA52" s="340"/>
      <c r="AB52" s="340"/>
      <c r="AC52" s="340"/>
    </row>
    <row r="53" spans="1:29" ht="13.5" customHeight="1">
      <c r="A53" s="329"/>
      <c r="B53" s="329"/>
      <c r="C53" s="331" t="s">
        <v>1040</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69"/>
      <c r="Q53" s="340"/>
      <c r="R53" s="340"/>
      <c r="S53" s="340"/>
      <c r="T53" s="340"/>
      <c r="U53" s="340"/>
      <c r="V53" s="340"/>
      <c r="W53" s="340"/>
      <c r="X53" s="340"/>
      <c r="Y53" s="340"/>
      <c r="Z53" s="340"/>
      <c r="AA53" s="340"/>
      <c r="AB53" s="340"/>
      <c r="AC53" s="340"/>
    </row>
    <row r="54" spans="1:29" ht="13.5" customHeight="1">
      <c r="A54" s="329"/>
      <c r="B54" s="329"/>
      <c r="C54" s="331" t="s">
        <v>1041</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69"/>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70"/>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70"/>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69"/>
      <c r="Q57" s="340"/>
      <c r="R57" s="340"/>
      <c r="S57" s="340"/>
      <c r="T57" s="340"/>
      <c r="U57" s="340"/>
      <c r="V57" s="340"/>
      <c r="W57" s="340"/>
      <c r="X57" s="340"/>
      <c r="Y57" s="340"/>
      <c r="Z57" s="340"/>
      <c r="AA57" s="340"/>
      <c r="AB57" s="340"/>
      <c r="AC57" s="340"/>
    </row>
    <row r="58" spans="1:29" ht="21">
      <c r="A58" s="341" t="s">
        <v>1063</v>
      </c>
      <c r="B58" s="342"/>
      <c r="C58" s="343"/>
      <c r="D58" s="343"/>
      <c r="E58" s="343"/>
      <c r="F58" s="344"/>
      <c r="G58" s="344"/>
      <c r="H58" s="343"/>
      <c r="I58" s="343"/>
      <c r="J58" s="343"/>
      <c r="K58" s="420"/>
      <c r="L58" s="421"/>
      <c r="M58" s="343"/>
      <c r="N58" s="422"/>
      <c r="O58" s="422"/>
      <c r="P58" s="571"/>
      <c r="Q58" s="426"/>
      <c r="R58" s="340"/>
      <c r="S58" s="340"/>
      <c r="T58" s="340"/>
      <c r="U58" s="340"/>
      <c r="V58" s="340"/>
      <c r="W58" s="340"/>
      <c r="X58" s="340"/>
      <c r="Y58" s="340"/>
      <c r="Z58" s="340"/>
      <c r="AA58" s="340"/>
      <c r="AB58" s="340"/>
      <c r="AC58" s="340"/>
    </row>
    <row r="59" spans="1:29" s="203" customFormat="1" ht="15">
      <c r="A59" s="345" t="s">
        <v>1003</v>
      </c>
      <c r="B59" s="346"/>
      <c r="C59" s="347" t="str">
        <f>YEAR(C7)&amp;"-"&amp;MONTH(C7)</f>
        <v>2023-12</v>
      </c>
      <c r="D59" s="348">
        <f>EDATE(C59,-1)</f>
        <v>45231</v>
      </c>
      <c r="E59" s="348">
        <f t="shared" ref="E59:O59" si="13">EDATE(D59,-1)</f>
        <v>45200</v>
      </c>
      <c r="F59" s="348">
        <f t="shared" si="13"/>
        <v>45170</v>
      </c>
      <c r="G59" s="348">
        <f t="shared" si="13"/>
        <v>45139</v>
      </c>
      <c r="H59" s="348">
        <f t="shared" si="13"/>
        <v>45108</v>
      </c>
      <c r="I59" s="348">
        <f t="shared" si="13"/>
        <v>45078</v>
      </c>
      <c r="J59" s="348">
        <f t="shared" si="13"/>
        <v>45047</v>
      </c>
      <c r="K59" s="348">
        <f t="shared" si="13"/>
        <v>45017</v>
      </c>
      <c r="L59" s="348">
        <f t="shared" si="13"/>
        <v>44986</v>
      </c>
      <c r="M59" s="348">
        <f t="shared" si="13"/>
        <v>44958</v>
      </c>
      <c r="N59" s="348">
        <f t="shared" si="13"/>
        <v>44927</v>
      </c>
      <c r="O59" s="348">
        <f t="shared" si="13"/>
        <v>44896</v>
      </c>
      <c r="P59" s="572"/>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73"/>
      <c r="Q60" s="473"/>
      <c r="R60" s="473"/>
      <c r="S60" s="473"/>
      <c r="T60" s="473"/>
      <c r="U60" s="473"/>
      <c r="V60" s="473"/>
      <c r="W60" s="473"/>
      <c r="X60" s="473"/>
      <c r="Y60" s="473"/>
      <c r="Z60" s="473"/>
      <c r="AA60" s="473"/>
      <c r="AB60" s="473"/>
      <c r="AC60" s="473"/>
    </row>
    <row r="61" spans="1:29" s="199" customFormat="1" ht="15">
      <c r="A61" s="353" t="s">
        <v>1092</v>
      </c>
      <c r="B61" s="354"/>
      <c r="C61" s="355"/>
      <c r="D61" s="356"/>
      <c r="E61" s="356"/>
      <c r="F61" s="356"/>
      <c r="G61" s="356"/>
      <c r="H61" s="356"/>
      <c r="I61" s="356"/>
      <c r="J61" s="356"/>
      <c r="K61" s="356"/>
      <c r="L61" s="356"/>
      <c r="M61" s="427"/>
      <c r="N61" s="356"/>
      <c r="O61" s="427"/>
      <c r="P61" s="573"/>
      <c r="Q61" s="426"/>
      <c r="R61" s="473"/>
      <c r="S61" s="473"/>
      <c r="T61" s="473"/>
      <c r="U61" s="473"/>
      <c r="V61" s="473"/>
      <c r="W61" s="473"/>
      <c r="X61" s="473"/>
      <c r="Y61" s="473"/>
      <c r="Z61" s="473"/>
      <c r="AA61" s="473"/>
      <c r="AB61" s="473"/>
      <c r="AC61" s="473"/>
    </row>
    <row r="62" spans="1:29" s="199" customFormat="1" ht="15">
      <c r="A62" s="357" t="s">
        <v>1006</v>
      </c>
      <c r="B62" s="350"/>
      <c r="C62" s="358" t="s">
        <v>1007</v>
      </c>
      <c r="D62" s="359"/>
      <c r="E62" s="359"/>
      <c r="F62" s="359"/>
      <c r="G62" s="359"/>
      <c r="H62" s="359"/>
      <c r="I62" s="359"/>
      <c r="J62" s="359"/>
      <c r="K62" s="359"/>
      <c r="L62" s="429"/>
      <c r="M62" s="430"/>
      <c r="N62" s="431"/>
      <c r="O62" s="431"/>
      <c r="P62" s="574"/>
      <c r="Q62" s="426"/>
      <c r="R62" s="473"/>
      <c r="S62" s="473"/>
      <c r="T62" s="473"/>
      <c r="U62" s="473"/>
      <c r="V62" s="473"/>
      <c r="W62" s="473"/>
      <c r="X62" s="473"/>
      <c r="Y62" s="473"/>
      <c r="Z62" s="473"/>
      <c r="AA62" s="473"/>
      <c r="AB62" s="473"/>
      <c r="AC62" s="473"/>
    </row>
    <row r="63" spans="1:29" s="199" customFormat="1" ht="15">
      <c r="A63" s="357"/>
      <c r="B63" s="350"/>
      <c r="C63" s="567">
        <v>100</v>
      </c>
      <c r="D63" s="352"/>
      <c r="E63" s="352"/>
      <c r="F63" s="352"/>
      <c r="G63" s="352"/>
      <c r="H63" s="352"/>
      <c r="I63" s="352"/>
      <c r="J63" s="352"/>
      <c r="K63" s="352"/>
      <c r="L63" s="352"/>
      <c r="M63" s="425"/>
      <c r="N63" s="431"/>
      <c r="O63" s="431"/>
      <c r="P63" s="573"/>
      <c r="Q63" s="426"/>
      <c r="R63" s="473"/>
      <c r="S63" s="473"/>
      <c r="T63" s="473"/>
      <c r="U63" s="473"/>
      <c r="V63" s="473"/>
      <c r="W63" s="473"/>
      <c r="X63" s="473"/>
      <c r="Y63" s="473"/>
      <c r="Z63" s="473"/>
      <c r="AA63" s="473"/>
      <c r="AB63" s="473"/>
      <c r="AC63" s="473"/>
    </row>
    <row r="64" spans="1:29">
      <c r="A64" s="360" t="s">
        <v>1067</v>
      </c>
      <c r="B64" s="361" t="s">
        <v>1068</v>
      </c>
      <c r="C64" s="362">
        <f>C9</f>
        <v>0</v>
      </c>
      <c r="D64" s="363"/>
      <c r="E64" s="363"/>
      <c r="F64" s="363"/>
      <c r="G64" s="363"/>
      <c r="H64" s="363"/>
      <c r="I64" s="363"/>
      <c r="J64" s="363"/>
      <c r="K64" s="433"/>
      <c r="L64" s="434"/>
      <c r="M64" s="435"/>
      <c r="N64" s="436"/>
      <c r="O64" s="436"/>
      <c r="P64" s="575"/>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75"/>
      <c r="Q65" s="426"/>
      <c r="R65" s="340"/>
      <c r="S65" s="340"/>
      <c r="T65" s="340"/>
      <c r="U65" s="340"/>
      <c r="V65" s="340"/>
      <c r="W65" s="340"/>
      <c r="X65" s="340"/>
      <c r="Y65" s="340"/>
      <c r="Z65" s="340"/>
      <c r="AA65" s="340"/>
      <c r="AB65" s="340"/>
      <c r="AC65" s="340"/>
    </row>
    <row r="66" spans="1:29" ht="27">
      <c r="A66" s="364"/>
      <c r="B66" s="367" t="s">
        <v>1069</v>
      </c>
      <c r="C66" s="368"/>
      <c r="D66" s="368"/>
      <c r="E66" s="368"/>
      <c r="F66" s="368"/>
      <c r="G66" s="368"/>
      <c r="H66" s="368"/>
      <c r="I66" s="368"/>
      <c r="J66" s="368"/>
      <c r="K66" s="440"/>
      <c r="L66" s="441"/>
      <c r="M66" s="442"/>
      <c r="N66" s="436"/>
      <c r="O66" s="436"/>
      <c r="P66" s="575"/>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75"/>
      <c r="Q67" s="426"/>
      <c r="R67" s="340"/>
      <c r="S67" s="340"/>
      <c r="T67" s="340"/>
      <c r="U67" s="340"/>
      <c r="V67" s="340"/>
      <c r="W67" s="340"/>
      <c r="X67" s="340"/>
      <c r="Y67" s="340"/>
      <c r="Z67" s="340"/>
      <c r="AA67" s="340"/>
      <c r="AB67" s="340"/>
      <c r="AC67" s="340"/>
    </row>
    <row r="68" spans="1:29" ht="15">
      <c r="A68" s="364"/>
      <c r="B68" s="486" t="s">
        <v>1070</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7" t="str">
        <f>M69&amp;"（含）"&amp;"-"&amp;P69</f>
        <v>（含）-</v>
      </c>
      <c r="N68" s="439"/>
      <c r="O68" s="439"/>
      <c r="P68" s="575"/>
      <c r="Q68" s="426"/>
      <c r="R68" s="340"/>
      <c r="S68" s="340"/>
      <c r="T68" s="340"/>
      <c r="U68" s="340"/>
      <c r="V68" s="340"/>
      <c r="W68" s="340"/>
      <c r="X68" s="340"/>
      <c r="Y68" s="340"/>
      <c r="Z68" s="340"/>
      <c r="AA68" s="340"/>
      <c r="AB68" s="340"/>
      <c r="AC68" s="340"/>
    </row>
    <row r="69" spans="1:29" ht="15">
      <c r="A69" s="364"/>
      <c r="B69" s="527"/>
      <c r="C69" s="371"/>
      <c r="D69" s="371"/>
      <c r="E69" s="371"/>
      <c r="F69" s="371"/>
      <c r="G69" s="371"/>
      <c r="H69" s="371"/>
      <c r="I69" s="371"/>
      <c r="J69" s="371"/>
      <c r="K69" s="443"/>
      <c r="L69" s="444"/>
      <c r="M69" s="445"/>
      <c r="N69" s="436"/>
      <c r="O69" s="436"/>
      <c r="P69" s="575"/>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75"/>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577"/>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577"/>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578"/>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577"/>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28"/>
      <c r="I75" s="528"/>
      <c r="J75" s="528"/>
      <c r="K75" s="528"/>
      <c r="L75" s="537"/>
      <c r="M75" s="538"/>
      <c r="N75" s="448"/>
      <c r="O75" s="448"/>
      <c r="P75" s="579"/>
      <c r="Q75" s="474"/>
      <c r="R75" s="475"/>
      <c r="S75" s="475"/>
      <c r="T75" s="475"/>
      <c r="U75" s="475"/>
      <c r="V75" s="475"/>
      <c r="W75" s="475"/>
      <c r="X75" s="475"/>
      <c r="Y75" s="475"/>
      <c r="Z75" s="475"/>
      <c r="AA75" s="475"/>
      <c r="AB75" s="475"/>
      <c r="AC75" s="475"/>
    </row>
    <row r="76" spans="1:29" s="201" customFormat="1" ht="15">
      <c r="A76" s="529"/>
      <c r="B76" s="530"/>
      <c r="C76" s="531"/>
      <c r="D76" s="531"/>
      <c r="E76" s="531"/>
      <c r="F76" s="531"/>
      <c r="G76" s="531"/>
      <c r="H76" s="532"/>
      <c r="I76" s="532"/>
      <c r="J76" s="532"/>
      <c r="K76" s="532"/>
      <c r="L76" s="532"/>
      <c r="M76" s="540"/>
      <c r="N76" s="448"/>
      <c r="O76" s="448"/>
      <c r="P76" s="577"/>
      <c r="Q76" s="474"/>
      <c r="R76" s="475"/>
      <c r="S76" s="475"/>
      <c r="T76" s="475"/>
      <c r="U76" s="475"/>
      <c r="V76" s="475"/>
      <c r="W76" s="475"/>
      <c r="X76" s="475"/>
      <c r="Y76" s="475"/>
      <c r="Z76" s="475"/>
      <c r="AA76" s="475"/>
      <c r="AB76" s="475"/>
      <c r="AC76" s="475"/>
    </row>
    <row r="77" spans="1:29">
      <c r="A77" s="360" t="s">
        <v>1071</v>
      </c>
      <c r="B77" s="361" t="s">
        <v>225</v>
      </c>
      <c r="C77" s="377" t="s">
        <v>244</v>
      </c>
      <c r="D77" s="377" t="s">
        <v>256</v>
      </c>
      <c r="E77" s="377" t="s">
        <v>267</v>
      </c>
      <c r="F77" s="377" t="s">
        <v>277</v>
      </c>
      <c r="G77" s="377" t="s">
        <v>285</v>
      </c>
      <c r="H77" s="362"/>
      <c r="I77" s="362"/>
      <c r="J77" s="362"/>
      <c r="K77" s="451"/>
      <c r="L77" s="452"/>
      <c r="M77" s="453"/>
      <c r="N77" s="436"/>
      <c r="O77" s="436"/>
      <c r="P77" s="580"/>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75"/>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75"/>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75"/>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75"/>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75"/>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75"/>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75"/>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75"/>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75"/>
      <c r="Q86" s="426"/>
      <c r="R86" s="340"/>
      <c r="S86" s="340"/>
      <c r="T86" s="340"/>
      <c r="U86" s="340"/>
      <c r="V86" s="340"/>
      <c r="W86" s="340"/>
      <c r="X86" s="340"/>
      <c r="Y86" s="340"/>
      <c r="Z86" s="340"/>
      <c r="AA86" s="340"/>
      <c r="AB86" s="340"/>
      <c r="AC86" s="340"/>
    </row>
    <row r="87" spans="1:29" s="199" customFormat="1" ht="27">
      <c r="A87" s="487"/>
      <c r="B87" s="367" t="s">
        <v>1024</v>
      </c>
      <c r="C87" s="374"/>
      <c r="D87" s="374"/>
      <c r="E87" s="374"/>
      <c r="F87" s="374"/>
      <c r="G87" s="374"/>
      <c r="H87" s="374"/>
      <c r="I87" s="374"/>
      <c r="J87" s="374"/>
      <c r="K87" s="374"/>
      <c r="L87" s="496"/>
      <c r="M87" s="497"/>
      <c r="N87" s="431"/>
      <c r="O87" s="431"/>
      <c r="P87" s="575"/>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75"/>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576"/>
      <c r="G89" s="374"/>
      <c r="H89" s="374"/>
      <c r="I89" s="374"/>
      <c r="J89" s="374"/>
      <c r="K89" s="374"/>
      <c r="L89" s="374"/>
      <c r="M89" s="497"/>
      <c r="N89" s="431"/>
      <c r="O89" s="431"/>
      <c r="P89" s="575"/>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75"/>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577"/>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577"/>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75"/>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75"/>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75"/>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75"/>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75"/>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75"/>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33"/>
      <c r="H99" s="533"/>
      <c r="I99" s="533"/>
      <c r="J99" s="533"/>
      <c r="K99" s="541"/>
      <c r="L99" s="542"/>
      <c r="M99" s="543"/>
      <c r="N99" s="436"/>
      <c r="O99" s="436"/>
      <c r="P99" s="575"/>
      <c r="Q99" s="426"/>
      <c r="R99" s="340"/>
      <c r="S99" s="340"/>
      <c r="T99" s="340"/>
      <c r="U99" s="340"/>
      <c r="V99" s="340"/>
      <c r="W99" s="340"/>
      <c r="X99" s="340"/>
      <c r="Y99" s="340"/>
      <c r="Z99" s="340"/>
      <c r="AA99" s="340"/>
      <c r="AB99" s="340"/>
      <c r="AC99" s="340"/>
    </row>
    <row r="100" spans="1:29" ht="15">
      <c r="A100" s="534"/>
      <c r="B100" s="530"/>
      <c r="C100" s="531"/>
      <c r="D100" s="531"/>
      <c r="E100" s="531"/>
      <c r="F100" s="531"/>
      <c r="G100" s="535"/>
      <c r="H100" s="535"/>
      <c r="I100" s="535"/>
      <c r="J100" s="535"/>
      <c r="K100" s="535"/>
      <c r="L100" s="535"/>
      <c r="M100" s="544"/>
      <c r="N100" s="439"/>
      <c r="O100" s="439"/>
      <c r="P100" s="575"/>
      <c r="Q100" s="426"/>
      <c r="R100" s="340"/>
      <c r="S100" s="340"/>
      <c r="T100" s="340"/>
      <c r="U100" s="340"/>
      <c r="V100" s="340"/>
      <c r="W100" s="340"/>
      <c r="X100" s="340"/>
      <c r="Y100" s="340"/>
      <c r="Z100" s="340"/>
      <c r="AA100" s="340"/>
      <c r="AB100" s="340"/>
      <c r="AC100" s="340"/>
    </row>
    <row r="101" spans="1:29">
      <c r="A101" s="360" t="s">
        <v>1079</v>
      </c>
      <c r="B101" s="361" t="s">
        <v>2473</v>
      </c>
      <c r="C101" s="363"/>
      <c r="D101" s="363"/>
      <c r="E101" s="363"/>
      <c r="F101" s="363"/>
      <c r="G101" s="363"/>
      <c r="H101" s="363"/>
      <c r="I101" s="363"/>
      <c r="J101" s="363"/>
      <c r="K101" s="433"/>
      <c r="L101" s="434"/>
      <c r="M101" s="435"/>
      <c r="N101" s="436"/>
      <c r="O101" s="436"/>
      <c r="P101" s="575"/>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75"/>
      <c r="Q102" s="426"/>
      <c r="R102" s="340"/>
      <c r="S102" s="340"/>
      <c r="T102" s="340"/>
      <c r="U102" s="340"/>
      <c r="V102" s="340"/>
      <c r="W102" s="340"/>
      <c r="X102" s="340"/>
      <c r="Y102" s="340"/>
      <c r="Z102" s="340"/>
      <c r="AA102" s="340"/>
      <c r="AB102" s="340"/>
      <c r="AC102" s="340"/>
    </row>
    <row r="103" spans="1:29" ht="15">
      <c r="A103" s="364"/>
      <c r="B103" s="367" t="s">
        <v>2474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75"/>
      <c r="Q103" s="426"/>
      <c r="R103" s="340"/>
      <c r="S103" s="340"/>
      <c r="T103" s="340"/>
      <c r="U103" s="340"/>
      <c r="V103" s="340"/>
      <c r="W103" s="340"/>
      <c r="X103" s="340"/>
      <c r="Y103" s="340"/>
      <c r="Z103" s="340"/>
      <c r="AA103" s="340"/>
      <c r="AB103" s="340"/>
      <c r="AC103" s="340"/>
    </row>
    <row r="104" spans="1:29" s="201" customFormat="1">
      <c r="A104" s="492"/>
      <c r="B104" s="536"/>
      <c r="C104" s="491"/>
      <c r="D104" s="491"/>
      <c r="E104" s="491"/>
      <c r="F104" s="491"/>
      <c r="G104" s="491"/>
      <c r="H104" s="491"/>
      <c r="I104" s="491"/>
      <c r="J104" s="502"/>
      <c r="K104" s="502"/>
      <c r="L104" s="503"/>
      <c r="M104" s="504"/>
      <c r="N104" s="448"/>
      <c r="O104" s="448"/>
      <c r="P104" s="577"/>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577"/>
      <c r="Q105" s="474"/>
      <c r="R105" s="475"/>
      <c r="S105" s="475"/>
      <c r="T105" s="475"/>
      <c r="U105" s="475"/>
      <c r="V105" s="475"/>
      <c r="W105" s="475"/>
      <c r="X105" s="475"/>
      <c r="Y105" s="475"/>
      <c r="Z105" s="475"/>
      <c r="AA105" s="475"/>
      <c r="AB105" s="475"/>
      <c r="AC105" s="475"/>
    </row>
    <row r="106" spans="1:29">
      <c r="A106" s="490"/>
      <c r="B106" s="367" t="s">
        <v>2475</v>
      </c>
      <c r="C106" s="374"/>
      <c r="D106" s="374"/>
      <c r="E106" s="368"/>
      <c r="F106" s="368"/>
      <c r="G106" s="368"/>
      <c r="H106" s="368"/>
      <c r="I106" s="368"/>
      <c r="J106" s="368"/>
      <c r="K106" s="440"/>
      <c r="L106" s="441"/>
      <c r="M106" s="442"/>
      <c r="N106" s="436"/>
      <c r="O106" s="436"/>
      <c r="P106" s="575"/>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75"/>
      <c r="Q107" s="426"/>
      <c r="R107" s="340"/>
      <c r="S107" s="340"/>
      <c r="T107" s="340"/>
      <c r="U107" s="340"/>
      <c r="V107" s="340"/>
      <c r="W107" s="340"/>
      <c r="X107" s="340"/>
      <c r="Y107" s="340"/>
      <c r="Z107" s="340"/>
      <c r="AA107" s="340"/>
      <c r="AB107" s="340"/>
      <c r="AC107" s="340"/>
    </row>
    <row r="108" spans="1:29">
      <c r="A108" s="490"/>
      <c r="B108" s="367" t="s">
        <v>2477</v>
      </c>
      <c r="C108" s="374"/>
      <c r="D108" s="374"/>
      <c r="E108" s="374"/>
      <c r="F108" s="368"/>
      <c r="G108" s="368"/>
      <c r="H108" s="368"/>
      <c r="I108" s="368"/>
      <c r="J108" s="368"/>
      <c r="K108" s="440"/>
      <c r="L108" s="441"/>
      <c r="M108" s="442"/>
      <c r="N108" s="436"/>
      <c r="O108" s="436"/>
      <c r="P108" s="575"/>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75"/>
      <c r="Q109" s="426"/>
      <c r="R109" s="340"/>
      <c r="S109" s="340"/>
      <c r="T109" s="340"/>
      <c r="U109" s="340"/>
      <c r="V109" s="340"/>
      <c r="W109" s="340"/>
      <c r="X109" s="340"/>
      <c r="Y109" s="340"/>
      <c r="Z109" s="340"/>
      <c r="AA109" s="340"/>
      <c r="AB109" s="340"/>
      <c r="AC109" s="340"/>
    </row>
    <row r="110" spans="1:29">
      <c r="A110" s="490"/>
      <c r="B110" s="367" t="s">
        <v>2478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75"/>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45"/>
      <c r="J111" s="545"/>
      <c r="K111" s="546"/>
      <c r="L111" s="547"/>
      <c r="M111" s="548"/>
      <c r="N111" s="436"/>
      <c r="O111" s="436"/>
      <c r="P111" s="575"/>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75"/>
      <c r="Q112" s="426"/>
      <c r="R112" s="340"/>
      <c r="S112" s="340"/>
      <c r="T112" s="340"/>
      <c r="U112" s="340"/>
      <c r="V112" s="340"/>
      <c r="W112" s="340"/>
      <c r="X112" s="340"/>
      <c r="Y112" s="340"/>
      <c r="Z112" s="340"/>
      <c r="AA112" s="340"/>
      <c r="AB112" s="340"/>
      <c r="AC112" s="340"/>
    </row>
    <row r="113" spans="1:29" s="201" customFormat="1">
      <c r="A113" s="492"/>
      <c r="B113" s="367" t="s">
        <v>2562</v>
      </c>
      <c r="C113" s="374"/>
      <c r="D113" s="374"/>
      <c r="E113" s="374"/>
      <c r="F113" s="374"/>
      <c r="G113" s="374"/>
      <c r="H113" s="368"/>
      <c r="I113" s="368"/>
      <c r="J113" s="368"/>
      <c r="K113" s="440"/>
      <c r="L113" s="441"/>
      <c r="M113" s="442"/>
      <c r="N113" s="448"/>
      <c r="O113" s="448"/>
      <c r="P113" s="577"/>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577"/>
      <c r="Q114" s="474"/>
      <c r="R114" s="475"/>
      <c r="S114" s="475"/>
      <c r="T114" s="475"/>
      <c r="U114" s="475"/>
      <c r="V114" s="475"/>
      <c r="W114" s="475"/>
      <c r="X114" s="475"/>
      <c r="Y114" s="475"/>
      <c r="Z114" s="475"/>
      <c r="AA114" s="475"/>
      <c r="AB114" s="475"/>
      <c r="AC114" s="475"/>
    </row>
    <row r="115" spans="1:29">
      <c r="A115" s="490"/>
      <c r="B115" s="367" t="s">
        <v>2479</v>
      </c>
      <c r="C115" s="374"/>
      <c r="D115" s="374"/>
      <c r="E115" s="368"/>
      <c r="F115" s="368"/>
      <c r="G115" s="368"/>
      <c r="H115" s="368"/>
      <c r="I115" s="368"/>
      <c r="J115" s="368"/>
      <c r="K115" s="440"/>
      <c r="L115" s="441"/>
      <c r="M115" s="442"/>
      <c r="N115" s="436"/>
      <c r="O115" s="436"/>
      <c r="P115" s="575"/>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75"/>
      <c r="Q116" s="426"/>
      <c r="R116" s="340"/>
      <c r="S116" s="340"/>
      <c r="T116" s="340"/>
      <c r="U116" s="340"/>
      <c r="V116" s="340"/>
      <c r="W116" s="340"/>
      <c r="X116" s="340"/>
      <c r="Y116" s="340"/>
      <c r="Z116" s="340"/>
      <c r="AA116" s="340"/>
      <c r="AB116" s="340"/>
      <c r="AC116" s="340"/>
    </row>
    <row r="117" spans="1:29">
      <c r="A117" s="490"/>
      <c r="B117" s="379" t="s">
        <v>2480</v>
      </c>
      <c r="C117" s="374"/>
      <c r="D117" s="374"/>
      <c r="E117" s="374"/>
      <c r="F117" s="374"/>
      <c r="G117" s="374"/>
      <c r="H117" s="368"/>
      <c r="I117" s="368"/>
      <c r="J117" s="368"/>
      <c r="K117" s="440"/>
      <c r="L117" s="441"/>
      <c r="M117" s="442"/>
      <c r="N117" s="436"/>
      <c r="O117" s="436"/>
      <c r="P117" s="575"/>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75"/>
      <c r="Q118" s="426"/>
      <c r="R118" s="340"/>
      <c r="S118" s="340"/>
      <c r="T118" s="340"/>
      <c r="U118" s="340"/>
      <c r="V118" s="340"/>
      <c r="W118" s="340"/>
      <c r="X118" s="340"/>
      <c r="Y118" s="340"/>
      <c r="Z118" s="340"/>
      <c r="AA118" s="340"/>
      <c r="AB118" s="340"/>
      <c r="AC118" s="340"/>
    </row>
    <row r="119" spans="1:29">
      <c r="A119" s="490"/>
      <c r="B119" s="493" t="s">
        <v>2564</v>
      </c>
      <c r="C119" s="368"/>
      <c r="D119" s="368"/>
      <c r="E119" s="368"/>
      <c r="F119" s="368"/>
      <c r="G119" s="368"/>
      <c r="H119" s="368"/>
      <c r="I119" s="368"/>
      <c r="J119" s="368"/>
      <c r="K119" s="368"/>
      <c r="L119" s="581"/>
      <c r="M119" s="582"/>
      <c r="N119" s="439"/>
      <c r="O119" s="439"/>
      <c r="P119" s="583"/>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75"/>
      <c r="Q120" s="426"/>
      <c r="R120" s="340"/>
      <c r="S120" s="340"/>
      <c r="T120" s="340"/>
      <c r="U120" s="340"/>
      <c r="V120" s="340"/>
      <c r="W120" s="340"/>
      <c r="X120" s="340"/>
      <c r="Y120" s="340"/>
      <c r="Z120" s="340"/>
      <c r="AA120" s="340"/>
      <c r="AB120" s="340"/>
      <c r="AC120" s="340"/>
    </row>
    <row r="121" spans="1:29" s="201" customFormat="1">
      <c r="A121" s="492"/>
      <c r="B121" s="367" t="s">
        <v>2558</v>
      </c>
      <c r="C121" s="374"/>
      <c r="D121" s="374"/>
      <c r="E121" s="374"/>
      <c r="F121" s="368"/>
      <c r="G121" s="375"/>
      <c r="H121" s="375"/>
      <c r="I121" s="375"/>
      <c r="J121" s="375"/>
      <c r="K121" s="375"/>
      <c r="L121" s="446"/>
      <c r="M121" s="447"/>
      <c r="N121" s="448"/>
      <c r="O121" s="448"/>
      <c r="P121" s="577"/>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577"/>
      <c r="Q122" s="474"/>
      <c r="R122" s="475"/>
      <c r="S122" s="475"/>
      <c r="T122" s="475"/>
      <c r="U122" s="475"/>
      <c r="V122" s="475"/>
      <c r="W122" s="475"/>
      <c r="X122" s="475"/>
      <c r="Y122" s="475"/>
      <c r="Z122" s="475"/>
      <c r="AA122" s="475"/>
      <c r="AB122" s="475"/>
      <c r="AC122" s="475"/>
    </row>
    <row r="123" spans="1:29">
      <c r="A123" s="490"/>
      <c r="B123" s="367" t="s">
        <v>2483</v>
      </c>
      <c r="C123" s="374"/>
      <c r="D123" s="374"/>
      <c r="E123" s="374"/>
      <c r="F123" s="368"/>
      <c r="G123" s="368"/>
      <c r="H123" s="368"/>
      <c r="I123" s="368"/>
      <c r="J123" s="368"/>
      <c r="K123" s="440"/>
      <c r="L123" s="441"/>
      <c r="M123" s="442"/>
      <c r="N123" s="436"/>
      <c r="O123" s="436"/>
      <c r="P123" s="575"/>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75"/>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577"/>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75"/>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577"/>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57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75"/>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75"/>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33"/>
      <c r="H131" s="533"/>
      <c r="I131" s="533"/>
      <c r="J131" s="533"/>
      <c r="K131" s="359"/>
      <c r="L131" s="429"/>
      <c r="M131" s="543"/>
      <c r="N131" s="436"/>
      <c r="O131" s="436"/>
      <c r="P131" s="575"/>
      <c r="Q131" s="426"/>
      <c r="R131" s="340"/>
      <c r="S131" s="340"/>
      <c r="T131" s="340"/>
      <c r="U131" s="340"/>
      <c r="V131" s="340"/>
      <c r="W131" s="340"/>
      <c r="X131" s="340"/>
      <c r="Y131" s="340"/>
      <c r="Z131" s="340"/>
      <c r="AA131" s="340"/>
      <c r="AB131" s="340"/>
      <c r="AC131" s="340"/>
    </row>
    <row r="132" spans="1:29" ht="15">
      <c r="A132" s="534"/>
      <c r="B132" s="530"/>
      <c r="C132" s="531"/>
      <c r="D132" s="531"/>
      <c r="E132" s="531"/>
      <c r="F132" s="531"/>
      <c r="G132" s="535"/>
      <c r="H132" s="535"/>
      <c r="I132" s="535"/>
      <c r="J132" s="535"/>
      <c r="K132" s="535"/>
      <c r="L132" s="535"/>
      <c r="M132" s="544"/>
      <c r="N132" s="439"/>
      <c r="O132" s="439"/>
      <c r="P132" s="575"/>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58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58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58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58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58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58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58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58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58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58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58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58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58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58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58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58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58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58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58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58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58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58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58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58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58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58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58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58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58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58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58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58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58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58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58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58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58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58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58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58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58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58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58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58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58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58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58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58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58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58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58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58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58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58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58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58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58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58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58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58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58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58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58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58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58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58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58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58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58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58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58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58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58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58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58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58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58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58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58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58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58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58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58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58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58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58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58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58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58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58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58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58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58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58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58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58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58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58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58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58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58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58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58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58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58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58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58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58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58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58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58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58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58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58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58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58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58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58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58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58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58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58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58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58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58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58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58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58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58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58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58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58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58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58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58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58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58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58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58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58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58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58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58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58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58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58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58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58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58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58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58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58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58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58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58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58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58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58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58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58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58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58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58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58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58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58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58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58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58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58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58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58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58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58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58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58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58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58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58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58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58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58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58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58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58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58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58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58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58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58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58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58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58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58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58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58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58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58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58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58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58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58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58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58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58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58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58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58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58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58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58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58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58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58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58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58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58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58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58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58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58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58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58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58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58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58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58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58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58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58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58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58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58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58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58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58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58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58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58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58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58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58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58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58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58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58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58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58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58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58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58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58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58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58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58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58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58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58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58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58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58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58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58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58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58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58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58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58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58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58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58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58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58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58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58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58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58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58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58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58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58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58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58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58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58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58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58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58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58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58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58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58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58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58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58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58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58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58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58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58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58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58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58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58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58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58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58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58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58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58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58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58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58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58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58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58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58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58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58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58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58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58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58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58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58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58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58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58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58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58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58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58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58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58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58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58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58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58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58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58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58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58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58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58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58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58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58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58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58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58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58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58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58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58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58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58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58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58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58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58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58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58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58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58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58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58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58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58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58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58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58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58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58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58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58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58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58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58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58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58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58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58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58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58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58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58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58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58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58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58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58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58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58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58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58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58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58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58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58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58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58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58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58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58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58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58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58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58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58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58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58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58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58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58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58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58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58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58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58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58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58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58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58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58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58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58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58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58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58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58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58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58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58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58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58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58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58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58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58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58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58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58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58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58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58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58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58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58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58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58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58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58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58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58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58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58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58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58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58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58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58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58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58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58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58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58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58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58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58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58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58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58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58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58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58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58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58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58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58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58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58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58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58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58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58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58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58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58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58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58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58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58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58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58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58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58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58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58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58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58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58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58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58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58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58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58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58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58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58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58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58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58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58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58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58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58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58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58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58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58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58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58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58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58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58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58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58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58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58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58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58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58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58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58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58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58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58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58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58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58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58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58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58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58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58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58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58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58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58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58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58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58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58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58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58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58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58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58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58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58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58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58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58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58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58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58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58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58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58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58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58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58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58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58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58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58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58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58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58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58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58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58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58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58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58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58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58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58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58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58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58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58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58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58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58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58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58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58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58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58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58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58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58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58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58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58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58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58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58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58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58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58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58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58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58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58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58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58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58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58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58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58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58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58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58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58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58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58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58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58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58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58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58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58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58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58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58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58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58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58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58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58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58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58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58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58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58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58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58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58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58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58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58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58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58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58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58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58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58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58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58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58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58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58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58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58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58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58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58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58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58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58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58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58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58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58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58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58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58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58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58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58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58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58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58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58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58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58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58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58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58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58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58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58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58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58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58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58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58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58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58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58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58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58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58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58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58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58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58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58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58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58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58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58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58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58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58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58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58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58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58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1085</v>
      </c>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2467</v>
      </c>
      <c r="B3" s="220" t="e">
        <f>C43</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47" t="s">
        <v>994</v>
      </c>
      <c r="D4" s="3848"/>
      <c r="E4" s="3887" t="s">
        <v>995</v>
      </c>
      <c r="F4" s="3888"/>
      <c r="G4" s="3847" t="s">
        <v>996</v>
      </c>
      <c r="H4" s="3848"/>
      <c r="I4" s="3847" t="s">
        <v>997</v>
      </c>
      <c r="J4" s="3848"/>
      <c r="K4" s="388" t="s">
        <v>998</v>
      </c>
      <c r="L4" s="389"/>
      <c r="M4" s="390"/>
      <c r="N4" s="390"/>
      <c r="O4" s="390"/>
      <c r="P4" s="3877" t="s">
        <v>999</v>
      </c>
      <c r="Q4" s="3878"/>
      <c r="R4" s="3868" t="s">
        <v>995</v>
      </c>
      <c r="S4" s="3869"/>
      <c r="T4" s="3868" t="s">
        <v>996</v>
      </c>
      <c r="U4" s="3869"/>
      <c r="V4" s="3859" t="s">
        <v>997</v>
      </c>
      <c r="W4" s="3859"/>
      <c r="X4" s="460"/>
      <c r="Y4" s="3868" t="s">
        <v>999</v>
      </c>
      <c r="Z4" s="3869"/>
      <c r="AA4" s="3874" t="s">
        <v>995</v>
      </c>
      <c r="AB4" s="3875" t="s">
        <v>996</v>
      </c>
      <c r="AC4" s="3874" t="s">
        <v>997</v>
      </c>
    </row>
    <row r="5" spans="1:29" ht="15">
      <c r="A5" s="225"/>
      <c r="B5" s="226"/>
      <c r="C5" s="3849" t="s">
        <v>1000</v>
      </c>
      <c r="D5" s="3850"/>
      <c r="E5" s="3889" t="s">
        <v>1086</v>
      </c>
      <c r="F5" s="3890"/>
      <c r="G5" s="3849" t="s">
        <v>1087</v>
      </c>
      <c r="H5" s="3850"/>
      <c r="I5" s="3849" t="s">
        <v>1088</v>
      </c>
      <c r="J5" s="3850"/>
      <c r="K5" s="388"/>
      <c r="L5" s="389"/>
      <c r="M5" s="390"/>
      <c r="N5" s="390"/>
      <c r="O5" s="390"/>
      <c r="P5" s="3879"/>
      <c r="Q5" s="3880"/>
      <c r="R5" s="3870"/>
      <c r="S5" s="3871"/>
      <c r="T5" s="3870"/>
      <c r="U5" s="3871"/>
      <c r="V5" s="3859"/>
      <c r="W5" s="3859"/>
      <c r="X5" s="460"/>
      <c r="Y5" s="3870"/>
      <c r="Z5" s="3871"/>
      <c r="AA5" s="3875"/>
      <c r="AB5" s="3875"/>
      <c r="AC5" s="3875"/>
    </row>
    <row r="6" spans="1:29" ht="15">
      <c r="A6" s="227"/>
      <c r="B6" s="228"/>
      <c r="C6" s="3853" t="s">
        <v>1001</v>
      </c>
      <c r="D6" s="3854"/>
      <c r="E6" s="3891" t="s">
        <v>1001</v>
      </c>
      <c r="F6" s="3892"/>
      <c r="G6" s="3853" t="s">
        <v>1001</v>
      </c>
      <c r="H6" s="3854"/>
      <c r="I6" s="3853" t="s">
        <v>1001</v>
      </c>
      <c r="J6" s="3854"/>
      <c r="K6" s="388" t="s">
        <v>1002</v>
      </c>
      <c r="L6" s="389"/>
      <c r="M6" s="390"/>
      <c r="N6" s="390"/>
      <c r="O6" s="390"/>
      <c r="P6" s="3881"/>
      <c r="Q6" s="3882"/>
      <c r="R6" s="3870"/>
      <c r="S6" s="3871"/>
      <c r="T6" s="3872"/>
      <c r="U6" s="3873"/>
      <c r="V6" s="3859"/>
      <c r="W6" s="3859"/>
      <c r="X6" s="460"/>
      <c r="Y6" s="3872"/>
      <c r="Z6" s="3873"/>
      <c r="AA6" s="3876"/>
      <c r="AB6" s="3876"/>
      <c r="AC6" s="3876"/>
    </row>
    <row r="7" spans="1:29" s="199" customFormat="1" ht="15">
      <c r="A7" s="229"/>
      <c r="B7" s="230" t="s">
        <v>1003</v>
      </c>
      <c r="C7" s="231">
        <f>'数据-取费表'!B2</f>
        <v>45271</v>
      </c>
      <c r="D7" s="232">
        <v>100</v>
      </c>
      <c r="E7" s="233"/>
      <c r="F7" s="234">
        <f>SUMIF(52:52,YEAR(E7)&amp;"-"&amp;MONTH(E7),53:53)</f>
        <v>0</v>
      </c>
      <c r="G7" s="233"/>
      <c r="H7" s="232">
        <f>SUMIF(52:52,YEAR(G7)&amp;"-"&amp;MONTH(G7),53:53)</f>
        <v>0</v>
      </c>
      <c r="I7" s="233"/>
      <c r="J7" s="232">
        <f>SUMIF(52:52,YEAR(I7)&amp;"-"&amp;MONTH(I7),53:53)</f>
        <v>0</v>
      </c>
      <c r="K7" s="391"/>
      <c r="L7" s="392"/>
      <c r="M7" s="393"/>
      <c r="N7" s="393"/>
      <c r="O7" s="393"/>
      <c r="P7" s="3855" t="s">
        <v>1004</v>
      </c>
      <c r="Q7" s="3856"/>
      <c r="R7" s="461" t="s">
        <v>1005</v>
      </c>
      <c r="S7" s="462">
        <f t="shared" ref="S7:S15" si="0">F7</f>
        <v>0</v>
      </c>
      <c r="T7" s="461" t="s">
        <v>1005</v>
      </c>
      <c r="U7" s="462">
        <f t="shared" ref="U7:U15" si="1">H7</f>
        <v>0</v>
      </c>
      <c r="V7" s="461" t="s">
        <v>1005</v>
      </c>
      <c r="W7" s="462">
        <f t="shared" ref="W7:W15" si="2">J7</f>
        <v>0</v>
      </c>
      <c r="X7" s="463"/>
      <c r="Y7" s="3855" t="s">
        <v>1004</v>
      </c>
      <c r="Z7" s="3857"/>
      <c r="AA7" s="480" t="e">
        <f>D7/F7</f>
        <v>#DIV/0!</v>
      </c>
      <c r="AB7" s="480" t="e">
        <f>D7/H7</f>
        <v>#DIV/0!</v>
      </c>
      <c r="AC7" s="480" t="e">
        <f>D7/J7</f>
        <v>#DIV/0!</v>
      </c>
    </row>
    <row r="8" spans="1:29" s="199" customFormat="1" ht="15">
      <c r="A8" s="236"/>
      <c r="B8" s="237" t="s">
        <v>1006</v>
      </c>
      <c r="C8" s="238" t="s">
        <v>1007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55" t="s">
        <v>1009</v>
      </c>
      <c r="Q8" s="3857"/>
      <c r="R8" s="461" t="s">
        <v>1005</v>
      </c>
      <c r="S8" s="462">
        <f t="shared" si="0"/>
        <v>0</v>
      </c>
      <c r="T8" s="461" t="s">
        <v>1005</v>
      </c>
      <c r="U8" s="462">
        <f t="shared" si="1"/>
        <v>0</v>
      </c>
      <c r="V8" s="461" t="s">
        <v>1005</v>
      </c>
      <c r="W8" s="462">
        <f t="shared" si="2"/>
        <v>0</v>
      </c>
      <c r="X8" s="463"/>
      <c r="Y8" s="3855" t="s">
        <v>1009</v>
      </c>
      <c r="Z8" s="3857"/>
      <c r="AA8" s="480" t="e">
        <f t="shared" ref="AA8:AA40" si="3">D8/F8</f>
        <v>#DIV/0!</v>
      </c>
      <c r="AB8" s="480" t="e">
        <f t="shared" ref="AB8:AB40" si="4">D8/H8</f>
        <v>#DIV/0!</v>
      </c>
      <c r="AC8" s="480" t="e">
        <f t="shared" ref="AC8:AC40" si="5">D8/J8</f>
        <v>#DIV/0!</v>
      </c>
    </row>
    <row r="9" spans="1:29" s="199" customFormat="1" ht="15">
      <c r="A9" s="239"/>
      <c r="B9" s="240" t="s">
        <v>1010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58" t="s">
        <v>1011</v>
      </c>
      <c r="Q9" s="464" t="str">
        <f t="shared" ref="Q9:Q15" si="6">B9</f>
        <v>用途</v>
      </c>
      <c r="R9" s="461" t="s">
        <v>1005</v>
      </c>
      <c r="S9" s="462">
        <f t="shared" si="0"/>
        <v>100</v>
      </c>
      <c r="T9" s="461" t="s">
        <v>1005</v>
      </c>
      <c r="U9" s="462">
        <f t="shared" si="1"/>
        <v>100</v>
      </c>
      <c r="V9" s="461" t="s">
        <v>1005</v>
      </c>
      <c r="W9" s="462">
        <f t="shared" si="2"/>
        <v>100</v>
      </c>
      <c r="X9" s="463"/>
      <c r="Y9" s="377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58"/>
      <c r="Q10" s="464" t="str">
        <f t="shared" si="6"/>
        <v>土地使用年限（年）</v>
      </c>
      <c r="R10" s="461" t="s">
        <v>1005</v>
      </c>
      <c r="S10" s="462">
        <f t="shared" si="0"/>
        <v>100</v>
      </c>
      <c r="T10" s="461" t="s">
        <v>1005</v>
      </c>
      <c r="U10" s="462">
        <f t="shared" si="1"/>
        <v>100</v>
      </c>
      <c r="V10" s="461" t="s">
        <v>1005</v>
      </c>
      <c r="W10" s="462">
        <f t="shared" si="2"/>
        <v>100</v>
      </c>
      <c r="X10" s="463"/>
      <c r="Y10" s="3776"/>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LOOKUP(E11,62:62,63:63)-LOOKUP(C11,62:62,63:63)+100</f>
        <v>#N/A</v>
      </c>
      <c r="G11" s="513"/>
      <c r="H11" s="246" t="e">
        <f>LOOKUP(G11,62:62,63:63)-LOOKUP(C11,62:62,63:63)+100</f>
        <v>#N/A</v>
      </c>
      <c r="I11" s="512"/>
      <c r="J11" s="246" t="e">
        <f>LOOKUP(I11,62:62,63:63)-LOOKUP(C11,62:62,63:63)+100</f>
        <v>#N/A</v>
      </c>
      <c r="K11" s="406"/>
      <c r="L11" s="400"/>
      <c r="M11" s="390"/>
      <c r="N11" s="390"/>
      <c r="O11" s="401"/>
      <c r="P11" s="3858"/>
      <c r="Q11" s="464" t="str">
        <f t="shared" si="6"/>
        <v>容积率</v>
      </c>
      <c r="R11" s="461" t="s">
        <v>1005</v>
      </c>
      <c r="S11" s="462" t="e">
        <f t="shared" si="0"/>
        <v>#N/A</v>
      </c>
      <c r="T11" s="461" t="s">
        <v>1005</v>
      </c>
      <c r="U11" s="462" t="e">
        <f t="shared" si="1"/>
        <v>#N/A</v>
      </c>
      <c r="V11" s="461" t="s">
        <v>1005</v>
      </c>
      <c r="W11" s="462" t="e">
        <f t="shared" si="2"/>
        <v>#N/A</v>
      </c>
      <c r="X11" s="463"/>
      <c r="Y11" s="3776"/>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14"/>
      <c r="H12" s="246">
        <f>SUMIF(64:64,G12,65:65)-SUMIF(64:64,C12,65:65)+100</f>
        <v>100</v>
      </c>
      <c r="I12" s="251"/>
      <c r="J12" s="246">
        <f>SUMIF(64:64,I12,65:65)-SUMIF(64:64,C12,65:65)+100</f>
        <v>100</v>
      </c>
      <c r="K12" s="399"/>
      <c r="L12" s="392"/>
      <c r="M12" s="393"/>
      <c r="N12" s="393"/>
      <c r="O12" s="394"/>
      <c r="P12" s="3858"/>
      <c r="Q12" s="464">
        <f t="shared" si="6"/>
        <v>111</v>
      </c>
      <c r="R12" s="461" t="s">
        <v>1005</v>
      </c>
      <c r="S12" s="462">
        <f t="shared" si="0"/>
        <v>100</v>
      </c>
      <c r="T12" s="461" t="s">
        <v>1005</v>
      </c>
      <c r="U12" s="462">
        <f t="shared" si="1"/>
        <v>100</v>
      </c>
      <c r="V12" s="461" t="s">
        <v>1005</v>
      </c>
      <c r="W12" s="462">
        <f t="shared" si="2"/>
        <v>100</v>
      </c>
      <c r="X12" s="463"/>
      <c r="Y12" s="3776"/>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14"/>
      <c r="H13" s="256">
        <f>SUMIF(66:66,G13,67:67)-SUMIF(66:66,C13,67:67)+100</f>
        <v>100</v>
      </c>
      <c r="I13" s="251"/>
      <c r="J13" s="256">
        <f>SUMIF(66:66,I13,67:67)-SUMIF(66:66,C13,67:67)+100</f>
        <v>100</v>
      </c>
      <c r="K13" s="399"/>
      <c r="L13" s="402"/>
      <c r="M13" s="390"/>
      <c r="N13" s="390"/>
      <c r="O13" s="401"/>
      <c r="P13" s="3858"/>
      <c r="Q13" s="464">
        <f t="shared" si="6"/>
        <v>111</v>
      </c>
      <c r="R13" s="461" t="s">
        <v>1005</v>
      </c>
      <c r="S13" s="462">
        <f t="shared" si="0"/>
        <v>100</v>
      </c>
      <c r="T13" s="461" t="s">
        <v>1005</v>
      </c>
      <c r="U13" s="462">
        <f t="shared" si="1"/>
        <v>100</v>
      </c>
      <c r="V13" s="461" t="s">
        <v>1005</v>
      </c>
      <c r="W13" s="462">
        <f t="shared" si="2"/>
        <v>100</v>
      </c>
      <c r="X13" s="463"/>
      <c r="Y13" s="3776"/>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14"/>
      <c r="H14" s="309">
        <f>SUMIF(68:68,G14,69:69)-SUMIF(68:68,C14,69:69)+100</f>
        <v>100</v>
      </c>
      <c r="I14" s="251"/>
      <c r="J14" s="309">
        <f>SUMIF(68:68,I14,69:69)-SUMIF(68:68,C14,69:69)+100</f>
        <v>100</v>
      </c>
      <c r="K14" s="399"/>
      <c r="L14" s="402"/>
      <c r="M14" s="390"/>
      <c r="N14" s="390"/>
      <c r="O14" s="401"/>
      <c r="P14" s="3858"/>
      <c r="Q14" s="464">
        <f t="shared" si="6"/>
        <v>111</v>
      </c>
      <c r="R14" s="461" t="s">
        <v>1005</v>
      </c>
      <c r="S14" s="462">
        <f t="shared" si="0"/>
        <v>100</v>
      </c>
      <c r="T14" s="461" t="s">
        <v>1005</v>
      </c>
      <c r="U14" s="462">
        <f t="shared" si="1"/>
        <v>100</v>
      </c>
      <c r="V14" s="461" t="s">
        <v>1005</v>
      </c>
      <c r="W14" s="462">
        <f t="shared" si="2"/>
        <v>100</v>
      </c>
      <c r="X14" s="463"/>
      <c r="Y14" s="3776"/>
      <c r="Z14" s="481">
        <f t="shared" si="7"/>
        <v>111</v>
      </c>
      <c r="AA14" s="480">
        <f t="shared" si="3"/>
        <v>1</v>
      </c>
      <c r="AB14" s="480">
        <f t="shared" si="4"/>
        <v>1</v>
      </c>
      <c r="AC14" s="480">
        <f t="shared" si="5"/>
        <v>1</v>
      </c>
    </row>
    <row r="15" spans="1:29" ht="57">
      <c r="A15" s="257" t="s">
        <v>1016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60" t="s">
        <v>1017</v>
      </c>
      <c r="Q15" s="395" t="str">
        <f t="shared" si="6"/>
        <v>产业集聚程度</v>
      </c>
      <c r="R15" s="465" t="s">
        <v>1005</v>
      </c>
      <c r="S15" s="466">
        <f t="shared" si="0"/>
        <v>100</v>
      </c>
      <c r="T15" s="465" t="s">
        <v>1005</v>
      </c>
      <c r="U15" s="466">
        <f t="shared" si="1"/>
        <v>100</v>
      </c>
      <c r="V15" s="465" t="s">
        <v>1005</v>
      </c>
      <c r="W15" s="466">
        <f t="shared" si="2"/>
        <v>100</v>
      </c>
      <c r="X15" s="460"/>
      <c r="Y15" s="3860" t="s">
        <v>1017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61"/>
      <c r="Q16" s="395"/>
      <c r="R16" s="465"/>
      <c r="S16" s="466"/>
      <c r="T16" s="465"/>
      <c r="U16" s="466"/>
      <c r="V16" s="465"/>
      <c r="W16" s="466"/>
      <c r="X16" s="460"/>
      <c r="Y16" s="3861"/>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61"/>
      <c r="Q17" s="395" t="str">
        <f>B17</f>
        <v>交通便捷度</v>
      </c>
      <c r="R17" s="465" t="s">
        <v>1005</v>
      </c>
      <c r="S17" s="466">
        <f>F17</f>
        <v>100</v>
      </c>
      <c r="T17" s="465" t="s">
        <v>1005</v>
      </c>
      <c r="U17" s="466">
        <f>H17</f>
        <v>100</v>
      </c>
      <c r="V17" s="465" t="s">
        <v>1005</v>
      </c>
      <c r="W17" s="466">
        <f>J17</f>
        <v>100</v>
      </c>
      <c r="X17" s="460"/>
      <c r="Y17" s="3861"/>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61"/>
      <c r="Q18" s="395"/>
      <c r="R18" s="465"/>
      <c r="S18" s="466"/>
      <c r="T18" s="465"/>
      <c r="U18" s="466"/>
      <c r="V18" s="465"/>
      <c r="W18" s="466"/>
      <c r="X18" s="460"/>
      <c r="Y18" s="3861"/>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61"/>
      <c r="Q19" s="395" t="str">
        <f>B19</f>
        <v>公共配套设施</v>
      </c>
      <c r="R19" s="465" t="s">
        <v>1005</v>
      </c>
      <c r="S19" s="466">
        <f>F19</f>
        <v>100</v>
      </c>
      <c r="T19" s="465" t="s">
        <v>1005</v>
      </c>
      <c r="U19" s="466">
        <f>H19</f>
        <v>100</v>
      </c>
      <c r="V19" s="465" t="s">
        <v>1005</v>
      </c>
      <c r="W19" s="466">
        <f>J19</f>
        <v>100</v>
      </c>
      <c r="X19" s="460"/>
      <c r="Y19" s="3861"/>
      <c r="Z19" s="459" t="str">
        <f>Q19</f>
        <v>公共配套设施</v>
      </c>
      <c r="AA19" s="471">
        <f t="shared" si="3"/>
        <v>1</v>
      </c>
      <c r="AB19" s="471">
        <f t="shared" si="4"/>
        <v>1</v>
      </c>
      <c r="AC19" s="471">
        <f t="shared" si="5"/>
        <v>1</v>
      </c>
    </row>
    <row r="20" spans="1:29" ht="15">
      <c r="A20" s="264"/>
      <c r="B20" s="276"/>
      <c r="C20" s="266"/>
      <c r="D20" s="267"/>
      <c r="E20" s="517"/>
      <c r="F20" s="268"/>
      <c r="G20" s="518"/>
      <c r="H20" s="267"/>
      <c r="I20" s="517"/>
      <c r="J20" s="267"/>
      <c r="K20" s="404"/>
      <c r="L20" s="402"/>
      <c r="M20" s="390"/>
      <c r="N20" s="390"/>
      <c r="O20" s="401"/>
      <c r="P20" s="3861"/>
      <c r="Q20" s="395"/>
      <c r="R20" s="465"/>
      <c r="S20" s="466"/>
      <c r="T20" s="465"/>
      <c r="U20" s="466"/>
      <c r="V20" s="465"/>
      <c r="W20" s="466"/>
      <c r="X20" s="460"/>
      <c r="Y20" s="3861"/>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61"/>
      <c r="Q21" s="395" t="str">
        <f>B21</f>
        <v>基础设施水平</v>
      </c>
      <c r="R21" s="465" t="s">
        <v>1005</v>
      </c>
      <c r="S21" s="466">
        <f>F21</f>
        <v>100</v>
      </c>
      <c r="T21" s="465" t="s">
        <v>1005</v>
      </c>
      <c r="U21" s="466">
        <f>H21</f>
        <v>100</v>
      </c>
      <c r="V21" s="465" t="s">
        <v>1005</v>
      </c>
      <c r="W21" s="466">
        <f>J21</f>
        <v>100</v>
      </c>
      <c r="X21" s="460"/>
      <c r="Y21" s="3861"/>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61"/>
      <c r="Q22" s="395"/>
      <c r="R22" s="465"/>
      <c r="S22" s="466"/>
      <c r="T22" s="465"/>
      <c r="U22" s="466"/>
      <c r="V22" s="465"/>
      <c r="W22" s="466"/>
      <c r="X22" s="460"/>
      <c r="Y22" s="3861"/>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61"/>
      <c r="Q23" s="395" t="str">
        <f>B23</f>
        <v>环境质量</v>
      </c>
      <c r="R23" s="465" t="s">
        <v>1005</v>
      </c>
      <c r="S23" s="466">
        <f>F23</f>
        <v>100</v>
      </c>
      <c r="T23" s="465" t="s">
        <v>1005</v>
      </c>
      <c r="U23" s="466">
        <f>H23</f>
        <v>100</v>
      </c>
      <c r="V23" s="465" t="s">
        <v>1005</v>
      </c>
      <c r="W23" s="466">
        <f>J23</f>
        <v>100</v>
      </c>
      <c r="X23" s="460"/>
      <c r="Y23" s="3861"/>
      <c r="Z23" s="459" t="str">
        <f>Q23</f>
        <v>环境质量</v>
      </c>
      <c r="AA23" s="471">
        <f t="shared" si="3"/>
        <v>1</v>
      </c>
      <c r="AB23" s="471">
        <f t="shared" si="4"/>
        <v>1</v>
      </c>
      <c r="AC23" s="471">
        <f t="shared" si="5"/>
        <v>1</v>
      </c>
    </row>
    <row r="24" spans="1:29" ht="15">
      <c r="A24" s="264"/>
      <c r="B24" s="519"/>
      <c r="C24" s="266"/>
      <c r="D24" s="267"/>
      <c r="E24" s="517"/>
      <c r="F24" s="268"/>
      <c r="G24" s="518"/>
      <c r="H24" s="267"/>
      <c r="I24" s="517"/>
      <c r="J24" s="267"/>
      <c r="K24" s="404"/>
      <c r="L24" s="402"/>
      <c r="M24" s="390"/>
      <c r="N24" s="390"/>
      <c r="O24" s="401"/>
      <c r="P24" s="3861"/>
      <c r="Q24" s="395"/>
      <c r="R24" s="465"/>
      <c r="S24" s="466"/>
      <c r="T24" s="465"/>
      <c r="U24" s="466"/>
      <c r="V24" s="465"/>
      <c r="W24" s="466"/>
      <c r="X24" s="460"/>
      <c r="Y24" s="3861"/>
      <c r="Z24" s="459"/>
      <c r="AA24" s="471">
        <v>1</v>
      </c>
      <c r="AB24" s="471">
        <v>1</v>
      </c>
      <c r="AC24" s="471">
        <v>1</v>
      </c>
    </row>
    <row r="25" spans="1:29" ht="15">
      <c r="A25" s="225"/>
      <c r="B25" s="520">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61"/>
      <c r="Q25" s="395">
        <f>B25</f>
        <v>111</v>
      </c>
      <c r="R25" s="465" t="s">
        <v>1005</v>
      </c>
      <c r="S25" s="466">
        <f>F25</f>
        <v>100</v>
      </c>
      <c r="T25" s="465" t="s">
        <v>1005</v>
      </c>
      <c r="U25" s="466">
        <f>H25</f>
        <v>100</v>
      </c>
      <c r="V25" s="465" t="s">
        <v>1005</v>
      </c>
      <c r="W25" s="466">
        <f>J25</f>
        <v>100</v>
      </c>
      <c r="X25" s="460"/>
      <c r="Y25" s="3861"/>
      <c r="Z25" s="459">
        <f>Q25</f>
        <v>111</v>
      </c>
      <c r="AA25" s="471">
        <f t="shared" si="3"/>
        <v>1</v>
      </c>
      <c r="AB25" s="471">
        <f t="shared" si="4"/>
        <v>1</v>
      </c>
      <c r="AC25" s="471">
        <f t="shared" si="5"/>
        <v>1</v>
      </c>
    </row>
    <row r="26" spans="1:29" ht="15">
      <c r="A26" s="264"/>
      <c r="B26" s="520">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61"/>
      <c r="Q26" s="395">
        <f t="shared" ref="Q26:Q40" si="8">B26</f>
        <v>111</v>
      </c>
      <c r="R26" s="465" t="s">
        <v>1005</v>
      </c>
      <c r="S26" s="466">
        <f>F26</f>
        <v>100</v>
      </c>
      <c r="T26" s="465" t="s">
        <v>1005</v>
      </c>
      <c r="U26" s="466">
        <f>H26</f>
        <v>100</v>
      </c>
      <c r="V26" s="465" t="s">
        <v>1005</v>
      </c>
      <c r="W26" s="466">
        <f>J26</f>
        <v>100</v>
      </c>
      <c r="X26" s="460"/>
      <c r="Y26" s="3861"/>
      <c r="Z26" s="459">
        <f>Q26</f>
        <v>111</v>
      </c>
      <c r="AA26" s="471">
        <f t="shared" si="3"/>
        <v>1</v>
      </c>
      <c r="AB26" s="471">
        <f t="shared" si="4"/>
        <v>1</v>
      </c>
      <c r="AC26" s="471">
        <f t="shared" si="5"/>
        <v>1</v>
      </c>
    </row>
    <row r="27" spans="1:29" s="199" customFormat="1" ht="15">
      <c r="A27" s="288"/>
      <c r="B27" s="520">
        <v>111</v>
      </c>
      <c r="C27" s="255"/>
      <c r="D27" s="521">
        <v>100</v>
      </c>
      <c r="E27" s="255"/>
      <c r="F27" s="522">
        <f>SUMIF(84:84,E27,85:85)-SUMIF(84:84,C27,85:85)+100</f>
        <v>100</v>
      </c>
      <c r="G27" s="255"/>
      <c r="H27" s="521">
        <f>SUMIF(84:84,G27,85:85)-SUMIF(84:84,C27,85:85)+100</f>
        <v>100</v>
      </c>
      <c r="I27" s="255"/>
      <c r="J27" s="521">
        <f>SUMIF(84:84,I27,85:85)-SUMIF(84:84,C27,85:85)+100</f>
        <v>100</v>
      </c>
      <c r="K27" s="399"/>
      <c r="L27" s="392"/>
      <c r="M27" s="393"/>
      <c r="N27" s="393"/>
      <c r="O27" s="394"/>
      <c r="P27" s="3861"/>
      <c r="Q27" s="464">
        <f t="shared" si="8"/>
        <v>111</v>
      </c>
      <c r="R27" s="461" t="s">
        <v>1005</v>
      </c>
      <c r="S27" s="462">
        <f>F27</f>
        <v>100</v>
      </c>
      <c r="T27" s="461" t="s">
        <v>1005</v>
      </c>
      <c r="U27" s="462">
        <f>H27</f>
        <v>100</v>
      </c>
      <c r="V27" s="461" t="s">
        <v>1005</v>
      </c>
      <c r="W27" s="462">
        <f>J27</f>
        <v>100</v>
      </c>
      <c r="X27" s="463"/>
      <c r="Y27" s="3861"/>
      <c r="Z27" s="481">
        <f>Q27</f>
        <v>111</v>
      </c>
      <c r="AA27" s="471">
        <f t="shared" si="3"/>
        <v>1</v>
      </c>
      <c r="AB27" s="471">
        <f t="shared" si="4"/>
        <v>1</v>
      </c>
      <c r="AC27" s="471">
        <f t="shared" si="5"/>
        <v>1</v>
      </c>
    </row>
    <row r="28" spans="1:29" ht="15">
      <c r="A28" s="523"/>
      <c r="B28" s="520">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61"/>
      <c r="Q28" s="395">
        <f t="shared" si="8"/>
        <v>111</v>
      </c>
      <c r="R28" s="465" t="s">
        <v>1005</v>
      </c>
      <c r="S28" s="466">
        <f t="shared" ref="S28:S40" si="9">F28</f>
        <v>100</v>
      </c>
      <c r="T28" s="465" t="s">
        <v>1005</v>
      </c>
      <c r="U28" s="466">
        <f t="shared" ref="U28:U40" si="10">H28</f>
        <v>100</v>
      </c>
      <c r="V28" s="465" t="s">
        <v>1005</v>
      </c>
      <c r="W28" s="466">
        <f t="shared" ref="W28:W40" si="11">J28</f>
        <v>100</v>
      </c>
      <c r="X28" s="460"/>
      <c r="Y28" s="3861"/>
      <c r="Z28" s="459">
        <f t="shared" ref="Z28:Z40" si="12">Q28</f>
        <v>111</v>
      </c>
      <c r="AA28" s="471">
        <f t="shared" si="3"/>
        <v>1</v>
      </c>
      <c r="AB28" s="471">
        <f t="shared" si="4"/>
        <v>1</v>
      </c>
      <c r="AC28" s="471">
        <f t="shared" si="5"/>
        <v>1</v>
      </c>
    </row>
    <row r="29" spans="1:29" ht="15">
      <c r="A29" s="292" t="s">
        <v>1029</v>
      </c>
      <c r="B29" s="293" t="s">
        <v>2473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62" t="s">
        <v>1028</v>
      </c>
      <c r="Q29" s="395" t="str">
        <f t="shared" si="8"/>
        <v>建筑类型</v>
      </c>
      <c r="R29" s="465" t="s">
        <v>1005</v>
      </c>
      <c r="S29" s="466">
        <f t="shared" si="9"/>
        <v>100</v>
      </c>
      <c r="T29" s="465" t="s">
        <v>1005</v>
      </c>
      <c r="U29" s="466">
        <f t="shared" si="10"/>
        <v>100</v>
      </c>
      <c r="V29" s="465" t="s">
        <v>1005</v>
      </c>
      <c r="W29" s="466">
        <f t="shared" si="11"/>
        <v>100</v>
      </c>
      <c r="X29" s="460"/>
      <c r="Y29" s="3863" t="s">
        <v>1028</v>
      </c>
      <c r="Z29" s="459" t="str">
        <f t="shared" si="12"/>
        <v>建筑类型</v>
      </c>
      <c r="AA29" s="471">
        <f t="shared" si="3"/>
        <v>1</v>
      </c>
      <c r="AB29" s="471">
        <f t="shared" si="4"/>
        <v>1</v>
      </c>
      <c r="AC29" s="471">
        <f t="shared" si="5"/>
        <v>1</v>
      </c>
    </row>
    <row r="30" spans="1:29" s="201" customFormat="1" ht="15">
      <c r="A30" s="297"/>
      <c r="B30" s="298" t="s">
        <v>2474</v>
      </c>
      <c r="C30" s="251"/>
      <c r="D30" s="246">
        <v>100</v>
      </c>
      <c r="E30" s="513"/>
      <c r="F30" s="524" t="e">
        <f>LOOKUP(E30,91:91,92:92)-LOOKUP(C30,91:91,92:92)+100</f>
        <v>#N/A</v>
      </c>
      <c r="G30" s="512"/>
      <c r="H30" s="246" t="e">
        <f>LOOKUP(G30,91:91,92:92)-LOOKUP(C30,91:91,92:92)+100</f>
        <v>#N/A</v>
      </c>
      <c r="I30" s="512"/>
      <c r="J30" s="246" t="e">
        <f>LOOKUP(I30,91:91,92:92)-LOOKUP(C30,91:91,92:92)+100</f>
        <v>#N/A</v>
      </c>
      <c r="K30" s="399"/>
      <c r="L30" s="400"/>
      <c r="M30" s="407"/>
      <c r="N30" s="407"/>
      <c r="O30" s="408"/>
      <c r="P30" s="3863"/>
      <c r="Q30" s="467" t="str">
        <f t="shared" si="8"/>
        <v>项目建筑规模</v>
      </c>
      <c r="R30" s="468" t="s">
        <v>1005</v>
      </c>
      <c r="S30" s="469" t="e">
        <f t="shared" si="9"/>
        <v>#N/A</v>
      </c>
      <c r="T30" s="468" t="s">
        <v>1005</v>
      </c>
      <c r="U30" s="469" t="e">
        <f t="shared" si="10"/>
        <v>#N/A</v>
      </c>
      <c r="V30" s="468" t="s">
        <v>1005</v>
      </c>
      <c r="W30" s="469" t="e">
        <f t="shared" si="11"/>
        <v>#N/A</v>
      </c>
      <c r="X30" s="470"/>
      <c r="Y30" s="3863"/>
      <c r="Z30" s="482" t="str">
        <f t="shared" si="12"/>
        <v>项目建筑规模</v>
      </c>
      <c r="AA30" s="471" t="e">
        <f t="shared" si="3"/>
        <v>#N/A</v>
      </c>
      <c r="AB30" s="471" t="e">
        <f t="shared" si="4"/>
        <v>#N/A</v>
      </c>
      <c r="AC30" s="471" t="e">
        <f t="shared" si="5"/>
        <v>#N/A</v>
      </c>
    </row>
    <row r="31" spans="1:29" ht="15">
      <c r="A31" s="302"/>
      <c r="B31" s="298" t="s">
        <v>2475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63"/>
      <c r="Q31" s="395" t="str">
        <f t="shared" si="8"/>
        <v>建筑结构</v>
      </c>
      <c r="R31" s="465" t="s">
        <v>1005</v>
      </c>
      <c r="S31" s="466">
        <f t="shared" si="9"/>
        <v>100</v>
      </c>
      <c r="T31" s="465" t="s">
        <v>1005</v>
      </c>
      <c r="U31" s="466">
        <f t="shared" si="10"/>
        <v>100</v>
      </c>
      <c r="V31" s="465" t="s">
        <v>1005</v>
      </c>
      <c r="W31" s="466">
        <f t="shared" si="11"/>
        <v>100</v>
      </c>
      <c r="X31" s="460"/>
      <c r="Y31" s="3863"/>
      <c r="Z31" s="459" t="str">
        <f t="shared" si="12"/>
        <v>建筑结构</v>
      </c>
      <c r="AA31" s="471">
        <f t="shared" si="3"/>
        <v>1</v>
      </c>
      <c r="AB31" s="471">
        <f t="shared" si="4"/>
        <v>1</v>
      </c>
      <c r="AC31" s="471">
        <f t="shared" si="5"/>
        <v>1</v>
      </c>
    </row>
    <row r="32" spans="1:29" ht="15">
      <c r="A32" s="302"/>
      <c r="B32" s="298" t="s">
        <v>2477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63"/>
      <c r="Q32" s="395" t="str">
        <f t="shared" si="8"/>
        <v>公共部分装修</v>
      </c>
      <c r="R32" s="465" t="s">
        <v>1005</v>
      </c>
      <c r="S32" s="466">
        <f t="shared" si="9"/>
        <v>100</v>
      </c>
      <c r="T32" s="465" t="s">
        <v>1005</v>
      </c>
      <c r="U32" s="466">
        <f t="shared" si="10"/>
        <v>100</v>
      </c>
      <c r="V32" s="465" t="s">
        <v>1005</v>
      </c>
      <c r="W32" s="466">
        <f t="shared" si="11"/>
        <v>100</v>
      </c>
      <c r="X32" s="460"/>
      <c r="Y32" s="3863"/>
      <c r="Z32" s="459" t="str">
        <f t="shared" si="12"/>
        <v>公共部分装修</v>
      </c>
      <c r="AA32" s="471">
        <f t="shared" si="3"/>
        <v>1</v>
      </c>
      <c r="AB32" s="471">
        <f t="shared" si="4"/>
        <v>1</v>
      </c>
      <c r="AC32" s="471">
        <f t="shared" si="5"/>
        <v>1</v>
      </c>
    </row>
    <row r="33" spans="1:29" ht="15">
      <c r="A33" s="302"/>
      <c r="B33" s="298" t="s">
        <v>2478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63"/>
      <c r="Q33" s="395" t="str">
        <f t="shared" si="8"/>
        <v>成新度</v>
      </c>
      <c r="R33" s="465" t="s">
        <v>1005</v>
      </c>
      <c r="S33" s="466" t="e">
        <f t="shared" si="9"/>
        <v>#N/A</v>
      </c>
      <c r="T33" s="465" t="s">
        <v>1005</v>
      </c>
      <c r="U33" s="466" t="e">
        <f t="shared" si="10"/>
        <v>#N/A</v>
      </c>
      <c r="V33" s="465" t="s">
        <v>1005</v>
      </c>
      <c r="W33" s="466" t="e">
        <f t="shared" si="11"/>
        <v>#N/A</v>
      </c>
      <c r="X33" s="460"/>
      <c r="Y33" s="3863"/>
      <c r="Z33" s="459" t="str">
        <f t="shared" si="12"/>
        <v>成新度</v>
      </c>
      <c r="AA33" s="471" t="e">
        <f t="shared" si="3"/>
        <v>#N/A</v>
      </c>
      <c r="AB33" s="471" t="e">
        <f t="shared" si="4"/>
        <v>#N/A</v>
      </c>
      <c r="AC33" s="471" t="e">
        <f t="shared" si="5"/>
        <v>#N/A</v>
      </c>
    </row>
    <row r="34" spans="1:29" s="199" customFormat="1" ht="15">
      <c r="A34" s="305"/>
      <c r="B34" s="298" t="s">
        <v>2479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63"/>
      <c r="Q34" s="464" t="str">
        <f t="shared" si="8"/>
        <v>物业管理</v>
      </c>
      <c r="R34" s="461" t="s">
        <v>1005</v>
      </c>
      <c r="S34" s="462">
        <f t="shared" si="9"/>
        <v>100</v>
      </c>
      <c r="T34" s="461" t="s">
        <v>1005</v>
      </c>
      <c r="U34" s="462">
        <f t="shared" si="10"/>
        <v>100</v>
      </c>
      <c r="V34" s="461" t="s">
        <v>1005</v>
      </c>
      <c r="W34" s="462">
        <f t="shared" si="11"/>
        <v>100</v>
      </c>
      <c r="X34" s="463"/>
      <c r="Y34" s="3863"/>
      <c r="Z34" s="481" t="str">
        <f t="shared" si="12"/>
        <v>物业管理</v>
      </c>
      <c r="AA34" s="480">
        <f t="shared" si="3"/>
        <v>1</v>
      </c>
      <c r="AB34" s="480">
        <f t="shared" si="4"/>
        <v>1</v>
      </c>
      <c r="AC34" s="480">
        <f t="shared" si="5"/>
        <v>1</v>
      </c>
    </row>
    <row r="35" spans="1:29" ht="15">
      <c r="A35" s="302"/>
      <c r="B35" s="525" t="s">
        <v>2480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63" t="s">
        <v>1028</v>
      </c>
      <c r="Q35" s="395" t="str">
        <f t="shared" si="8"/>
        <v>市政基础设施</v>
      </c>
      <c r="R35" s="465" t="s">
        <v>1005</v>
      </c>
      <c r="S35" s="466">
        <f t="shared" si="9"/>
        <v>100</v>
      </c>
      <c r="T35" s="465" t="s">
        <v>1005</v>
      </c>
      <c r="U35" s="466">
        <f t="shared" si="10"/>
        <v>100</v>
      </c>
      <c r="V35" s="465" t="s">
        <v>1005</v>
      </c>
      <c r="W35" s="466">
        <f t="shared" si="11"/>
        <v>100</v>
      </c>
      <c r="X35" s="460"/>
      <c r="Y35" s="3863" t="s">
        <v>1028</v>
      </c>
      <c r="Z35" s="459" t="str">
        <f t="shared" si="12"/>
        <v>市政基础设施</v>
      </c>
      <c r="AA35" s="471">
        <f t="shared" si="3"/>
        <v>1</v>
      </c>
      <c r="AB35" s="471">
        <f t="shared" si="4"/>
        <v>1</v>
      </c>
      <c r="AC35" s="471">
        <f t="shared" si="5"/>
        <v>1</v>
      </c>
    </row>
    <row r="36" spans="1:29" ht="15">
      <c r="A36" s="302"/>
      <c r="B36" s="298" t="s">
        <v>2483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63"/>
      <c r="Q36" s="395" t="str">
        <f t="shared" si="8"/>
        <v>内部装修</v>
      </c>
      <c r="R36" s="465" t="s">
        <v>1005</v>
      </c>
      <c r="S36" s="466">
        <f t="shared" si="9"/>
        <v>100</v>
      </c>
      <c r="T36" s="465" t="s">
        <v>1005</v>
      </c>
      <c r="U36" s="466">
        <f t="shared" si="10"/>
        <v>100</v>
      </c>
      <c r="V36" s="465" t="s">
        <v>1005</v>
      </c>
      <c r="W36" s="466">
        <f t="shared" si="11"/>
        <v>100</v>
      </c>
      <c r="X36" s="460"/>
      <c r="Y36" s="3863"/>
      <c r="Z36" s="459" t="str">
        <f t="shared" si="12"/>
        <v>内部装修</v>
      </c>
      <c r="AA36" s="471">
        <f t="shared" si="3"/>
        <v>1</v>
      </c>
      <c r="AB36" s="471">
        <f t="shared" si="4"/>
        <v>1</v>
      </c>
      <c r="AC36" s="471">
        <f t="shared" si="5"/>
        <v>1</v>
      </c>
    </row>
    <row r="37" spans="1:29" ht="15">
      <c r="A37" s="302"/>
      <c r="B37" s="298" t="s">
        <v>2565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63"/>
      <c r="Q37" s="395" t="str">
        <f t="shared" si="8"/>
        <v>内部装修状况</v>
      </c>
      <c r="R37" s="465" t="s">
        <v>1005</v>
      </c>
      <c r="S37" s="466">
        <f t="shared" si="9"/>
        <v>100</v>
      </c>
      <c r="T37" s="465" t="s">
        <v>1005</v>
      </c>
      <c r="U37" s="466">
        <f t="shared" si="10"/>
        <v>100</v>
      </c>
      <c r="V37" s="465" t="s">
        <v>1005</v>
      </c>
      <c r="W37" s="466">
        <f t="shared" si="11"/>
        <v>100</v>
      </c>
      <c r="X37" s="460"/>
      <c r="Y37" s="3863"/>
      <c r="Z37" s="459" t="str">
        <f t="shared" si="12"/>
        <v>内部装修状况</v>
      </c>
      <c r="AA37" s="471">
        <f t="shared" si="3"/>
        <v>1</v>
      </c>
      <c r="AB37" s="471">
        <f t="shared" si="4"/>
        <v>1</v>
      </c>
      <c r="AC37" s="471">
        <f t="shared" si="5"/>
        <v>1</v>
      </c>
    </row>
    <row r="38" spans="1:29" s="201" customFormat="1" ht="15">
      <c r="A38" s="297"/>
      <c r="B38" s="520">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63"/>
      <c r="Q38" s="467">
        <f t="shared" si="8"/>
        <v>111</v>
      </c>
      <c r="R38" s="468" t="s">
        <v>1005</v>
      </c>
      <c r="S38" s="469">
        <f t="shared" si="9"/>
        <v>100</v>
      </c>
      <c r="T38" s="468" t="s">
        <v>1005</v>
      </c>
      <c r="U38" s="469">
        <f t="shared" si="10"/>
        <v>100</v>
      </c>
      <c r="V38" s="468" t="s">
        <v>1005</v>
      </c>
      <c r="W38" s="469">
        <f t="shared" si="11"/>
        <v>100</v>
      </c>
      <c r="X38" s="470"/>
      <c r="Y38" s="3863"/>
      <c r="Z38" s="482">
        <f t="shared" si="12"/>
        <v>111</v>
      </c>
      <c r="AA38" s="471">
        <f t="shared" si="3"/>
        <v>1</v>
      </c>
      <c r="AB38" s="471">
        <f t="shared" si="4"/>
        <v>1</v>
      </c>
      <c r="AC38" s="471">
        <f t="shared" si="5"/>
        <v>1</v>
      </c>
    </row>
    <row r="39" spans="1:29" ht="15">
      <c r="A39" s="302"/>
      <c r="B39" s="520">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63"/>
      <c r="Q39" s="395">
        <f t="shared" si="8"/>
        <v>111</v>
      </c>
      <c r="R39" s="465" t="s">
        <v>1005</v>
      </c>
      <c r="S39" s="466">
        <f t="shared" si="9"/>
        <v>100</v>
      </c>
      <c r="T39" s="465" t="s">
        <v>1005</v>
      </c>
      <c r="U39" s="466">
        <f t="shared" si="10"/>
        <v>100</v>
      </c>
      <c r="V39" s="465" t="s">
        <v>1005</v>
      </c>
      <c r="W39" s="466">
        <f t="shared" si="11"/>
        <v>100</v>
      </c>
      <c r="X39" s="460"/>
      <c r="Y39" s="3863"/>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74"/>
      <c r="Q40" s="395">
        <f t="shared" si="8"/>
        <v>111</v>
      </c>
      <c r="R40" s="465" t="s">
        <v>1005</v>
      </c>
      <c r="S40" s="466">
        <f t="shared" si="9"/>
        <v>100</v>
      </c>
      <c r="T40" s="465" t="s">
        <v>1005</v>
      </c>
      <c r="U40" s="466">
        <f t="shared" si="10"/>
        <v>100</v>
      </c>
      <c r="V40" s="465" t="s">
        <v>1005</v>
      </c>
      <c r="W40" s="466">
        <f t="shared" si="11"/>
        <v>100</v>
      </c>
      <c r="X40" s="460"/>
      <c r="Y40" s="3974"/>
      <c r="Z40" s="459">
        <f t="shared" si="12"/>
        <v>111</v>
      </c>
      <c r="AA40" s="471">
        <f t="shared" si="3"/>
        <v>1</v>
      </c>
      <c r="AB40" s="471">
        <f t="shared" si="4"/>
        <v>1</v>
      </c>
      <c r="AC40" s="471">
        <f t="shared" si="5"/>
        <v>1</v>
      </c>
    </row>
    <row r="41" spans="1:29" ht="15">
      <c r="A41" s="312" t="s">
        <v>2484</v>
      </c>
      <c r="B41" s="313"/>
      <c r="C41" s="314" t="s">
        <v>138</v>
      </c>
      <c r="D41" s="315"/>
      <c r="E41" s="316"/>
      <c r="F41" s="317"/>
      <c r="G41" s="318"/>
      <c r="H41" s="319"/>
      <c r="I41" s="316"/>
      <c r="J41" s="319"/>
      <c r="K41" s="409"/>
      <c r="L41" s="410"/>
      <c r="M41" s="340"/>
      <c r="N41" s="390"/>
      <c r="O41" s="340"/>
      <c r="P41" s="3858" t="str">
        <f>A41</f>
        <v>成交单价（元/平方米）</v>
      </c>
      <c r="Q41" s="3858"/>
      <c r="R41" s="3973">
        <f>E41</f>
        <v>0</v>
      </c>
      <c r="S41" s="3973"/>
      <c r="T41" s="3973">
        <f>G41</f>
        <v>0</v>
      </c>
      <c r="U41" s="3973"/>
      <c r="V41" s="3973">
        <f>I41</f>
        <v>0</v>
      </c>
      <c r="W41" s="3973"/>
      <c r="X41" s="342"/>
      <c r="Y41" s="483"/>
      <c r="Z41" s="342"/>
      <c r="AA41" s="342"/>
      <c r="AB41" s="342"/>
      <c r="AC41" s="342"/>
    </row>
    <row r="42" spans="1:29" ht="15">
      <c r="A42" s="320" t="s">
        <v>1037</v>
      </c>
      <c r="B42" s="321"/>
      <c r="C42" s="322" t="e">
        <f>R43</f>
        <v>#DIV/0!</v>
      </c>
      <c r="D42" s="323" t="s">
        <v>1038</v>
      </c>
      <c r="E42" s="324" t="e">
        <f>R42</f>
        <v>#DIV/0!</v>
      </c>
      <c r="F42" s="325"/>
      <c r="G42" s="322" t="e">
        <f>T42</f>
        <v>#DIV/0!</v>
      </c>
      <c r="H42" s="325"/>
      <c r="I42" s="324" t="e">
        <f>V42</f>
        <v>#DIV/0!</v>
      </c>
      <c r="J42" s="325"/>
      <c r="K42" s="411">
        <f>F42+H42+J42</f>
        <v>0</v>
      </c>
      <c r="L42" s="410"/>
      <c r="M42" s="340"/>
      <c r="N42" s="390"/>
      <c r="O42" s="340"/>
      <c r="P42" s="3858" t="str">
        <f>A42</f>
        <v>比较价格（元/平方米）</v>
      </c>
      <c r="Q42" s="3858"/>
      <c r="R42" s="3973" t="e">
        <f>IF(F1="售价",ROUND(PRODUCT(R41,AA7:AA40),0),ROUND(PRODUCT(R41,AA7:AA40),1))</f>
        <v>#DIV/0!</v>
      </c>
      <c r="S42" s="3973"/>
      <c r="T42" s="3973" t="e">
        <f>IF(F1="售价",ROUND(PRODUCT(T41,AB7:AB40),0),ROUND(PRODUCT(T41,AB7:AB40),1))</f>
        <v>#DIV/0!</v>
      </c>
      <c r="U42" s="3973"/>
      <c r="V42" s="3973" t="e">
        <f>IF(F1="售价",ROUND(PRODUCT(V41,AC7:AC40),0),ROUND(PRODUCT(V41,AC7:AC40),1))</f>
        <v>#DIV/0!</v>
      </c>
      <c r="W42" s="3973"/>
      <c r="X42" s="342"/>
      <c r="Y42" s="342"/>
      <c r="Z42" s="342"/>
      <c r="AA42" s="342"/>
      <c r="AB42" s="342"/>
      <c r="AC42" s="342"/>
    </row>
    <row r="43" spans="1:29" ht="15">
      <c r="A43" s="326" t="s">
        <v>1039</v>
      </c>
      <c r="B43" s="327"/>
      <c r="C43" s="328" t="e">
        <f>R43</f>
        <v>#DIV/0!</v>
      </c>
      <c r="D43" s="328"/>
      <c r="E43" s="328"/>
      <c r="F43" s="328"/>
      <c r="G43" s="328"/>
      <c r="H43" s="328"/>
      <c r="I43" s="328"/>
      <c r="J43" s="328"/>
      <c r="K43" s="412"/>
      <c r="L43" s="410"/>
      <c r="M43" s="340"/>
      <c r="N43" s="340"/>
      <c r="O43" s="340"/>
      <c r="P43" s="3884" t="str">
        <f>A43</f>
        <v>估价对象XX用房的比较价格（楼面单价，元/平方米）</v>
      </c>
      <c r="Q43" s="3885"/>
      <c r="R43" s="3975" t="e">
        <f>IF(F1="售价",ROUND(IF(D42="简单平均",AVERAGE(R42:V42),R42*F42+T42*H42+V42*J42),0),ROUND(IF(D42="简单平均",AVERAGE(R42:V42),R42*F42+T42*H42+V42*J42),1))</f>
        <v>#DIV/0!</v>
      </c>
      <c r="S43" s="3975"/>
      <c r="T43" s="3975"/>
      <c r="U43" s="3975"/>
      <c r="V43" s="3975"/>
      <c r="W43" s="3975"/>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1003</v>
      </c>
      <c r="B52" s="346"/>
      <c r="C52" s="347" t="str">
        <f>YEAR(C7)&amp;"-"&amp;MONTH(C7)</f>
        <v>2023-12</v>
      </c>
      <c r="D52" s="348">
        <f>EDATE(C52,-1)</f>
        <v>45231</v>
      </c>
      <c r="E52" s="348">
        <f t="shared" ref="E52:O52" si="13">EDATE(D52,-1)</f>
        <v>45200</v>
      </c>
      <c r="F52" s="348">
        <f t="shared" si="13"/>
        <v>45170</v>
      </c>
      <c r="G52" s="348">
        <f t="shared" si="13"/>
        <v>45139</v>
      </c>
      <c r="H52" s="348">
        <f t="shared" si="13"/>
        <v>45108</v>
      </c>
      <c r="I52" s="348">
        <f t="shared" si="13"/>
        <v>45078</v>
      </c>
      <c r="J52" s="348">
        <f t="shared" si="13"/>
        <v>45047</v>
      </c>
      <c r="K52" s="348">
        <f t="shared" si="13"/>
        <v>45017</v>
      </c>
      <c r="L52" s="348">
        <f t="shared" si="13"/>
        <v>44986</v>
      </c>
      <c r="M52" s="348">
        <f t="shared" si="13"/>
        <v>44958</v>
      </c>
      <c r="N52" s="348">
        <f t="shared" si="13"/>
        <v>44927</v>
      </c>
      <c r="O52" s="348">
        <f t="shared" si="13"/>
        <v>44896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1092</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1006</v>
      </c>
      <c r="B55" s="350"/>
      <c r="C55" s="358" t="s">
        <v>1007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1067</v>
      </c>
      <c r="B57" s="361" t="s">
        <v>1068</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1069</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1070</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27"/>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28"/>
      <c r="I68" s="528"/>
      <c r="J68" s="528"/>
      <c r="K68" s="528"/>
      <c r="L68" s="537"/>
      <c r="M68" s="538"/>
      <c r="N68" s="448"/>
      <c r="O68" s="448"/>
      <c r="P68" s="539"/>
      <c r="Q68" s="474"/>
      <c r="R68" s="475"/>
      <c r="S68" s="475"/>
      <c r="T68" s="475"/>
      <c r="U68" s="475"/>
      <c r="V68" s="475"/>
      <c r="W68" s="475"/>
      <c r="X68" s="475"/>
      <c r="Y68" s="475"/>
      <c r="Z68" s="475"/>
      <c r="AA68" s="475"/>
      <c r="AB68" s="475"/>
      <c r="AC68" s="475"/>
    </row>
    <row r="69" spans="1:29" s="201" customFormat="1" ht="15">
      <c r="A69" s="529"/>
      <c r="B69" s="530"/>
      <c r="C69" s="531"/>
      <c r="D69" s="531"/>
      <c r="E69" s="531"/>
      <c r="F69" s="531"/>
      <c r="G69" s="531"/>
      <c r="H69" s="532"/>
      <c r="I69" s="532"/>
      <c r="J69" s="532"/>
      <c r="K69" s="532"/>
      <c r="L69" s="532"/>
      <c r="M69" s="540"/>
      <c r="N69" s="448"/>
      <c r="O69" s="448"/>
      <c r="P69" s="449"/>
      <c r="Q69" s="474"/>
      <c r="R69" s="475"/>
      <c r="S69" s="475"/>
      <c r="T69" s="475"/>
      <c r="U69" s="475"/>
      <c r="V69" s="475"/>
      <c r="W69" s="475"/>
      <c r="X69" s="475"/>
      <c r="Y69" s="475"/>
      <c r="Z69" s="475"/>
      <c r="AA69" s="475"/>
      <c r="AB69" s="475"/>
      <c r="AC69" s="475"/>
    </row>
    <row r="70" spans="1:29">
      <c r="A70" s="360" t="s">
        <v>1071</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33"/>
      <c r="H86" s="533"/>
      <c r="I86" s="533"/>
      <c r="J86" s="533"/>
      <c r="K86" s="541"/>
      <c r="L86" s="542"/>
      <c r="M86" s="543"/>
      <c r="N86" s="436"/>
      <c r="O86" s="436"/>
      <c r="P86" s="437"/>
      <c r="Q86" s="426"/>
      <c r="R86" s="340"/>
      <c r="S86" s="340"/>
      <c r="T86" s="340"/>
      <c r="U86" s="340"/>
      <c r="V86" s="340"/>
      <c r="W86" s="340"/>
      <c r="X86" s="340"/>
      <c r="Y86" s="340"/>
      <c r="Z86" s="340"/>
      <c r="AA86" s="340"/>
      <c r="AB86" s="340"/>
      <c r="AC86" s="340"/>
    </row>
    <row r="87" spans="1:29" ht="15">
      <c r="A87" s="534"/>
      <c r="B87" s="530"/>
      <c r="C87" s="531"/>
      <c r="D87" s="531"/>
      <c r="E87" s="531"/>
      <c r="F87" s="531"/>
      <c r="G87" s="535"/>
      <c r="H87" s="535"/>
      <c r="I87" s="535"/>
      <c r="J87" s="535"/>
      <c r="K87" s="535"/>
      <c r="L87" s="535"/>
      <c r="M87" s="544"/>
      <c r="N87" s="439"/>
      <c r="O87" s="439"/>
      <c r="P87" s="437"/>
      <c r="Q87" s="426"/>
      <c r="R87" s="340"/>
      <c r="S87" s="340"/>
      <c r="T87" s="340"/>
      <c r="U87" s="340"/>
      <c r="V87" s="340"/>
      <c r="W87" s="340"/>
      <c r="X87" s="340"/>
      <c r="Y87" s="340"/>
      <c r="Z87" s="340"/>
      <c r="AA87" s="340"/>
      <c r="AB87" s="340"/>
      <c r="AC87" s="340"/>
    </row>
    <row r="88" spans="1:29">
      <c r="A88" s="360" t="s">
        <v>1079</v>
      </c>
      <c r="B88" s="361" t="s">
        <v>2473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2474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3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2477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2478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45"/>
      <c r="J98" s="545"/>
      <c r="K98" s="546"/>
      <c r="L98" s="547"/>
      <c r="M98" s="548"/>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2479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2480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2483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2566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33"/>
      <c r="H112" s="533"/>
      <c r="I112" s="533"/>
      <c r="J112" s="533"/>
      <c r="K112" s="359"/>
      <c r="L112" s="429"/>
      <c r="M112" s="543"/>
      <c r="N112" s="436"/>
      <c r="O112" s="436"/>
      <c r="P112" s="437"/>
      <c r="Q112" s="426"/>
      <c r="R112" s="340"/>
      <c r="S112" s="340"/>
      <c r="T112" s="340"/>
      <c r="U112" s="340"/>
      <c r="V112" s="340"/>
      <c r="W112" s="340"/>
      <c r="X112" s="340"/>
      <c r="Y112" s="340"/>
      <c r="Z112" s="340"/>
      <c r="AA112" s="340"/>
      <c r="AB112" s="340"/>
      <c r="AC112" s="340"/>
    </row>
    <row r="113" spans="1:29" ht="15">
      <c r="A113" s="534"/>
      <c r="B113" s="530"/>
      <c r="C113" s="531"/>
      <c r="D113" s="531"/>
      <c r="E113" s="531"/>
      <c r="F113" s="531"/>
      <c r="G113" s="535"/>
      <c r="H113" s="535"/>
      <c r="I113" s="535"/>
      <c r="J113" s="535"/>
      <c r="K113" s="535"/>
      <c r="L113" s="535"/>
      <c r="M113" s="544"/>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C37</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47" t="s">
        <v>994</v>
      </c>
      <c r="D4" s="3848"/>
      <c r="E4" s="3887" t="s">
        <v>995</v>
      </c>
      <c r="F4" s="3888"/>
      <c r="G4" s="3847" t="s">
        <v>996</v>
      </c>
      <c r="H4" s="3848"/>
      <c r="I4" s="3847" t="s">
        <v>997</v>
      </c>
      <c r="J4" s="3848"/>
      <c r="K4" s="388" t="s">
        <v>998</v>
      </c>
      <c r="L4" s="389"/>
      <c r="M4" s="390"/>
      <c r="N4" s="390"/>
      <c r="O4" s="390"/>
      <c r="P4" s="3877" t="s">
        <v>999</v>
      </c>
      <c r="Q4" s="3878"/>
      <c r="R4" s="3868" t="s">
        <v>995</v>
      </c>
      <c r="S4" s="3869"/>
      <c r="T4" s="3868" t="s">
        <v>996</v>
      </c>
      <c r="U4" s="3869"/>
      <c r="V4" s="3859" t="s">
        <v>997</v>
      </c>
      <c r="W4" s="3859"/>
      <c r="X4" s="460"/>
      <c r="Y4" s="3868" t="s">
        <v>999</v>
      </c>
      <c r="Z4" s="3869"/>
      <c r="AA4" s="3874" t="s">
        <v>995</v>
      </c>
      <c r="AB4" s="3875" t="s">
        <v>996</v>
      </c>
      <c r="AC4" s="3874" t="s">
        <v>997</v>
      </c>
    </row>
    <row r="5" spans="1:29" ht="15">
      <c r="A5" s="225"/>
      <c r="B5" s="226"/>
      <c r="C5" s="3849" t="s">
        <v>1000</v>
      </c>
      <c r="D5" s="3850"/>
      <c r="E5" s="3889" t="s">
        <v>1086</v>
      </c>
      <c r="F5" s="3890"/>
      <c r="G5" s="3849" t="s">
        <v>1087</v>
      </c>
      <c r="H5" s="3850"/>
      <c r="I5" s="3849" t="s">
        <v>1088</v>
      </c>
      <c r="J5" s="3850"/>
      <c r="K5" s="388"/>
      <c r="L5" s="389"/>
      <c r="M5" s="390"/>
      <c r="N5" s="390"/>
      <c r="O5" s="390"/>
      <c r="P5" s="3879"/>
      <c r="Q5" s="3880"/>
      <c r="R5" s="3870"/>
      <c r="S5" s="3871"/>
      <c r="T5" s="3870"/>
      <c r="U5" s="3871"/>
      <c r="V5" s="3859"/>
      <c r="W5" s="3859"/>
      <c r="X5" s="460"/>
      <c r="Y5" s="3870"/>
      <c r="Z5" s="3871"/>
      <c r="AA5" s="3875"/>
      <c r="AB5" s="3875"/>
      <c r="AC5" s="3875"/>
    </row>
    <row r="6" spans="1:29" ht="15">
      <c r="A6" s="227"/>
      <c r="B6" s="228"/>
      <c r="C6" s="3853" t="s">
        <v>1001</v>
      </c>
      <c r="D6" s="3854"/>
      <c r="E6" s="3891" t="s">
        <v>1001</v>
      </c>
      <c r="F6" s="3892"/>
      <c r="G6" s="3853" t="s">
        <v>1001</v>
      </c>
      <c r="H6" s="3854"/>
      <c r="I6" s="3853" t="s">
        <v>1001</v>
      </c>
      <c r="J6" s="3854"/>
      <c r="K6" s="388" t="s">
        <v>1002</v>
      </c>
      <c r="L6" s="389"/>
      <c r="M6" s="390"/>
      <c r="N6" s="390"/>
      <c r="O6" s="390"/>
      <c r="P6" s="3881"/>
      <c r="Q6" s="3882"/>
      <c r="R6" s="3870"/>
      <c r="S6" s="3871"/>
      <c r="T6" s="3872"/>
      <c r="U6" s="3873"/>
      <c r="V6" s="3859"/>
      <c r="W6" s="3859"/>
      <c r="X6" s="460"/>
      <c r="Y6" s="3872"/>
      <c r="Z6" s="3873"/>
      <c r="AA6" s="3876"/>
      <c r="AB6" s="3876"/>
      <c r="AC6" s="3876"/>
    </row>
    <row r="7" spans="1:29" s="199" customFormat="1" ht="15">
      <c r="A7" s="229"/>
      <c r="B7" s="230" t="s">
        <v>1003</v>
      </c>
      <c r="C7" s="231">
        <f>'数据-取费表'!B2</f>
        <v>45271</v>
      </c>
      <c r="D7" s="232">
        <v>100</v>
      </c>
      <c r="E7" s="233"/>
      <c r="F7" s="234">
        <f>SUMIF(46:46,YEAR(E7)&amp;"-"&amp;MONTH(E7),47:47)</f>
        <v>0</v>
      </c>
      <c r="G7" s="235"/>
      <c r="H7" s="232">
        <f>SUMIF(46:46,YEAR(G7)&amp;"-"&amp;MONTH(G7),47:47)</f>
        <v>0</v>
      </c>
      <c r="I7" s="235"/>
      <c r="J7" s="232">
        <f>SUMIF(46:46,YEAR(I7)&amp;"-"&amp;MONTH(I7),47:47)</f>
        <v>0</v>
      </c>
      <c r="K7" s="391"/>
      <c r="L7" s="392"/>
      <c r="M7" s="393"/>
      <c r="N7" s="393"/>
      <c r="O7" s="393"/>
      <c r="P7" s="3855" t="s">
        <v>1004</v>
      </c>
      <c r="Q7" s="3856"/>
      <c r="R7" s="461" t="s">
        <v>1005</v>
      </c>
      <c r="S7" s="462">
        <f t="shared" ref="S7:S14" si="0">F7</f>
        <v>0</v>
      </c>
      <c r="T7" s="461" t="s">
        <v>1005</v>
      </c>
      <c r="U7" s="462">
        <f t="shared" ref="U7:U14" si="1">H7</f>
        <v>0</v>
      </c>
      <c r="V7" s="461" t="s">
        <v>1005</v>
      </c>
      <c r="W7" s="462">
        <f t="shared" ref="W7:W14" si="2">J7</f>
        <v>0</v>
      </c>
      <c r="X7" s="463"/>
      <c r="Y7" s="3855" t="s">
        <v>1004</v>
      </c>
      <c r="Z7" s="3857"/>
      <c r="AA7" s="480" t="e">
        <f>D7/F7</f>
        <v>#DIV/0!</v>
      </c>
      <c r="AB7" s="480" t="e">
        <f>D7/H7</f>
        <v>#DIV/0!</v>
      </c>
      <c r="AC7" s="480" t="e">
        <f>D7/J7</f>
        <v>#DIV/0!</v>
      </c>
    </row>
    <row r="8" spans="1:29" s="199" customFormat="1" ht="15">
      <c r="A8" s="236"/>
      <c r="B8" s="237" t="s">
        <v>1006</v>
      </c>
      <c r="C8" s="238" t="s">
        <v>1007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55" t="s">
        <v>1009</v>
      </c>
      <c r="Q8" s="3857"/>
      <c r="R8" s="461" t="s">
        <v>1005</v>
      </c>
      <c r="S8" s="462">
        <f t="shared" si="0"/>
        <v>0</v>
      </c>
      <c r="T8" s="461" t="s">
        <v>1005</v>
      </c>
      <c r="U8" s="462">
        <f t="shared" si="1"/>
        <v>0</v>
      </c>
      <c r="V8" s="461" t="s">
        <v>1005</v>
      </c>
      <c r="W8" s="462">
        <f t="shared" si="2"/>
        <v>0</v>
      </c>
      <c r="X8" s="463"/>
      <c r="Y8" s="3855" t="s">
        <v>1009</v>
      </c>
      <c r="Z8" s="3857"/>
      <c r="AA8" s="480" t="e">
        <f t="shared" ref="AA8:AA34" si="3">D8/F8</f>
        <v>#DIV/0!</v>
      </c>
      <c r="AB8" s="480" t="e">
        <f t="shared" ref="AB8:AB34" si="4">D8/H8</f>
        <v>#DIV/0!</v>
      </c>
      <c r="AC8" s="480" t="e">
        <f t="shared" ref="AC8:AC34" si="5">D8/J8</f>
        <v>#DIV/0!</v>
      </c>
    </row>
    <row r="9" spans="1:29" s="199" customFormat="1" ht="15">
      <c r="A9" s="239"/>
      <c r="B9" s="240" t="s">
        <v>1010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58" t="s">
        <v>1011</v>
      </c>
      <c r="Q9" s="464" t="str">
        <f t="shared" ref="Q9:Q14" si="6">B9</f>
        <v>用途</v>
      </c>
      <c r="R9" s="461" t="s">
        <v>1005</v>
      </c>
      <c r="S9" s="462">
        <f t="shared" si="0"/>
        <v>100</v>
      </c>
      <c r="T9" s="461" t="s">
        <v>1005</v>
      </c>
      <c r="U9" s="462">
        <f t="shared" si="1"/>
        <v>100</v>
      </c>
      <c r="V9" s="461" t="s">
        <v>1005</v>
      </c>
      <c r="W9" s="462">
        <f t="shared" si="2"/>
        <v>100</v>
      </c>
      <c r="X9" s="463"/>
      <c r="Y9" s="3776"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58"/>
      <c r="Q10" s="464" t="str">
        <f t="shared" si="6"/>
        <v>土地使用年限（年）</v>
      </c>
      <c r="R10" s="461" t="s">
        <v>1005</v>
      </c>
      <c r="S10" s="462">
        <f t="shared" si="0"/>
        <v>100</v>
      </c>
      <c r="T10" s="461" t="s">
        <v>1005</v>
      </c>
      <c r="U10" s="462">
        <f t="shared" si="1"/>
        <v>100</v>
      </c>
      <c r="V10" s="461" t="s">
        <v>1005</v>
      </c>
      <c r="W10" s="462">
        <f t="shared" si="2"/>
        <v>100</v>
      </c>
      <c r="X10" s="463"/>
      <c r="Y10" s="3776"/>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58"/>
      <c r="Q11" s="464">
        <f t="shared" si="6"/>
        <v>111</v>
      </c>
      <c r="R11" s="461" t="s">
        <v>1005</v>
      </c>
      <c r="S11" s="462">
        <f t="shared" si="0"/>
        <v>100</v>
      </c>
      <c r="T11" s="461" t="s">
        <v>1005</v>
      </c>
      <c r="U11" s="462">
        <f t="shared" si="1"/>
        <v>100</v>
      </c>
      <c r="V11" s="461" t="s">
        <v>1005</v>
      </c>
      <c r="W11" s="462">
        <f t="shared" si="2"/>
        <v>100</v>
      </c>
      <c r="X11" s="463"/>
      <c r="Y11" s="3776"/>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58"/>
      <c r="Q12" s="464">
        <f t="shared" si="6"/>
        <v>111</v>
      </c>
      <c r="R12" s="461" t="s">
        <v>1005</v>
      </c>
      <c r="S12" s="462">
        <f t="shared" si="0"/>
        <v>100</v>
      </c>
      <c r="T12" s="461" t="s">
        <v>1005</v>
      </c>
      <c r="U12" s="462">
        <f t="shared" si="1"/>
        <v>100</v>
      </c>
      <c r="V12" s="461" t="s">
        <v>1005</v>
      </c>
      <c r="W12" s="462">
        <f t="shared" si="2"/>
        <v>100</v>
      </c>
      <c r="X12" s="463"/>
      <c r="Y12" s="3776"/>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58"/>
      <c r="Q13" s="464">
        <f t="shared" si="6"/>
        <v>111</v>
      </c>
      <c r="R13" s="461" t="s">
        <v>1005</v>
      </c>
      <c r="S13" s="462">
        <f t="shared" si="0"/>
        <v>100</v>
      </c>
      <c r="T13" s="461" t="s">
        <v>1005</v>
      </c>
      <c r="U13" s="462">
        <f t="shared" si="1"/>
        <v>100</v>
      </c>
      <c r="V13" s="461" t="s">
        <v>1005</v>
      </c>
      <c r="W13" s="462">
        <f t="shared" si="2"/>
        <v>100</v>
      </c>
      <c r="X13" s="463"/>
      <c r="Y13" s="3776"/>
      <c r="Z13" s="481">
        <f t="shared" si="7"/>
        <v>111</v>
      </c>
      <c r="AA13" s="480">
        <f t="shared" si="3"/>
        <v>1</v>
      </c>
      <c r="AB13" s="480">
        <f t="shared" si="4"/>
        <v>1</v>
      </c>
      <c r="AC13" s="480">
        <f t="shared" si="5"/>
        <v>1</v>
      </c>
    </row>
    <row r="14" spans="1:29" ht="114">
      <c r="A14" s="257" t="s">
        <v>1016</v>
      </c>
      <c r="B14" s="258" t="s">
        <v>227</v>
      </c>
      <c r="C14" s="259" t="str">
        <f>IF(B1="工业",估价对象房地状况!G4,估价对象房地状况!C6)</f>
        <v>估价对象周边道路状况、公共交通通达情况970、980、郊80、密6路等、停车便捷程度，综合评价交通便捷度一般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60" t="s">
        <v>1017</v>
      </c>
      <c r="Q14" s="395" t="str">
        <f t="shared" si="6"/>
        <v>交通便捷度</v>
      </c>
      <c r="R14" s="465" t="s">
        <v>1005</v>
      </c>
      <c r="S14" s="466">
        <f t="shared" si="0"/>
        <v>100</v>
      </c>
      <c r="T14" s="465" t="s">
        <v>1005</v>
      </c>
      <c r="U14" s="466">
        <f t="shared" si="1"/>
        <v>100</v>
      </c>
      <c r="V14" s="465" t="s">
        <v>1005</v>
      </c>
      <c r="W14" s="466">
        <f t="shared" si="2"/>
        <v>100</v>
      </c>
      <c r="X14" s="460"/>
      <c r="Y14" s="3860" t="s">
        <v>1017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61"/>
      <c r="Q15" s="395"/>
      <c r="R15" s="465"/>
      <c r="S15" s="466"/>
      <c r="T15" s="465"/>
      <c r="U15" s="466"/>
      <c r="V15" s="465"/>
      <c r="W15" s="466"/>
      <c r="X15" s="460"/>
      <c r="Y15" s="3861"/>
      <c r="Z15" s="459"/>
      <c r="AA15" s="471">
        <v>1</v>
      </c>
      <c r="AB15" s="471">
        <v>1</v>
      </c>
      <c r="AC15" s="471">
        <v>1</v>
      </c>
    </row>
    <row r="16" spans="1:29" ht="42.75">
      <c r="A16" s="264"/>
      <c r="B16" s="270" t="s">
        <v>229</v>
      </c>
      <c r="C16" s="271" t="str">
        <f>IF(B1="工业",估价对象房地状况!G5,估价对象房地状况!C7)</f>
        <v>估价对象所在区域公共配套设施齐备情况较差</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61"/>
      <c r="Q16" s="395" t="str">
        <f>B16</f>
        <v>公共配套设施</v>
      </c>
      <c r="R16" s="465" t="s">
        <v>1005</v>
      </c>
      <c r="S16" s="466">
        <f>F16</f>
        <v>100</v>
      </c>
      <c r="T16" s="465" t="s">
        <v>1005</v>
      </c>
      <c r="U16" s="466">
        <f>H16</f>
        <v>100</v>
      </c>
      <c r="V16" s="465" t="s">
        <v>1005</v>
      </c>
      <c r="W16" s="466">
        <f>J16</f>
        <v>100</v>
      </c>
      <c r="X16" s="460"/>
      <c r="Y16" s="3861"/>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61"/>
      <c r="Q17" s="395"/>
      <c r="R17" s="465"/>
      <c r="S17" s="466"/>
      <c r="T17" s="465"/>
      <c r="U17" s="466"/>
      <c r="V17" s="465"/>
      <c r="W17" s="466"/>
      <c r="X17" s="460"/>
      <c r="Y17" s="3861"/>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61"/>
      <c r="Q18" s="395" t="str">
        <f>B18</f>
        <v>基础设施水平</v>
      </c>
      <c r="R18" s="465" t="s">
        <v>1005</v>
      </c>
      <c r="S18" s="466">
        <f>F18</f>
        <v>100</v>
      </c>
      <c r="T18" s="465" t="s">
        <v>1005</v>
      </c>
      <c r="U18" s="466">
        <f>H18</f>
        <v>100</v>
      </c>
      <c r="V18" s="465" t="s">
        <v>1005</v>
      </c>
      <c r="W18" s="466">
        <f>J18</f>
        <v>100</v>
      </c>
      <c r="X18" s="460"/>
      <c r="Y18" s="3861"/>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61"/>
      <c r="Q19" s="395"/>
      <c r="R19" s="465"/>
      <c r="S19" s="466"/>
      <c r="T19" s="465"/>
      <c r="U19" s="466"/>
      <c r="V19" s="465"/>
      <c r="W19" s="466"/>
      <c r="X19" s="460"/>
      <c r="Y19" s="3861"/>
      <c r="Z19" s="459"/>
      <c r="AA19" s="471">
        <v>1</v>
      </c>
      <c r="AB19" s="471">
        <v>1</v>
      </c>
      <c r="AC19" s="471">
        <v>1</v>
      </c>
    </row>
    <row r="20" spans="1:29" ht="57">
      <c r="A20" s="264"/>
      <c r="B20" s="283" t="s">
        <v>2469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61"/>
      <c r="Q20" s="395" t="str">
        <f>B20</f>
        <v>自然及人文环境</v>
      </c>
      <c r="R20" s="465" t="s">
        <v>1005</v>
      </c>
      <c r="S20" s="466">
        <f>F20</f>
        <v>100</v>
      </c>
      <c r="T20" s="465" t="s">
        <v>1005</v>
      </c>
      <c r="U20" s="466">
        <f>H20</f>
        <v>100</v>
      </c>
      <c r="V20" s="465" t="s">
        <v>1005</v>
      </c>
      <c r="W20" s="466">
        <f>J20</f>
        <v>100</v>
      </c>
      <c r="X20" s="460"/>
      <c r="Y20" s="3861"/>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61"/>
      <c r="Q21" s="395"/>
      <c r="R21" s="465"/>
      <c r="S21" s="466"/>
      <c r="T21" s="465"/>
      <c r="U21" s="466"/>
      <c r="V21" s="465"/>
      <c r="W21" s="466"/>
      <c r="X21" s="460"/>
      <c r="Y21" s="3861"/>
      <c r="Z21" s="459"/>
      <c r="AA21" s="471">
        <v>1</v>
      </c>
      <c r="AB21" s="471">
        <v>1</v>
      </c>
      <c r="AC21" s="471">
        <v>1</v>
      </c>
    </row>
    <row r="22" spans="1:29" ht="15">
      <c r="A22" s="264"/>
      <c r="B22" s="283" t="s">
        <v>2542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61"/>
      <c r="Q22" s="395" t="str">
        <f>B22</f>
        <v>楼层</v>
      </c>
      <c r="R22" s="465" t="s">
        <v>1005</v>
      </c>
      <c r="S22" s="466">
        <f>F22</f>
        <v>100</v>
      </c>
      <c r="T22" s="465" t="s">
        <v>1005</v>
      </c>
      <c r="U22" s="466">
        <f>H22</f>
        <v>100</v>
      </c>
      <c r="V22" s="465" t="s">
        <v>1005</v>
      </c>
      <c r="W22" s="466">
        <f>J22</f>
        <v>100</v>
      </c>
      <c r="X22" s="460"/>
      <c r="Y22" s="3861"/>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61"/>
      <c r="Q23" s="395">
        <f>B23</f>
        <v>111</v>
      </c>
      <c r="R23" s="465" t="s">
        <v>1005</v>
      </c>
      <c r="S23" s="466">
        <f>F23</f>
        <v>100</v>
      </c>
      <c r="T23" s="465" t="s">
        <v>1005</v>
      </c>
      <c r="U23" s="466">
        <f>H23</f>
        <v>100</v>
      </c>
      <c r="V23" s="465" t="s">
        <v>1005</v>
      </c>
      <c r="W23" s="466">
        <f>J23</f>
        <v>100</v>
      </c>
      <c r="X23" s="460"/>
      <c r="Y23" s="3861"/>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61"/>
      <c r="Q24" s="395">
        <f t="shared" ref="Q24:Q34" si="8">B24</f>
        <v>111</v>
      </c>
      <c r="R24" s="465" t="s">
        <v>1005</v>
      </c>
      <c r="S24" s="466">
        <f>F24</f>
        <v>100</v>
      </c>
      <c r="T24" s="465" t="s">
        <v>1005</v>
      </c>
      <c r="U24" s="466">
        <f>H24</f>
        <v>100</v>
      </c>
      <c r="V24" s="465" t="s">
        <v>1005</v>
      </c>
      <c r="W24" s="466">
        <f>J24</f>
        <v>100</v>
      </c>
      <c r="X24" s="460"/>
      <c r="Y24" s="3861"/>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61"/>
      <c r="Q25" s="464">
        <f t="shared" si="8"/>
        <v>111</v>
      </c>
      <c r="R25" s="461" t="s">
        <v>1005</v>
      </c>
      <c r="S25" s="462">
        <f>F25</f>
        <v>100</v>
      </c>
      <c r="T25" s="461" t="s">
        <v>1005</v>
      </c>
      <c r="U25" s="462">
        <f>H25</f>
        <v>100</v>
      </c>
      <c r="V25" s="461" t="s">
        <v>1005</v>
      </c>
      <c r="W25" s="462">
        <f>J25</f>
        <v>100</v>
      </c>
      <c r="X25" s="463"/>
      <c r="Y25" s="3861"/>
      <c r="Z25" s="481">
        <f>Q25</f>
        <v>111</v>
      </c>
      <c r="AA25" s="471">
        <f t="shared" si="3"/>
        <v>1</v>
      </c>
      <c r="AB25" s="471">
        <f t="shared" si="4"/>
        <v>1</v>
      </c>
      <c r="AC25" s="471">
        <f t="shared" si="5"/>
        <v>1</v>
      </c>
    </row>
    <row r="26" spans="1:29" ht="15">
      <c r="A26" s="292" t="s">
        <v>1029</v>
      </c>
      <c r="B26" s="293" t="s">
        <v>2477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62" t="s">
        <v>1028</v>
      </c>
      <c r="Q26" s="395" t="str">
        <f t="shared" si="8"/>
        <v>公共部分装修</v>
      </c>
      <c r="R26" s="465" t="s">
        <v>1005</v>
      </c>
      <c r="S26" s="466">
        <f t="shared" ref="S26:S34" si="9">F26</f>
        <v>100</v>
      </c>
      <c r="T26" s="465" t="s">
        <v>1005</v>
      </c>
      <c r="U26" s="466">
        <f t="shared" ref="U26:U34" si="10">H26</f>
        <v>100</v>
      </c>
      <c r="V26" s="465" t="s">
        <v>1005</v>
      </c>
      <c r="W26" s="466">
        <f t="shared" ref="W26:W34" si="11">J26</f>
        <v>100</v>
      </c>
      <c r="X26" s="460"/>
      <c r="Y26" s="3863" t="s">
        <v>1028</v>
      </c>
      <c r="Z26" s="459" t="str">
        <f t="shared" ref="Z26:Z34" si="12">Q26</f>
        <v>公共部分装修</v>
      </c>
      <c r="AA26" s="471">
        <f t="shared" si="3"/>
        <v>1</v>
      </c>
      <c r="AB26" s="471">
        <f t="shared" si="4"/>
        <v>1</v>
      </c>
      <c r="AC26" s="471">
        <f t="shared" si="5"/>
        <v>1</v>
      </c>
    </row>
    <row r="27" spans="1:29" s="201" customFormat="1" ht="15">
      <c r="A27" s="297"/>
      <c r="B27" s="298" t="s">
        <v>2545</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63"/>
      <c r="Q27" s="467" t="str">
        <f t="shared" si="8"/>
        <v>成新率</v>
      </c>
      <c r="R27" s="468" t="s">
        <v>1005</v>
      </c>
      <c r="S27" s="469" t="e">
        <f t="shared" si="9"/>
        <v>#N/A</v>
      </c>
      <c r="T27" s="468" t="s">
        <v>1005</v>
      </c>
      <c r="U27" s="469" t="e">
        <f t="shared" si="10"/>
        <v>#N/A</v>
      </c>
      <c r="V27" s="468" t="s">
        <v>1005</v>
      </c>
      <c r="W27" s="469" t="e">
        <f t="shared" si="11"/>
        <v>#N/A</v>
      </c>
      <c r="X27" s="470"/>
      <c r="Y27" s="3863"/>
      <c r="Z27" s="482" t="str">
        <f t="shared" si="12"/>
        <v>成新率</v>
      </c>
      <c r="AA27" s="471" t="e">
        <f t="shared" si="3"/>
        <v>#N/A</v>
      </c>
      <c r="AB27" s="471" t="e">
        <f t="shared" si="4"/>
        <v>#N/A</v>
      </c>
      <c r="AC27" s="471" t="e">
        <f t="shared" si="5"/>
        <v>#N/A</v>
      </c>
    </row>
    <row r="28" spans="1:29" ht="15">
      <c r="A28" s="302"/>
      <c r="B28" s="298" t="s">
        <v>2546</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63"/>
      <c r="Q28" s="395" t="str">
        <f t="shared" si="8"/>
        <v>物业等级</v>
      </c>
      <c r="R28" s="465" t="s">
        <v>1005</v>
      </c>
      <c r="S28" s="466">
        <f t="shared" si="9"/>
        <v>100</v>
      </c>
      <c r="T28" s="465" t="s">
        <v>1005</v>
      </c>
      <c r="U28" s="466">
        <f t="shared" si="10"/>
        <v>100</v>
      </c>
      <c r="V28" s="465" t="s">
        <v>1005</v>
      </c>
      <c r="W28" s="466">
        <f t="shared" si="11"/>
        <v>100</v>
      </c>
      <c r="X28" s="460"/>
      <c r="Y28" s="3863"/>
      <c r="Z28" s="459" t="str">
        <f t="shared" si="12"/>
        <v>物业等级</v>
      </c>
      <c r="AA28" s="471">
        <f t="shared" si="3"/>
        <v>1</v>
      </c>
      <c r="AB28" s="471">
        <f t="shared" si="4"/>
        <v>1</v>
      </c>
      <c r="AC28" s="471">
        <f t="shared" si="5"/>
        <v>1</v>
      </c>
    </row>
    <row r="29" spans="1:29" ht="15">
      <c r="A29" s="302"/>
      <c r="B29" s="298" t="s">
        <v>2567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63"/>
      <c r="Q29" s="395" t="str">
        <f t="shared" si="8"/>
        <v>有无电梯</v>
      </c>
      <c r="R29" s="465" t="s">
        <v>1005</v>
      </c>
      <c r="S29" s="466">
        <f t="shared" si="9"/>
        <v>100</v>
      </c>
      <c r="T29" s="465" t="s">
        <v>1005</v>
      </c>
      <c r="U29" s="466">
        <f t="shared" si="10"/>
        <v>100</v>
      </c>
      <c r="V29" s="465" t="s">
        <v>1005</v>
      </c>
      <c r="W29" s="466">
        <f t="shared" si="11"/>
        <v>100</v>
      </c>
      <c r="X29" s="460"/>
      <c r="Y29" s="3863"/>
      <c r="Z29" s="459" t="str">
        <f t="shared" si="12"/>
        <v>有无电梯</v>
      </c>
      <c r="AA29" s="471">
        <f t="shared" si="3"/>
        <v>1</v>
      </c>
      <c r="AB29" s="471">
        <f t="shared" si="4"/>
        <v>1</v>
      </c>
      <c r="AC29" s="471">
        <f t="shared" si="5"/>
        <v>1</v>
      </c>
    </row>
    <row r="30" spans="1:29" ht="15">
      <c r="A30" s="302"/>
      <c r="B30" s="298" t="s">
        <v>577</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63"/>
      <c r="Q30" s="395" t="str">
        <f t="shared" si="8"/>
        <v>建筑面积</v>
      </c>
      <c r="R30" s="465" t="s">
        <v>1005</v>
      </c>
      <c r="S30" s="466" t="e">
        <f t="shared" si="9"/>
        <v>#N/A</v>
      </c>
      <c r="T30" s="465" t="s">
        <v>1005</v>
      </c>
      <c r="U30" s="466" t="e">
        <f t="shared" si="10"/>
        <v>#N/A</v>
      </c>
      <c r="V30" s="465" t="s">
        <v>1005</v>
      </c>
      <c r="W30" s="466" t="e">
        <f t="shared" si="11"/>
        <v>#N/A</v>
      </c>
      <c r="X30" s="460"/>
      <c r="Y30" s="3863"/>
      <c r="Z30" s="459" t="str">
        <f t="shared" si="12"/>
        <v>建筑面积</v>
      </c>
      <c r="AA30" s="471" t="e">
        <f t="shared" si="3"/>
        <v>#N/A</v>
      </c>
      <c r="AB30" s="471" t="e">
        <f t="shared" si="4"/>
        <v>#N/A</v>
      </c>
      <c r="AC30" s="471" t="e">
        <f t="shared" si="5"/>
        <v>#N/A</v>
      </c>
    </row>
    <row r="31" spans="1:29" s="199" customFormat="1" ht="15">
      <c r="A31" s="305"/>
      <c r="B31" s="298" t="s">
        <v>2568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63"/>
      <c r="Q31" s="464" t="str">
        <f t="shared" si="8"/>
        <v>是否封闭</v>
      </c>
      <c r="R31" s="461" t="s">
        <v>1005</v>
      </c>
      <c r="S31" s="462">
        <f t="shared" si="9"/>
        <v>100</v>
      </c>
      <c r="T31" s="461" t="s">
        <v>1005</v>
      </c>
      <c r="U31" s="462">
        <f t="shared" si="10"/>
        <v>100</v>
      </c>
      <c r="V31" s="461" t="s">
        <v>1005</v>
      </c>
      <c r="W31" s="462">
        <f t="shared" si="11"/>
        <v>100</v>
      </c>
      <c r="X31" s="463"/>
      <c r="Y31" s="3863"/>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63" t="s">
        <v>1028</v>
      </c>
      <c r="Q32" s="395">
        <f t="shared" si="8"/>
        <v>111</v>
      </c>
      <c r="R32" s="465" t="s">
        <v>1005</v>
      </c>
      <c r="S32" s="466">
        <f t="shared" si="9"/>
        <v>100</v>
      </c>
      <c r="T32" s="465" t="s">
        <v>1005</v>
      </c>
      <c r="U32" s="466">
        <f t="shared" si="10"/>
        <v>100</v>
      </c>
      <c r="V32" s="465" t="s">
        <v>1005</v>
      </c>
      <c r="W32" s="466">
        <f t="shared" si="11"/>
        <v>100</v>
      </c>
      <c r="X32" s="460"/>
      <c r="Y32" s="3863" t="s">
        <v>1028</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63"/>
      <c r="Q33" s="395">
        <f t="shared" si="8"/>
        <v>111</v>
      </c>
      <c r="R33" s="465" t="s">
        <v>1005</v>
      </c>
      <c r="S33" s="466">
        <f t="shared" si="9"/>
        <v>100</v>
      </c>
      <c r="T33" s="465" t="s">
        <v>1005</v>
      </c>
      <c r="U33" s="466">
        <f t="shared" si="10"/>
        <v>100</v>
      </c>
      <c r="V33" s="465" t="s">
        <v>1005</v>
      </c>
      <c r="W33" s="466">
        <f t="shared" si="11"/>
        <v>100</v>
      </c>
      <c r="X33" s="460"/>
      <c r="Y33" s="3863"/>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63"/>
      <c r="Q34" s="395">
        <f t="shared" si="8"/>
        <v>111</v>
      </c>
      <c r="R34" s="465" t="s">
        <v>1005</v>
      </c>
      <c r="S34" s="466">
        <f t="shared" si="9"/>
        <v>100</v>
      </c>
      <c r="T34" s="465" t="s">
        <v>1005</v>
      </c>
      <c r="U34" s="466">
        <f t="shared" si="10"/>
        <v>100</v>
      </c>
      <c r="V34" s="465" t="s">
        <v>1005</v>
      </c>
      <c r="W34" s="466">
        <f t="shared" si="11"/>
        <v>100</v>
      </c>
      <c r="X34" s="460"/>
      <c r="Y34" s="3863"/>
      <c r="Z34" s="459">
        <f t="shared" si="12"/>
        <v>111</v>
      </c>
      <c r="AA34" s="471">
        <f t="shared" si="3"/>
        <v>1</v>
      </c>
      <c r="AB34" s="471">
        <f t="shared" si="4"/>
        <v>1</v>
      </c>
      <c r="AC34" s="471">
        <f t="shared" si="5"/>
        <v>1</v>
      </c>
    </row>
    <row r="35" spans="1:29" ht="15">
      <c r="A35" s="312" t="s">
        <v>2484</v>
      </c>
      <c r="B35" s="313"/>
      <c r="C35" s="314" t="s">
        <v>138</v>
      </c>
      <c r="D35" s="315"/>
      <c r="E35" s="316"/>
      <c r="F35" s="317"/>
      <c r="G35" s="318"/>
      <c r="H35" s="319"/>
      <c r="I35" s="316"/>
      <c r="J35" s="319"/>
      <c r="K35" s="409"/>
      <c r="L35" s="410"/>
      <c r="M35" s="340"/>
      <c r="N35" s="390"/>
      <c r="O35" s="340"/>
      <c r="P35" s="3858" t="str">
        <f>A35</f>
        <v>成交单价（元/平方米）</v>
      </c>
      <c r="Q35" s="3858"/>
      <c r="R35" s="3973">
        <f>E35</f>
        <v>0</v>
      </c>
      <c r="S35" s="3973"/>
      <c r="T35" s="3973">
        <f>G35</f>
        <v>0</v>
      </c>
      <c r="U35" s="3973"/>
      <c r="V35" s="3973">
        <f>I35</f>
        <v>0</v>
      </c>
      <c r="W35" s="3973"/>
      <c r="X35" s="342"/>
      <c r="Y35" s="483"/>
      <c r="Z35" s="342"/>
      <c r="AA35" s="342"/>
      <c r="AB35" s="342"/>
      <c r="AC35" s="342"/>
    </row>
    <row r="36" spans="1:29" ht="15">
      <c r="A36" s="320" t="s">
        <v>1037</v>
      </c>
      <c r="B36" s="321"/>
      <c r="C36" s="322" t="e">
        <f>R37</f>
        <v>#DIV/0!</v>
      </c>
      <c r="D36" s="323" t="s">
        <v>2569</v>
      </c>
      <c r="E36" s="324" t="e">
        <f>R36</f>
        <v>#DIV/0!</v>
      </c>
      <c r="F36" s="325"/>
      <c r="G36" s="322" t="e">
        <f>T36</f>
        <v>#DIV/0!</v>
      </c>
      <c r="H36" s="325"/>
      <c r="I36" s="324" t="e">
        <f>V36</f>
        <v>#DIV/0!</v>
      </c>
      <c r="J36" s="325"/>
      <c r="K36" s="411">
        <f>F36+H36+J36</f>
        <v>0</v>
      </c>
      <c r="L36" s="410"/>
      <c r="M36" s="340"/>
      <c r="N36" s="390"/>
      <c r="O36" s="340"/>
      <c r="P36" s="3858" t="str">
        <f>A36</f>
        <v>比较价格（元/平方米）</v>
      </c>
      <c r="Q36" s="3858"/>
      <c r="R36" s="3973" t="e">
        <f>IF(F1="售价",ROUND(PRODUCT(R35,AA7:AA34),0),ROUND(PRODUCT(R35,AA7:AA34),1))</f>
        <v>#DIV/0!</v>
      </c>
      <c r="S36" s="3973"/>
      <c r="T36" s="3973" t="e">
        <f>IF(F1="售价",ROUND(PRODUCT(T35,AB7:AB34),0),ROUND(PRODUCT(T35,AB7:AB34),1))</f>
        <v>#DIV/0!</v>
      </c>
      <c r="U36" s="3973"/>
      <c r="V36" s="3973" t="e">
        <f>IF(F1="售价",ROUND(PRODUCT(V35,AC7:AC34),0),ROUND(PRODUCT(V35,AC7:AC34),1))</f>
        <v>#DIV/0!</v>
      </c>
      <c r="W36" s="3973"/>
      <c r="X36" s="342"/>
      <c r="Y36" s="342"/>
      <c r="Z36" s="342"/>
      <c r="AA36" s="342"/>
      <c r="AB36" s="342"/>
      <c r="AC36" s="342"/>
    </row>
    <row r="37" spans="1:29" ht="15">
      <c r="A37" s="326" t="s">
        <v>1039</v>
      </c>
      <c r="B37" s="327"/>
      <c r="C37" s="328" t="e">
        <f>R37</f>
        <v>#DIV/0!</v>
      </c>
      <c r="D37" s="328"/>
      <c r="E37" s="328"/>
      <c r="F37" s="328"/>
      <c r="G37" s="328"/>
      <c r="H37" s="328"/>
      <c r="I37" s="328"/>
      <c r="J37" s="328"/>
      <c r="K37" s="412"/>
      <c r="L37" s="410"/>
      <c r="M37" s="340"/>
      <c r="N37" s="340"/>
      <c r="O37" s="340"/>
      <c r="P37" s="3884" t="str">
        <f>A37</f>
        <v>估价对象XX用房的比较价格（楼面单价，元/平方米）</v>
      </c>
      <c r="Q37" s="3885"/>
      <c r="R37" s="3975" t="e">
        <f>IF(F1="售价",ROUND(IF(D36="简单平均",AVERAGE(R36:W36),R36*F36+T36*H36+V36*J36),0),ROUND(IF(D36="简单平均",AVERAGE(R36:V36),R36*F36+T36*H36+V36*J36),1))</f>
        <v>#DIV/0!</v>
      </c>
      <c r="S37" s="3975"/>
      <c r="T37" s="3975"/>
      <c r="U37" s="3975"/>
      <c r="V37" s="3975"/>
      <c r="W37" s="3975"/>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1003</v>
      </c>
      <c r="B46" s="346"/>
      <c r="C46" s="347" t="str">
        <f>YEAR(C7)&amp;"-"&amp;MONTH(C7)</f>
        <v>2023-12</v>
      </c>
      <c r="D46" s="348">
        <f>EDATE(C46,-1)</f>
        <v>45231</v>
      </c>
      <c r="E46" s="348">
        <f t="shared" ref="E46:O46" si="13">EDATE(D46,-1)</f>
        <v>45200</v>
      </c>
      <c r="F46" s="348">
        <f t="shared" si="13"/>
        <v>45170</v>
      </c>
      <c r="G46" s="348">
        <f t="shared" si="13"/>
        <v>45139</v>
      </c>
      <c r="H46" s="348">
        <f t="shared" si="13"/>
        <v>45108</v>
      </c>
      <c r="I46" s="348">
        <f t="shared" si="13"/>
        <v>45078</v>
      </c>
      <c r="J46" s="348">
        <f t="shared" si="13"/>
        <v>45047</v>
      </c>
      <c r="K46" s="348">
        <f t="shared" si="13"/>
        <v>45017</v>
      </c>
      <c r="L46" s="348">
        <f t="shared" si="13"/>
        <v>44986</v>
      </c>
      <c r="M46" s="348">
        <f t="shared" si="13"/>
        <v>44958</v>
      </c>
      <c r="N46" s="348">
        <f t="shared" si="13"/>
        <v>44927</v>
      </c>
      <c r="O46" s="348">
        <f t="shared" si="13"/>
        <v>44896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1092</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1006</v>
      </c>
      <c r="B49" s="350"/>
      <c r="C49" s="358" t="s">
        <v>1007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1067</v>
      </c>
      <c r="B51" s="361" t="s">
        <v>1068</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1069</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1071</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2469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1079</v>
      </c>
      <c r="B77" s="361" t="s">
        <v>2477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2545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2546</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2567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577</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2568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2570</v>
      </c>
      <c r="C1" s="3982" t="s">
        <v>2571</v>
      </c>
      <c r="D1" s="3983"/>
      <c r="E1" s="3983"/>
      <c r="F1" s="3983"/>
      <c r="G1" s="3983"/>
      <c r="H1" s="3983"/>
      <c r="I1" s="3983"/>
      <c r="J1" s="3983"/>
      <c r="K1" s="3983"/>
      <c r="L1" s="3983"/>
      <c r="M1" s="3983"/>
      <c r="N1" s="3983"/>
      <c r="O1" s="3983"/>
      <c r="P1" s="3983"/>
      <c r="Q1" s="3983"/>
      <c r="R1" s="3983"/>
      <c r="S1" s="3984"/>
      <c r="T1" s="85" t="s">
        <v>2572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2574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2575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2576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2577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2578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2579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2580</v>
      </c>
      <c r="B17" s="114" t="s">
        <v>1104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2582</v>
      </c>
      <c r="B22" s="127">
        <f>SUM(B24:B10000)</f>
        <v>0</v>
      </c>
      <c r="C22" s="3985" t="s">
        <v>138</v>
      </c>
      <c r="D22" s="3986"/>
      <c r="E22" s="3986"/>
      <c r="F22" s="3986"/>
      <c r="G22" s="3986"/>
      <c r="H22" s="3986"/>
      <c r="I22" s="3986"/>
      <c r="J22" s="3986"/>
      <c r="K22" s="3986"/>
      <c r="L22" s="3986"/>
      <c r="M22" s="3986"/>
      <c r="N22" s="3986"/>
      <c r="O22" s="3986"/>
      <c r="P22" s="3986"/>
      <c r="Q22" s="3987"/>
      <c r="R22" s="190" t="e">
        <f>ROUND(S22*10000/B22,0)</f>
        <v>#DIV/0!</v>
      </c>
      <c r="S22" s="127">
        <f>SUM(S24:S10000)</f>
        <v>0</v>
      </c>
    </row>
    <row r="23" spans="1:45" s="79" customFormat="1" ht="24">
      <c r="A23" s="130" t="s">
        <v>2583</v>
      </c>
      <c r="B23" s="131" t="s">
        <v>444</v>
      </c>
      <c r="C23" s="130" t="s">
        <v>1163</v>
      </c>
      <c r="D23" s="130" t="str">
        <f>B5</f>
        <v>修正项2</v>
      </c>
      <c r="E23" s="130" t="s">
        <v>1163</v>
      </c>
      <c r="F23" s="130" t="str">
        <f>B7</f>
        <v>修正项3</v>
      </c>
      <c r="G23" s="130" t="s">
        <v>1163</v>
      </c>
      <c r="H23" s="130" t="str">
        <f>B9</f>
        <v>修正项4</v>
      </c>
      <c r="I23" s="130" t="s">
        <v>1163</v>
      </c>
      <c r="J23" s="130" t="str">
        <f>B11</f>
        <v>修正项5</v>
      </c>
      <c r="K23" s="130" t="s">
        <v>1163</v>
      </c>
      <c r="L23" s="130" t="str">
        <f>B13</f>
        <v>修正项6</v>
      </c>
      <c r="M23" s="130" t="s">
        <v>1163</v>
      </c>
      <c r="N23" s="130" t="str">
        <f>B15</f>
        <v>修正项7</v>
      </c>
      <c r="O23" s="130" t="s">
        <v>1163</v>
      </c>
      <c r="P23" s="130" t="str">
        <f>B17</f>
        <v>楼层</v>
      </c>
      <c r="Q23" s="130" t="s">
        <v>1163</v>
      </c>
      <c r="R23" s="191" t="s">
        <v>2584</v>
      </c>
      <c r="S23" s="130" t="s">
        <v>2585</v>
      </c>
      <c r="T23" s="192"/>
      <c r="U23" s="192"/>
      <c r="V23" s="192"/>
      <c r="W23" s="192"/>
      <c r="X23" s="192"/>
      <c r="Y23" s="192"/>
      <c r="Z23" s="192"/>
      <c r="AA23" s="192"/>
      <c r="AB23" s="192"/>
      <c r="AC23" s="192"/>
      <c r="AD23" s="192"/>
      <c r="AE23" s="192"/>
      <c r="AF23" s="192"/>
      <c r="AG23" s="192"/>
      <c r="AH23" s="192"/>
      <c r="AI23" s="192"/>
    </row>
    <row r="24" spans="1:45" s="80" customFormat="1">
      <c r="A24" s="132" t="s">
        <v>2586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45271</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2587</v>
      </c>
      <c r="C2" s="13">
        <f>'数据-取费表'!B22</f>
        <v>2</v>
      </c>
      <c r="D2" s="8" t="s">
        <v>2588</v>
      </c>
      <c r="E2" s="14">
        <f ca="1">INDIRECT("I"&amp;$I$1)/100</f>
        <v>3.4500000000000003E-2</v>
      </c>
      <c r="G2" s="11"/>
      <c r="H2" s="11"/>
      <c r="I2" s="11" t="s">
        <v>2588</v>
      </c>
      <c r="K2" s="11"/>
      <c r="L2" s="11"/>
      <c r="M2" s="11"/>
      <c r="N2" s="11" t="s">
        <v>2589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2590</v>
      </c>
      <c r="C3" s="15">
        <f>'数据-取费表'!B19</f>
        <v>0</v>
      </c>
      <c r="D3" s="8" t="s">
        <v>2588</v>
      </c>
      <c r="E3" s="14">
        <f ca="1">INDIRECT("J"&amp;$J$1)/100</f>
        <v>0</v>
      </c>
      <c r="G3" s="16" t="s">
        <v>2591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2592</v>
      </c>
      <c r="C4" s="14">
        <f ca="1">N4/100</f>
        <v>1.4999999999999999E-2</v>
      </c>
      <c r="G4" s="18" t="s">
        <v>2593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2594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2595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2596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2597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2598</v>
      </c>
      <c r="C10" s="29"/>
      <c r="D10" s="29"/>
      <c r="E10" s="29"/>
      <c r="F10" s="29"/>
      <c r="G10" s="29"/>
      <c r="H10" s="29"/>
      <c r="I10" s="4"/>
      <c r="J10" s="4"/>
      <c r="K10" s="29"/>
      <c r="L10" s="30" t="s">
        <v>2599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2600</v>
      </c>
      <c r="C11" s="33" t="s">
        <v>2601</v>
      </c>
      <c r="D11" s="34" t="s">
        <v>2602</v>
      </c>
      <c r="E11" s="35"/>
      <c r="F11" s="34" t="s">
        <v>2603</v>
      </c>
      <c r="G11" s="36"/>
      <c r="H11" s="35"/>
      <c r="I11" s="34" t="s">
        <v>2604</v>
      </c>
      <c r="J11" s="35"/>
      <c r="K11" s="31"/>
      <c r="L11" s="32" t="s">
        <v>2600</v>
      </c>
      <c r="M11" s="33" t="s">
        <v>2601</v>
      </c>
      <c r="N11" s="32" t="s">
        <v>2605</v>
      </c>
      <c r="O11" s="34" t="s">
        <v>2606</v>
      </c>
      <c r="P11" s="36"/>
      <c r="Q11" s="36"/>
      <c r="R11" s="36"/>
      <c r="S11" s="36"/>
      <c r="T11" s="35"/>
      <c r="U11" s="34" t="s">
        <v>2607</v>
      </c>
      <c r="V11" s="36"/>
      <c r="W11" s="35"/>
      <c r="X11" s="32" t="s">
        <v>2608</v>
      </c>
      <c r="Y11" s="32" t="s">
        <v>2609</v>
      </c>
      <c r="Z11" s="32" t="s">
        <v>2610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2611</v>
      </c>
      <c r="E12" s="40" t="s">
        <v>2593</v>
      </c>
      <c r="F12" s="40" t="s">
        <v>2594</v>
      </c>
      <c r="G12" s="40" t="s">
        <v>2595</v>
      </c>
      <c r="H12" s="40" t="s">
        <v>2596</v>
      </c>
      <c r="I12" s="63" t="s">
        <v>2612</v>
      </c>
      <c r="J12" s="63" t="s">
        <v>2612</v>
      </c>
      <c r="K12" s="37"/>
      <c r="L12" s="38"/>
      <c r="M12" s="39"/>
      <c r="N12" s="38"/>
      <c r="O12" s="63" t="s">
        <v>2613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2614</v>
      </c>
      <c r="C13" s="43">
        <v>45159</v>
      </c>
      <c r="D13" s="44">
        <v>3.45</v>
      </c>
      <c r="E13" s="44">
        <f>D13</f>
        <v>3.45</v>
      </c>
      <c r="F13" s="44">
        <f>D13</f>
        <v>3.45</v>
      </c>
      <c r="G13" s="44">
        <f>D13</f>
        <v>3.45</v>
      </c>
      <c r="H13" s="44">
        <v>4.2</v>
      </c>
      <c r="I13" s="44"/>
      <c r="J13" s="44"/>
      <c r="K13" s="41"/>
      <c r="L13" s="42" t="s">
        <v>2614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2615</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2616</v>
      </c>
      <c r="Y42" s="46" t="s">
        <v>2616</v>
      </c>
      <c r="Z42" s="46" t="s">
        <v>2616</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2616</v>
      </c>
      <c r="Y43" s="46" t="s">
        <v>2616</v>
      </c>
      <c r="Z43" s="46" t="s">
        <v>2616</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2616</v>
      </c>
      <c r="Y44" s="46" t="s">
        <v>2616</v>
      </c>
      <c r="Z44" s="46" t="s">
        <v>2616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2616</v>
      </c>
      <c r="Y45" s="46" t="s">
        <v>2616</v>
      </c>
      <c r="Z45" s="46" t="s">
        <v>2616</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2616</v>
      </c>
      <c r="Y46" s="46" t="s">
        <v>2616</v>
      </c>
      <c r="Z46" s="46" t="s">
        <v>2616</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2616</v>
      </c>
      <c r="Y47" s="46" t="s">
        <v>2616</v>
      </c>
      <c r="Z47" s="46" t="s">
        <v>2616</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2616</v>
      </c>
      <c r="Y48" s="46" t="s">
        <v>2616</v>
      </c>
      <c r="Z48" s="46" t="s">
        <v>2616</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2616</v>
      </c>
      <c r="Y49" s="46" t="s">
        <v>2616</v>
      </c>
      <c r="Z49" s="46" t="s">
        <v>2616</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2616</v>
      </c>
      <c r="Y50" s="46" t="s">
        <v>2616</v>
      </c>
      <c r="Z50" s="46" t="s">
        <v>2616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2616</v>
      </c>
      <c r="V51" s="46" t="s">
        <v>2616</v>
      </c>
      <c r="W51" s="46" t="s">
        <v>2616</v>
      </c>
      <c r="X51" s="46" t="s">
        <v>2616</v>
      </c>
      <c r="Y51" s="46" t="s">
        <v>2616</v>
      </c>
      <c r="Z51" s="46" t="s">
        <v>2616</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2616</v>
      </c>
      <c r="J66" s="46" t="s">
        <v>2616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3" t="s">
        <v>98</v>
      </c>
      <c r="B1" s="3673"/>
      <c r="C1" s="3673"/>
      <c r="D1" s="3673"/>
      <c r="E1" s="3673"/>
      <c r="F1" s="3673"/>
      <c r="G1" s="3673"/>
      <c r="H1" s="3673"/>
      <c r="I1" s="3673"/>
      <c r="J1" s="3673"/>
      <c r="K1" s="3673"/>
      <c r="L1" s="3673"/>
      <c r="M1" s="3673"/>
      <c r="N1" s="3673"/>
      <c r="O1" s="3673"/>
      <c r="P1" s="3673"/>
      <c r="Q1" s="3673"/>
      <c r="R1" s="3673"/>
    </row>
    <row r="2" spans="1:18">
      <c r="A2" s="3575" t="s">
        <v>99</v>
      </c>
      <c r="B2" s="3575"/>
      <c r="C2" s="3575"/>
      <c r="D2" s="3575"/>
      <c r="E2" s="3575"/>
      <c r="F2" s="3575"/>
      <c r="G2" s="3575"/>
      <c r="H2" s="3575"/>
      <c r="I2" s="3588"/>
      <c r="J2" s="3588"/>
      <c r="K2" s="3589" t="str">
        <f>"估价期日："&amp;TEXT(项目基本情况!D3,"yyyy年m月d日;;")</f>
        <v>估价期日：2023年12月11日</v>
      </c>
      <c r="L2" s="3575"/>
      <c r="M2" s="3575"/>
      <c r="N2" s="3575"/>
      <c r="O2" s="3575"/>
      <c r="P2" s="3575"/>
      <c r="Q2" s="3575"/>
      <c r="R2" s="3589" t="str">
        <f>"估价期日的国有建设用地使用权性质："&amp;项目基本情况!A17</f>
        <v>估价期日的国有建设用地使用权性质：出让</v>
      </c>
    </row>
    <row r="3" spans="1:18" ht="23.25" customHeight="1">
      <c r="A3" s="3679" t="s">
        <v>100</v>
      </c>
      <c r="B3" s="3679" t="s">
        <v>101</v>
      </c>
      <c r="C3" s="3678" t="s">
        <v>102</v>
      </c>
      <c r="D3" s="3679" t="s">
        <v>103</v>
      </c>
      <c r="E3" s="3674" t="s">
        <v>104</v>
      </c>
      <c r="F3" s="3674"/>
      <c r="G3" s="3674"/>
      <c r="H3" s="3674" t="s">
        <v>105</v>
      </c>
      <c r="I3" s="3674"/>
      <c r="J3" s="3674"/>
      <c r="K3" s="3678" t="s">
        <v>106</v>
      </c>
      <c r="L3" s="3678" t="s">
        <v>107</v>
      </c>
      <c r="M3" s="3679" t="s">
        <v>108</v>
      </c>
      <c r="N3" s="3680" t="str">
        <f>"（分摊）"&amp;项目基本情况!A17&amp;"国有建设用地使用权面积/㎡"</f>
        <v>（分摊）出让国有建设用地使用权面积/㎡</v>
      </c>
      <c r="O3" s="3679" t="s">
        <v>109</v>
      </c>
      <c r="P3" s="3678" t="s">
        <v>110</v>
      </c>
      <c r="Q3" s="3678" t="s">
        <v>111</v>
      </c>
      <c r="R3" s="3678" t="s">
        <v>112</v>
      </c>
    </row>
    <row r="4" spans="1:18" ht="36.75" customHeight="1">
      <c r="A4" s="3679"/>
      <c r="B4" s="3679"/>
      <c r="C4" s="3678"/>
      <c r="D4" s="3679"/>
      <c r="E4" s="3577" t="s">
        <v>113</v>
      </c>
      <c r="F4" s="3577" t="s">
        <v>114</v>
      </c>
      <c r="G4" s="3577" t="s">
        <v>115</v>
      </c>
      <c r="H4" s="3577" t="s">
        <v>116</v>
      </c>
      <c r="I4" s="3577" t="s">
        <v>117</v>
      </c>
      <c r="J4" s="3577" t="s">
        <v>115</v>
      </c>
      <c r="K4" s="3678"/>
      <c r="L4" s="3678"/>
      <c r="M4" s="3679"/>
      <c r="N4" s="3680"/>
      <c r="O4" s="3679"/>
      <c r="P4" s="3678"/>
      <c r="Q4" s="3678"/>
      <c r="R4" s="3678"/>
    </row>
    <row r="5" spans="1:18" ht="135" customHeight="1">
      <c r="A5" s="3578" t="s">
        <v>118</v>
      </c>
      <c r="B5" s="3579" t="s">
        <v>119</v>
      </c>
      <c r="C5" s="3580">
        <v>22</v>
      </c>
      <c r="D5" s="3576" t="s">
        <v>120</v>
      </c>
      <c r="E5" s="3581">
        <f>项目基本情况!B12</f>
        <v>0</v>
      </c>
      <c r="F5" s="3576">
        <v>258</v>
      </c>
      <c r="G5" s="3581">
        <f>项目基本情况!B13</f>
        <v>0</v>
      </c>
      <c r="H5" s="3576">
        <v>1.5</v>
      </c>
      <c r="I5" s="3576">
        <v>1.5</v>
      </c>
      <c r="J5" s="3576">
        <v>1.5</v>
      </c>
      <c r="K5" s="3581" t="str">
        <f>"红线外"&amp;项目基本情况!T40&amp;"、宗地红线内"&amp;项目基本情况!B35</f>
        <v>红线外七通、宗地红线内</v>
      </c>
      <c r="L5" s="3581" t="str">
        <f>"红线外"&amp;项目基本情况!T40&amp;"、宗地红线内场地"&amp;项目基本情况!D36</f>
        <v>红线外七通、宗地红线内场地</v>
      </c>
      <c r="M5" s="3581">
        <f>IF(项目基本情况!A17="出让",项目基本情况!D20,"——")</f>
        <v>0</v>
      </c>
      <c r="N5" s="3581">
        <f>项目基本情况!C22</f>
        <v>51570.87</v>
      </c>
      <c r="O5" s="3581">
        <f>项目基本情况!C21</f>
        <v>173827.12999999998</v>
      </c>
      <c r="P5" s="3581">
        <f ca="1">结果表!E42</f>
        <v>29549</v>
      </c>
      <c r="Q5" s="3581">
        <f ca="1">结果表!D42</f>
        <v>8767</v>
      </c>
      <c r="R5" s="3590">
        <f ca="1">结果表!C42</f>
        <v>152388</v>
      </c>
    </row>
    <row r="6" spans="1:18">
      <c r="A6" s="3675" t="str">
        <f>IF(项目基本情况!B9="市场价格","——","抵押价格")</f>
        <v>抵押价格</v>
      </c>
      <c r="B6" s="3676"/>
      <c r="C6" s="3676"/>
      <c r="D6" s="3676"/>
      <c r="E6" s="3676"/>
      <c r="F6" s="3676"/>
      <c r="G6" s="3676"/>
      <c r="H6" s="3676"/>
      <c r="I6" s="3676"/>
      <c r="J6" s="3676"/>
      <c r="K6" s="3676"/>
      <c r="L6" s="3676"/>
      <c r="M6" s="3676"/>
      <c r="N6" s="3676"/>
      <c r="O6" s="3676"/>
      <c r="P6" s="3676"/>
      <c r="Q6" s="3677"/>
      <c r="R6" s="3591">
        <f ca="1">结果表!O39</f>
        <v>150150</v>
      </c>
    </row>
    <row r="7" spans="1:18">
      <c r="A7" s="3675" t="str">
        <f>IF(项目基本情况!B9="市场价格","——",IF(项目基本情况!E8="已注销及未注销","抵押担保权已注销时的抵押价格","——"))</f>
        <v>——</v>
      </c>
      <c r="B7" s="3676"/>
      <c r="C7" s="3676"/>
      <c r="D7" s="3676"/>
      <c r="E7" s="3676"/>
      <c r="F7" s="3676"/>
      <c r="G7" s="3676"/>
      <c r="H7" s="3676"/>
      <c r="I7" s="3676"/>
      <c r="J7" s="3676"/>
      <c r="K7" s="3676"/>
      <c r="L7" s="3676"/>
      <c r="M7" s="3676"/>
      <c r="N7" s="3676"/>
      <c r="O7" s="3676"/>
      <c r="P7" s="3676"/>
      <c r="Q7" s="3677"/>
      <c r="R7" s="3591" t="str">
        <f>结果表!O40</f>
        <v>——</v>
      </c>
    </row>
    <row r="8" spans="1:18">
      <c r="A8" s="3675">
        <f>IF(项目基本情况!B9="市场价格","——",项目基本情况!E9)</f>
        <v>0</v>
      </c>
      <c r="B8" s="3676"/>
      <c r="C8" s="3676"/>
      <c r="D8" s="3676"/>
      <c r="E8" s="3676"/>
      <c r="F8" s="3676"/>
      <c r="G8" s="3676"/>
      <c r="H8" s="3676"/>
      <c r="I8" s="3676"/>
      <c r="J8" s="3676"/>
      <c r="K8" s="3676"/>
      <c r="L8" s="3676"/>
      <c r="M8" s="3676"/>
      <c r="N8" s="3676"/>
      <c r="O8" s="3676"/>
      <c r="P8" s="3676"/>
      <c r="Q8" s="3677"/>
      <c r="R8" s="3591" t="str">
        <f>结果表!O41</f>
        <v>——</v>
      </c>
    </row>
    <row r="9" spans="1:18">
      <c r="A9" s="3582" t="s">
        <v>121</v>
      </c>
      <c r="B9" s="3575"/>
      <c r="C9" s="3575"/>
      <c r="D9" s="3575"/>
      <c r="E9" s="3575"/>
      <c r="F9" s="3575"/>
      <c r="G9" s="3575"/>
      <c r="H9" s="3575"/>
      <c r="I9" s="3575"/>
      <c r="J9" s="3575"/>
      <c r="K9" s="3575"/>
      <c r="L9" s="3575"/>
      <c r="M9" s="3575"/>
      <c r="N9" s="3575"/>
      <c r="O9" s="3575"/>
      <c r="P9" s="3575"/>
      <c r="Q9" s="3575"/>
      <c r="R9" s="3575"/>
    </row>
    <row r="10" spans="1:18">
      <c r="A10" s="3583"/>
      <c r="B10" s="3575"/>
      <c r="C10" s="3575"/>
      <c r="D10" s="3575"/>
      <c r="E10" s="3575"/>
      <c r="F10" s="3575"/>
      <c r="G10" s="3575"/>
      <c r="H10" s="3575"/>
      <c r="I10" s="3575"/>
      <c r="J10" s="3575"/>
      <c r="K10" s="3575"/>
      <c r="L10" s="3575"/>
      <c r="M10" s="3575"/>
      <c r="N10" s="3575"/>
      <c r="O10" s="3575"/>
      <c r="P10" s="3575"/>
      <c r="Q10" s="3575"/>
      <c r="R10" s="3575"/>
    </row>
    <row r="11" spans="1:18">
      <c r="A11" s="3583" t="s">
        <v>94</v>
      </c>
      <c r="B11" s="3584"/>
      <c r="C11" s="3584"/>
      <c r="D11" s="3584"/>
      <c r="E11" s="3584"/>
      <c r="F11" s="3584"/>
      <c r="G11" s="3584"/>
      <c r="H11" s="3584"/>
      <c r="I11" s="3584"/>
      <c r="J11" s="3584"/>
      <c r="K11" s="3584"/>
      <c r="L11" s="3584"/>
      <c r="M11" s="3584"/>
      <c r="N11" s="3584"/>
      <c r="O11" s="3584"/>
      <c r="P11" s="3584"/>
      <c r="Q11" s="3584"/>
      <c r="R11" s="3584"/>
    </row>
    <row r="12" spans="1:18">
      <c r="A12" s="3585"/>
      <c r="B12" s="3585"/>
      <c r="C12" s="3585"/>
      <c r="D12" s="3585"/>
      <c r="E12" s="3585"/>
      <c r="F12" s="3585"/>
      <c r="G12" s="3585"/>
      <c r="H12" s="3585"/>
      <c r="I12" s="3585"/>
      <c r="J12" s="3585"/>
      <c r="K12" s="3585"/>
      <c r="L12" s="3585"/>
      <c r="M12" s="3585"/>
      <c r="N12" s="3585"/>
      <c r="O12" s="3585"/>
      <c r="P12" s="3585"/>
      <c r="Q12" s="3585"/>
      <c r="R12" s="3585"/>
    </row>
    <row r="13" spans="1:18" ht="16.5" customHeight="1">
      <c r="A13" s="3585"/>
      <c r="B13" s="3585"/>
      <c r="C13" s="3585"/>
      <c r="D13" s="3585"/>
      <c r="E13" s="3585"/>
      <c r="F13" s="3585"/>
      <c r="G13" s="3585"/>
      <c r="H13" s="3585"/>
      <c r="I13" s="3585"/>
      <c r="J13" s="3585"/>
      <c r="K13" s="3585"/>
      <c r="L13" s="3585"/>
      <c r="M13" s="3585"/>
      <c r="N13" s="3585"/>
      <c r="O13" s="3585"/>
      <c r="P13" s="3585"/>
      <c r="Q13" s="3585"/>
      <c r="R13" s="3585"/>
    </row>
    <row r="14" spans="1:18">
      <c r="A14" s="3586"/>
      <c r="B14" s="3585"/>
      <c r="C14" s="3585"/>
      <c r="D14" s="3585"/>
      <c r="E14" s="3585"/>
      <c r="F14" s="3585"/>
      <c r="G14" s="3585"/>
      <c r="H14" s="3585"/>
      <c r="I14" s="3585"/>
      <c r="J14" s="3585"/>
      <c r="K14" s="3585"/>
      <c r="L14" s="3585"/>
      <c r="M14" s="3585"/>
      <c r="N14" s="3585"/>
      <c r="O14" s="3585"/>
      <c r="P14" s="3585"/>
      <c r="Q14" s="3585"/>
      <c r="R14" s="3585"/>
    </row>
    <row r="15" spans="1:18">
      <c r="A15" s="1629"/>
    </row>
    <row r="16" spans="1:18">
      <c r="A16" s="1629"/>
    </row>
    <row r="17" spans="1:1">
      <c r="A17" s="1629"/>
    </row>
    <row r="18" spans="1:1">
      <c r="A18" s="1629"/>
    </row>
    <row r="19" spans="1:1">
      <c r="A19" s="1629"/>
    </row>
    <row r="20" spans="1:1">
      <c r="A20" s="3587"/>
    </row>
    <row r="21" spans="1:1">
      <c r="A21" s="3587"/>
    </row>
    <row r="22" spans="1:1">
      <c r="A22" s="1629"/>
    </row>
    <row r="23" spans="1:1">
      <c r="A23" s="1629"/>
    </row>
    <row r="24" spans="1:1">
      <c r="A24" s="1629"/>
    </row>
    <row r="25" spans="1:1">
      <c r="A25" s="1629"/>
    </row>
    <row r="26" spans="1:1">
      <c r="A26" s="1629"/>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8" customWidth="1"/>
    <col min="2" max="3" width="21.375" style="3568" customWidth="1"/>
    <col min="4" max="4" width="19.875" style="3568" customWidth="1"/>
    <col min="5" max="16384" width="9" style="3568"/>
  </cols>
  <sheetData>
    <row r="1" spans="1:4">
      <c r="A1" s="3681" t="s">
        <v>122</v>
      </c>
      <c r="B1" s="3681"/>
      <c r="C1" s="3681"/>
      <c r="D1" s="3681"/>
    </row>
    <row r="2" spans="1:4" ht="47.25" customHeight="1">
      <c r="A2" s="3682" t="str">
        <f>"1.权利限制："&amp;项目基本情况!L24&amp;"未设定租赁等其他他项权利。"</f>
        <v>1.权利限制：根据估价对象《不动产权证书》原件、《国有土地使用权》复印件，截至估价期日，估价对象抵押权未见登记。未设定租赁等其他他项权利。</v>
      </c>
      <c r="B2" s="3682"/>
      <c r="C2" s="3682"/>
      <c r="D2" s="3682"/>
    </row>
    <row r="3" spans="1:4" ht="48" customHeight="1">
      <c r="A3" s="36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1"/>
      <c r="C3" s="3681"/>
      <c r="D3" s="3681"/>
    </row>
    <row r="4" spans="1:4" ht="36.75" customHeight="1">
      <c r="A4" s="3681" t="str">
        <f>"3.估价规划限制条件：详见"&amp;项目基本情况!E21&amp;"。"</f>
        <v>3.估价规划限制条件：详见《建设工程规划许可证》[]、《出让合同》[]。</v>
      </c>
      <c r="B4" s="3681"/>
      <c r="C4" s="3681"/>
      <c r="D4" s="3681"/>
    </row>
    <row r="5" spans="1:4">
      <c r="A5" s="3683" t="s">
        <v>123</v>
      </c>
      <c r="B5" s="3683"/>
      <c r="C5" s="3683"/>
      <c r="D5" s="3683"/>
    </row>
    <row r="6" spans="1:4">
      <c r="A6" s="3681" t="s">
        <v>124</v>
      </c>
      <c r="B6" s="3681"/>
      <c r="C6" s="3681"/>
      <c r="D6" s="3681"/>
    </row>
    <row r="7" spans="1:4" ht="33" customHeight="1">
      <c r="A7" s="3681" t="s">
        <v>125</v>
      </c>
      <c r="B7" s="3681"/>
      <c r="C7" s="3681"/>
      <c r="D7" s="3681"/>
    </row>
    <row r="8" spans="1:4" ht="32.25" customHeight="1">
      <c r="A8" s="36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1"/>
      <c r="C8" s="3681"/>
      <c r="D8" s="3681"/>
    </row>
    <row r="9" spans="1:4" ht="33.75" customHeight="1">
      <c r="A9" s="36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1"/>
      <c r="C9" s="3681"/>
      <c r="D9" s="3681"/>
    </row>
    <row r="10" spans="1:4">
      <c r="A10" s="3681" t="str">
        <f>IF(项目基本情况!B8="抵押","4.估价师所知悉的法定优先受偿款情况为：","——")</f>
        <v>4.估价师所知悉的法定优先受偿款情况为：</v>
      </c>
      <c r="B10" s="3681"/>
      <c r="C10" s="3681"/>
      <c r="D10" s="3681"/>
    </row>
    <row r="11" spans="1:4" ht="37.5" customHeight="1">
      <c r="A11" s="368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4"/>
      <c r="C11" s="3684"/>
      <c r="D11" s="3684"/>
    </row>
    <row r="12" spans="1:4" ht="168" customHeight="1">
      <c r="A12" s="3683" t="s">
        <v>126</v>
      </c>
      <c r="B12" s="3683"/>
      <c r="C12" s="3683"/>
      <c r="D12" s="3683"/>
    </row>
    <row r="13" spans="1:4">
      <c r="A13" s="3685" t="s">
        <v>127</v>
      </c>
      <c r="B13" s="3685"/>
      <c r="C13" s="3685"/>
      <c r="D13" s="3685"/>
    </row>
    <row r="14" spans="1:4">
      <c r="A14" s="3684" t="str">
        <f>IF(项目基本情况!B8="抵押","综上，"&amp;结果表!K47,"——")</f>
        <v>综上，本次评估估价师知悉的法定优先受偿款为人民币2238万元整。</v>
      </c>
      <c r="B14" s="3684"/>
      <c r="C14" s="3684"/>
      <c r="D14" s="3684"/>
    </row>
    <row r="15" spans="1:4" ht="58.5" customHeight="1">
      <c r="A15" s="36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1"/>
      <c r="C15" s="3681"/>
      <c r="D15" s="3681"/>
    </row>
    <row r="16" spans="1:4" ht="70.5" customHeight="1">
      <c r="A16" s="36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1"/>
      <c r="C16" s="3681"/>
      <c r="D16" s="3681"/>
    </row>
    <row r="17" spans="1:4">
      <c r="A17" s="3681" t="s">
        <v>128</v>
      </c>
      <c r="B17" s="3681"/>
      <c r="C17" s="3681"/>
      <c r="D17" s="3681"/>
    </row>
    <row r="18" spans="1:4">
      <c r="A18" s="3681" t="s">
        <v>129</v>
      </c>
      <c r="B18" s="3681"/>
      <c r="C18" s="3681"/>
      <c r="D18" s="3681"/>
    </row>
    <row r="19" spans="1:4">
      <c r="A19" s="3569" t="s">
        <v>130</v>
      </c>
      <c r="B19" s="3569" t="s">
        <v>131</v>
      </c>
      <c r="C19" s="3569" t="s">
        <v>132</v>
      </c>
      <c r="D19" s="3569" t="s">
        <v>133</v>
      </c>
    </row>
    <row r="20" spans="1:4">
      <c r="A20" s="3569" t="str">
        <f>项目基本情况!B4</f>
        <v>土地估价师</v>
      </c>
      <c r="B20" s="3569">
        <f>项目基本情况!C4</f>
        <v>0</v>
      </c>
      <c r="C20" s="3570"/>
      <c r="D20" s="3571" t="s">
        <v>134</v>
      </c>
    </row>
    <row r="21" spans="1:4">
      <c r="A21" s="3569" t="str">
        <f>项目基本情况!D4</f>
        <v>土地估价师</v>
      </c>
      <c r="B21" s="3569">
        <f>项目基本情况!E4</f>
        <v>0</v>
      </c>
      <c r="C21" s="3570"/>
      <c r="D21" s="3571" t="s">
        <v>134</v>
      </c>
    </row>
    <row r="23" spans="1:4">
      <c r="A23" s="3681" t="s">
        <v>135</v>
      </c>
      <c r="B23" s="3681"/>
      <c r="C23" s="3681"/>
      <c r="D23" s="3681"/>
    </row>
    <row r="24" spans="1:4">
      <c r="A24" s="3569" t="s">
        <v>130</v>
      </c>
      <c r="B24" s="3569" t="s">
        <v>136</v>
      </c>
      <c r="C24" s="3569" t="s">
        <v>132</v>
      </c>
      <c r="D24" s="3569" t="s">
        <v>133</v>
      </c>
    </row>
    <row r="25" spans="1:4">
      <c r="A25" s="3572" t="s">
        <v>137</v>
      </c>
      <c r="B25" s="3569" t="s">
        <v>138</v>
      </c>
      <c r="C25" s="3570"/>
      <c r="D25" s="3571" t="s">
        <v>134</v>
      </c>
    </row>
    <row r="29" spans="1:4">
      <c r="D29" s="3573" t="s">
        <v>99</v>
      </c>
    </row>
    <row r="30" spans="1:4">
      <c r="D30" s="3574">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7" customWidth="1"/>
    <col min="2" max="16384" width="14.5" style="3492"/>
  </cols>
  <sheetData>
    <row r="1" spans="1:7" s="3546" customFormat="1" ht="18.75">
      <c r="A1" s="3548" t="s">
        <v>139</v>
      </c>
    </row>
    <row r="3" spans="1:7" ht="14.25">
      <c r="A3" s="3549" t="s">
        <v>140</v>
      </c>
      <c r="B3" s="3492" t="s">
        <v>141</v>
      </c>
      <c r="G3" s="3550"/>
    </row>
    <row r="4" spans="1:7">
      <c r="G4" s="3550"/>
    </row>
    <row r="5" spans="1:7" ht="14.25">
      <c r="A5" s="3551" t="s">
        <v>142</v>
      </c>
      <c r="B5" s="3492" t="s">
        <v>143</v>
      </c>
      <c r="G5" s="3550"/>
    </row>
    <row r="6" spans="1:7">
      <c r="G6" s="3550"/>
    </row>
    <row r="7" spans="1:7" ht="14.25">
      <c r="A7" s="3552" t="s">
        <v>144</v>
      </c>
      <c r="B7" s="3492" t="s">
        <v>145</v>
      </c>
      <c r="G7" s="3550"/>
    </row>
    <row r="8" spans="1:7">
      <c r="G8" s="3550"/>
    </row>
    <row r="9" spans="1:7">
      <c r="A9" s="3553" t="s">
        <v>146</v>
      </c>
      <c r="B9" s="3492" t="s">
        <v>147</v>
      </c>
    </row>
    <row r="11" spans="1:7">
      <c r="A11" s="3554" t="s">
        <v>148</v>
      </c>
      <c r="B11" s="3555" t="s">
        <v>149</v>
      </c>
    </row>
    <row r="13" spans="1:7">
      <c r="A13" s="3556" t="s">
        <v>150</v>
      </c>
    </row>
    <row r="15" spans="1:7" ht="14.25">
      <c r="A15" s="3686" t="s">
        <v>151</v>
      </c>
      <c r="B15" s="3694" t="s">
        <v>152</v>
      </c>
      <c r="C15" s="3695"/>
    </row>
    <row r="16" spans="1:7" ht="14.25">
      <c r="A16" s="3686"/>
      <c r="B16" s="3688" t="s">
        <v>153</v>
      </c>
      <c r="C16" s="3557" t="s">
        <v>151</v>
      </c>
    </row>
    <row r="17" spans="1:3" ht="14.25">
      <c r="A17" s="3686"/>
      <c r="B17" s="3688"/>
      <c r="C17" s="3557" t="s">
        <v>154</v>
      </c>
    </row>
    <row r="18" spans="1:3" ht="14.25">
      <c r="A18" s="3686"/>
      <c r="B18" s="3688"/>
      <c r="C18" s="3557" t="s">
        <v>155</v>
      </c>
    </row>
    <row r="19" spans="1:3" ht="14.25">
      <c r="A19" s="3686"/>
      <c r="B19" s="3696" t="s">
        <v>156</v>
      </c>
      <c r="C19" s="3695"/>
    </row>
    <row r="20" spans="1:3" ht="14.25">
      <c r="A20" s="3558" t="s">
        <v>157</v>
      </c>
      <c r="B20" s="3559"/>
      <c r="C20" s="3560"/>
    </row>
    <row r="21" spans="1:3" ht="14.25">
      <c r="A21" s="3687" t="s">
        <v>158</v>
      </c>
      <c r="B21" s="3696" t="s">
        <v>159</v>
      </c>
      <c r="C21" s="3695"/>
    </row>
    <row r="22" spans="1:3" ht="14.25">
      <c r="A22" s="3687"/>
      <c r="B22" s="3696" t="s">
        <v>160</v>
      </c>
      <c r="C22" s="3695"/>
    </row>
    <row r="23" spans="1:3" ht="14.25">
      <c r="A23" s="3687"/>
      <c r="B23" s="3696" t="s">
        <v>161</v>
      </c>
      <c r="C23" s="3695"/>
    </row>
    <row r="24" spans="1:3" ht="14.25">
      <c r="A24" s="3687"/>
      <c r="B24" s="3689" t="s">
        <v>162</v>
      </c>
      <c r="C24" s="3561" t="s">
        <v>163</v>
      </c>
    </row>
    <row r="25" spans="1:3" ht="14.25">
      <c r="A25" s="3687"/>
      <c r="B25" s="3690"/>
      <c r="C25" s="3561" t="s">
        <v>164</v>
      </c>
    </row>
    <row r="26" spans="1:3" ht="14.25">
      <c r="A26" s="3687"/>
      <c r="B26" s="3690"/>
      <c r="C26" s="3561" t="s">
        <v>165</v>
      </c>
    </row>
    <row r="27" spans="1:3" ht="14.25">
      <c r="A27" s="3687"/>
      <c r="B27" s="3690"/>
      <c r="C27" s="3561" t="s">
        <v>166</v>
      </c>
    </row>
    <row r="28" spans="1:3" ht="14.25">
      <c r="A28" s="3687"/>
      <c r="B28" s="3690"/>
      <c r="C28" s="3561" t="s">
        <v>167</v>
      </c>
    </row>
    <row r="29" spans="1:3" ht="14.25">
      <c r="A29" s="3687"/>
      <c r="B29" s="3690"/>
      <c r="C29" s="3561" t="s">
        <v>168</v>
      </c>
    </row>
    <row r="30" spans="1:3" ht="14.25">
      <c r="A30" s="3687"/>
      <c r="B30" s="3690"/>
      <c r="C30" s="3561" t="s">
        <v>169</v>
      </c>
    </row>
    <row r="31" spans="1:3" ht="14.25">
      <c r="A31" s="3687"/>
      <c r="B31" s="3690"/>
      <c r="C31" s="3561" t="s">
        <v>170</v>
      </c>
    </row>
    <row r="32" spans="1:3" ht="14.25">
      <c r="A32" s="3687"/>
      <c r="B32" s="3690"/>
      <c r="C32" s="3561" t="s">
        <v>171</v>
      </c>
    </row>
    <row r="33" spans="1:3" ht="14.25">
      <c r="A33" s="3687"/>
      <c r="B33" s="3691" t="s">
        <v>172</v>
      </c>
      <c r="C33" s="3561" t="s">
        <v>173</v>
      </c>
    </row>
    <row r="34" spans="1:3" ht="14.25">
      <c r="A34" s="3687"/>
      <c r="B34" s="3692"/>
      <c r="C34" s="3562" t="s">
        <v>174</v>
      </c>
    </row>
    <row r="35" spans="1:3" ht="14.25">
      <c r="A35" s="3687"/>
      <c r="B35" s="3692"/>
      <c r="C35" s="3563" t="s">
        <v>175</v>
      </c>
    </row>
    <row r="36" spans="1:3" ht="14.25">
      <c r="A36" s="3687"/>
      <c r="B36" s="3692"/>
      <c r="C36" s="3563" t="s">
        <v>176</v>
      </c>
    </row>
    <row r="37" spans="1:3" ht="14.25">
      <c r="A37" s="3687"/>
      <c r="B37" s="3693"/>
      <c r="C37" s="3564" t="s">
        <v>177</v>
      </c>
    </row>
    <row r="38" spans="1:3">
      <c r="A38" s="3565" t="s">
        <v>178</v>
      </c>
    </row>
    <row r="41" spans="1:3">
      <c r="A41" s="3565" t="s">
        <v>179</v>
      </c>
    </row>
    <row r="42" spans="1:3" ht="14.25">
      <c r="A42" s="3566" t="s">
        <v>180</v>
      </c>
    </row>
    <row r="43" spans="1:3" ht="14.25">
      <c r="A43" s="3566" t="s">
        <v>181</v>
      </c>
    </row>
    <row r="44" spans="1:3" ht="14.25">
      <c r="A44" s="3566" t="s">
        <v>182</v>
      </c>
    </row>
    <row r="45" spans="1:3" ht="14.25">
      <c r="A45" s="3567" t="s">
        <v>183</v>
      </c>
    </row>
    <row r="46" spans="1:3" ht="14.25">
      <c r="A46" s="356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9" customWidth="1"/>
    <col min="2" max="2" width="22.75" style="3519" customWidth="1"/>
    <col min="3" max="3" width="25.75" style="3519" customWidth="1"/>
    <col min="4" max="4" width="22.625" style="3519"/>
    <col min="5" max="5" width="22.75" style="3519" customWidth="1"/>
    <col min="6" max="6" width="25.625" style="3519" customWidth="1"/>
    <col min="7" max="16384" width="22.625" style="3519"/>
  </cols>
  <sheetData>
    <row r="1" spans="1:7" ht="20.25" customHeight="1">
      <c r="A1" s="3520"/>
      <c r="B1" s="3520"/>
      <c r="C1" s="3520"/>
      <c r="D1" s="3520"/>
      <c r="E1" s="3520"/>
      <c r="F1" s="3520"/>
      <c r="G1" s="3520"/>
    </row>
    <row r="2" spans="1:7" ht="20.25" customHeight="1">
      <c r="A2" s="3521" t="s">
        <v>185</v>
      </c>
      <c r="B2" s="3522">
        <f ca="1">TODAY()</f>
        <v>45273</v>
      </c>
      <c r="C2" s="3523" t="s">
        <v>186</v>
      </c>
      <c r="D2" s="3523"/>
      <c r="E2" s="3520"/>
      <c r="F2" s="3520"/>
      <c r="G2" s="3520"/>
    </row>
    <row r="3" spans="1:7" ht="20.25" customHeight="1">
      <c r="A3" s="3524" t="s">
        <v>129</v>
      </c>
      <c r="B3" s="3525" t="s">
        <v>187</v>
      </c>
      <c r="C3" s="3526" t="s">
        <v>188</v>
      </c>
      <c r="D3" s="3527" t="s">
        <v>189</v>
      </c>
      <c r="E3" s="3525" t="s">
        <v>190</v>
      </c>
      <c r="F3" s="3525" t="s">
        <v>188</v>
      </c>
      <c r="G3" s="3520"/>
    </row>
    <row r="4" spans="1:7" ht="20.25" customHeight="1">
      <c r="A4" s="3525" t="s">
        <v>191</v>
      </c>
      <c r="B4" s="3525">
        <f ca="1">IF(C4&lt;B2,"已过期",1119970066)</f>
        <v>1119970066</v>
      </c>
      <c r="C4" s="3528">
        <v>45937</v>
      </c>
      <c r="D4" s="3529" t="s">
        <v>191</v>
      </c>
      <c r="E4" s="3525">
        <f ca="1">IF(F4&lt;B2,"已过期",96010014)</f>
        <v>96010014</v>
      </c>
      <c r="F4" s="3530">
        <v>47118</v>
      </c>
      <c r="G4" s="3520"/>
    </row>
    <row r="5" spans="1:7" ht="20.25" customHeight="1">
      <c r="A5" s="3525" t="s">
        <v>192</v>
      </c>
      <c r="B5" s="3525">
        <f ca="1">IF(C5&lt;B2,"已过期",1119970111)</f>
        <v>1119970111</v>
      </c>
      <c r="C5" s="3528">
        <v>45937</v>
      </c>
      <c r="D5" s="3529" t="s">
        <v>192</v>
      </c>
      <c r="E5" s="3525">
        <f ca="1">IF(F5&lt;B2,"已过期",94010078)</f>
        <v>94010078</v>
      </c>
      <c r="F5" s="3530">
        <v>46387</v>
      </c>
      <c r="G5" s="3520"/>
    </row>
    <row r="6" spans="1:7" ht="20.25" customHeight="1">
      <c r="A6" s="3525" t="s">
        <v>193</v>
      </c>
      <c r="B6" s="3525">
        <f ca="1">IF(C6&lt;B2,"已过期",1120050019)</f>
        <v>1120050019</v>
      </c>
      <c r="C6" s="3528">
        <v>45410</v>
      </c>
      <c r="D6" s="3529" t="s">
        <v>193</v>
      </c>
      <c r="E6" s="3525">
        <f ca="1">IF(F6&lt;B2,"已过期",2002110030)</f>
        <v>2002110030</v>
      </c>
      <c r="F6" s="3530">
        <v>46387</v>
      </c>
      <c r="G6" s="3520"/>
    </row>
    <row r="7" spans="1:7" ht="20.25" customHeight="1">
      <c r="A7" s="3525" t="s">
        <v>194</v>
      </c>
      <c r="B7" s="3525">
        <f ca="1">IF(C7&lt;B2,"已过期",1120000080)</f>
        <v>1120000080</v>
      </c>
      <c r="C7" s="3528">
        <v>45937</v>
      </c>
      <c r="D7" s="3529" t="s">
        <v>194</v>
      </c>
      <c r="E7" s="3525">
        <f ca="1">IF(F7&lt;B2,"已过期",2000110082)</f>
        <v>2000110082</v>
      </c>
      <c r="F7" s="3530">
        <v>46387</v>
      </c>
      <c r="G7" s="3520"/>
    </row>
    <row r="8" spans="1:7" ht="20.25" customHeight="1">
      <c r="A8" s="3525" t="s">
        <v>195</v>
      </c>
      <c r="B8" s="3525">
        <f ca="1">IF(C8&lt;B2,"已过期",1419970001)</f>
        <v>1419970001</v>
      </c>
      <c r="C8" s="3528">
        <v>45937</v>
      </c>
      <c r="D8" s="3529" t="s">
        <v>195</v>
      </c>
      <c r="E8" s="3525">
        <f ca="1">IF(F8&lt;B2,"已过期",2002110125)</f>
        <v>2002110125</v>
      </c>
      <c r="F8" s="3530">
        <v>47118</v>
      </c>
      <c r="G8" s="3520"/>
    </row>
    <row r="9" spans="1:7" ht="20.25" customHeight="1">
      <c r="A9" s="3525" t="s">
        <v>196</v>
      </c>
      <c r="B9" s="3525">
        <f ca="1">IF(C9&lt;B2,"已过期",1120060040)</f>
        <v>1120060040</v>
      </c>
      <c r="C9" s="3528">
        <v>45592</v>
      </c>
      <c r="D9" s="3529" t="s">
        <v>196</v>
      </c>
      <c r="E9" s="3525">
        <f ca="1">IF(F9&lt;B2,"已过期",2004110096)</f>
        <v>2004110096</v>
      </c>
      <c r="F9" s="3530">
        <v>47118</v>
      </c>
      <c r="G9" s="3520"/>
    </row>
    <row r="10" spans="1:7" ht="20.25" customHeight="1">
      <c r="A10" s="3525" t="s">
        <v>197</v>
      </c>
      <c r="B10" s="3525">
        <f ca="1">IF(C10&lt;B2,"已过期",1120100036)</f>
        <v>1120100036</v>
      </c>
      <c r="C10" s="3528">
        <v>45752</v>
      </c>
      <c r="D10" s="3529" t="s">
        <v>197</v>
      </c>
      <c r="E10" s="3525">
        <f ca="1">IF(F10&lt;B2,"已过期",2010110070)</f>
        <v>2010110070</v>
      </c>
      <c r="F10" s="3530">
        <v>47907</v>
      </c>
      <c r="G10" s="3520"/>
    </row>
    <row r="11" spans="1:7" ht="20.25" customHeight="1">
      <c r="A11" s="3525" t="s">
        <v>198</v>
      </c>
      <c r="B11" s="3525">
        <f ca="1">IF(C11&lt;B2,"已过期",1120070131)</f>
        <v>1120070131</v>
      </c>
      <c r="C11" s="3528">
        <v>45937</v>
      </c>
      <c r="D11" s="3529" t="s">
        <v>198</v>
      </c>
      <c r="E11" s="3525">
        <f ca="1">IF(F11&lt;B2,"已过期",2014110011)</f>
        <v>2014110011</v>
      </c>
      <c r="F11" s="3530">
        <v>49302</v>
      </c>
      <c r="G11" s="3520"/>
    </row>
    <row r="12" spans="1:7" ht="20.25" customHeight="1">
      <c r="A12" s="3525" t="s">
        <v>199</v>
      </c>
      <c r="B12" s="3525">
        <f ca="1">IF(C12&lt;B2,"已过期",1120040230)</f>
        <v>1120040230</v>
      </c>
      <c r="C12" s="3528">
        <v>45937</v>
      </c>
      <c r="D12" s="3529" t="s">
        <v>199</v>
      </c>
      <c r="E12" s="3525">
        <f ca="1">IF(F12&lt;B2,"已过期",98030020)</f>
        <v>98030020</v>
      </c>
      <c r="F12" s="3530">
        <v>47118</v>
      </c>
      <c r="G12" s="3520"/>
    </row>
    <row r="13" spans="1:7" ht="20.25" customHeight="1">
      <c r="A13" s="3525"/>
      <c r="B13" s="3525"/>
      <c r="C13" s="3528"/>
      <c r="D13" s="3529" t="s">
        <v>200</v>
      </c>
      <c r="E13" s="3525">
        <f ca="1">IF(F13&lt;B2,"已过期",2011110090)</f>
        <v>2011110090</v>
      </c>
      <c r="F13" s="3530">
        <v>48302</v>
      </c>
      <c r="G13" s="3520"/>
    </row>
    <row r="14" spans="1:7" ht="20.25" customHeight="1">
      <c r="A14" s="3525" t="s">
        <v>201</v>
      </c>
      <c r="B14" s="3525">
        <f ca="1">IF(C14&lt;B2,"已过期",1120020033)</f>
        <v>1120020033</v>
      </c>
      <c r="C14" s="3528">
        <v>45375</v>
      </c>
      <c r="D14" s="3529" t="s">
        <v>201</v>
      </c>
      <c r="E14" s="3525">
        <f ca="1">IF(F14&lt;B2,"已过期",2000110137)</f>
        <v>2000110137</v>
      </c>
      <c r="F14" s="3530">
        <v>46387</v>
      </c>
      <c r="G14" s="3520"/>
    </row>
    <row r="15" spans="1:7" ht="20.25" customHeight="1">
      <c r="A15" s="3525" t="s">
        <v>202</v>
      </c>
      <c r="B15" s="3525" t="str">
        <f ca="1">IF(C15&lt;B2,"已过期",1119980106)</f>
        <v>已过期</v>
      </c>
      <c r="C15" s="3528">
        <v>44969</v>
      </c>
      <c r="D15" s="3529"/>
      <c r="E15" s="3525"/>
      <c r="F15" s="3525"/>
      <c r="G15" s="3520"/>
    </row>
    <row r="16" spans="1:7" ht="20.25" customHeight="1">
      <c r="A16" s="3531" t="s">
        <v>203</v>
      </c>
      <c r="B16" s="3531">
        <v>1120210056</v>
      </c>
      <c r="C16" s="3528">
        <v>45410</v>
      </c>
      <c r="D16" s="3529"/>
      <c r="E16" s="3525"/>
      <c r="F16" s="3525"/>
      <c r="G16" s="3520"/>
    </row>
    <row r="17" spans="1:7" s="3517" customFormat="1" ht="20.25" customHeight="1">
      <c r="A17" s="3531" t="s">
        <v>138</v>
      </c>
      <c r="B17" s="3531" t="s">
        <v>138</v>
      </c>
      <c r="C17" s="3528"/>
      <c r="D17" s="3532" t="s">
        <v>138</v>
      </c>
      <c r="E17" s="3525" t="s">
        <v>138</v>
      </c>
      <c r="F17" s="3530"/>
      <c r="G17" s="3533"/>
    </row>
    <row r="18" spans="1:7" ht="20.25" customHeight="1">
      <c r="A18" s="3697" t="s">
        <v>204</v>
      </c>
      <c r="B18" s="3698"/>
      <c r="C18" s="3698"/>
      <c r="D18" s="3698"/>
      <c r="E18" s="3698"/>
      <c r="F18" s="3698"/>
      <c r="G18" s="3533"/>
    </row>
    <row r="19" spans="1:7" ht="20.25" customHeight="1">
      <c r="A19" s="3699" t="s">
        <v>205</v>
      </c>
      <c r="B19" s="3699"/>
      <c r="C19" s="3700"/>
      <c r="D19" s="3701" t="s">
        <v>206</v>
      </c>
      <c r="E19" s="3699"/>
      <c r="F19" s="3699"/>
      <c r="G19" s="3533"/>
    </row>
    <row r="20" spans="1:7" s="3518" customFormat="1" ht="20.25" customHeight="1">
      <c r="A20" s="3536" t="s">
        <v>207</v>
      </c>
      <c r="B20" s="3534" t="s">
        <v>208</v>
      </c>
      <c r="C20" s="3535" t="s">
        <v>188</v>
      </c>
      <c r="D20" s="3529" t="s">
        <v>207</v>
      </c>
      <c r="E20" s="3534" t="s">
        <v>208</v>
      </c>
      <c r="F20" s="3534" t="s">
        <v>188</v>
      </c>
      <c r="G20" s="3521"/>
    </row>
    <row r="21" spans="1:7" s="3518" customFormat="1" ht="20.25" customHeight="1">
      <c r="A21" s="3537" t="s">
        <v>209</v>
      </c>
      <c r="B21" s="3537" t="s">
        <v>210</v>
      </c>
      <c r="C21" s="3538">
        <v>45898</v>
      </c>
      <c r="D21" s="3539" t="s">
        <v>211</v>
      </c>
      <c r="E21" s="3537" t="s">
        <v>212</v>
      </c>
      <c r="F21" s="3540">
        <v>44926</v>
      </c>
      <c r="G21" s="3521"/>
    </row>
    <row r="22" spans="1:7" s="3518" customFormat="1" ht="20.25" customHeight="1">
      <c r="A22" s="3537"/>
      <c r="B22" s="3537"/>
      <c r="C22" s="3541"/>
      <c r="D22" s="3539"/>
      <c r="E22" s="3537"/>
      <c r="F22" s="3540"/>
      <c r="G22" s="3521"/>
    </row>
    <row r="23" spans="1:7" ht="20.25" customHeight="1">
      <c r="A23" s="3520"/>
      <c r="B23" s="3520"/>
      <c r="C23" s="3542"/>
      <c r="D23" s="3543"/>
      <c r="E23" s="3544"/>
      <c r="F23" s="3545"/>
      <c r="G23" s="3520"/>
    </row>
  </sheetData>
  <sheetProtection password="CEE9" sheet="1" objects="1" scenarios="1"/>
  <mergeCells count="3">
    <mergeCell ref="A18:F18"/>
    <mergeCell ref="A19:C19"/>
    <mergeCell ref="D19:F19"/>
  </mergeCells>
  <phoneticPr fontId="24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1" customWidth="1"/>
    <col min="2" max="2" width="18.875" style="3492" customWidth="1"/>
    <col min="3" max="3" width="18.875" style="2617" customWidth="1"/>
    <col min="4" max="4" width="5.5" style="3493" customWidth="1"/>
    <col min="5" max="5" width="7.125" style="3493" customWidth="1"/>
    <col min="6" max="6" width="10.625" style="3493" customWidth="1"/>
    <col min="7" max="7" width="7.5" style="3493" customWidth="1"/>
    <col min="8" max="8" width="9" style="2617" customWidth="1"/>
    <col min="9" max="9" width="11.625" style="2617" customWidth="1"/>
    <col min="10" max="10" width="9" style="2617" customWidth="1"/>
    <col min="11" max="19" width="9" style="3493" customWidth="1"/>
    <col min="20" max="23" width="9" style="2617" customWidth="1"/>
    <col min="24" max="24" width="14.625" style="3492" customWidth="1"/>
    <col min="25" max="25" width="7.25" style="3492" customWidth="1"/>
    <col min="26" max="16384" width="9" style="3492"/>
  </cols>
  <sheetData>
    <row r="1" spans="1:23" s="3490" customFormat="1" ht="40.5">
      <c r="A1" s="3494" t="s">
        <v>213</v>
      </c>
      <c r="B1" s="3495" t="s">
        <v>214</v>
      </c>
      <c r="C1" s="3496" t="s">
        <v>215</v>
      </c>
      <c r="D1" s="3497" t="s">
        <v>216</v>
      </c>
      <c r="E1" s="3498" t="s">
        <v>217</v>
      </c>
      <c r="F1" s="3498" t="s">
        <v>218</v>
      </c>
      <c r="G1" s="3498" t="s">
        <v>219</v>
      </c>
      <c r="H1" s="3498" t="s">
        <v>220</v>
      </c>
      <c r="I1" s="3498" t="s">
        <v>221</v>
      </c>
      <c r="J1" s="3498" t="s">
        <v>222</v>
      </c>
      <c r="K1" s="3498" t="s">
        <v>223</v>
      </c>
      <c r="L1" s="3498" t="s">
        <v>224</v>
      </c>
      <c r="M1" s="3498" t="s">
        <v>225</v>
      </c>
      <c r="N1" s="3498" t="s">
        <v>226</v>
      </c>
      <c r="O1" s="3498" t="s">
        <v>227</v>
      </c>
      <c r="P1" s="3498" t="s">
        <v>228</v>
      </c>
      <c r="Q1" s="3497" t="s">
        <v>229</v>
      </c>
      <c r="R1" s="3514" t="s">
        <v>230</v>
      </c>
      <c r="S1" s="3498" t="s">
        <v>231</v>
      </c>
      <c r="T1" s="3515" t="s">
        <v>232</v>
      </c>
      <c r="U1" s="3498" t="s">
        <v>233</v>
      </c>
      <c r="V1" s="3498" t="s">
        <v>234</v>
      </c>
      <c r="W1" s="3516" t="s">
        <v>235</v>
      </c>
    </row>
    <row r="2" spans="1:23">
      <c r="A2" s="3499" t="s">
        <v>236</v>
      </c>
      <c r="B2" s="3499" t="s">
        <v>237</v>
      </c>
      <c r="C2" s="3500" t="s">
        <v>238</v>
      </c>
      <c r="D2" s="3493" t="s">
        <v>239</v>
      </c>
      <c r="E2" s="3493" t="s">
        <v>240</v>
      </c>
      <c r="F2" s="3493" t="s">
        <v>241</v>
      </c>
      <c r="G2" s="3498">
        <v>20</v>
      </c>
      <c r="H2" s="3493" t="s">
        <v>241</v>
      </c>
      <c r="I2" s="3493" t="s">
        <v>242</v>
      </c>
      <c r="J2" s="3493" t="s">
        <v>243</v>
      </c>
      <c r="K2" s="3493" t="s">
        <v>244</v>
      </c>
      <c r="L2" s="3493" t="s">
        <v>244</v>
      </c>
      <c r="M2" s="3493" t="s">
        <v>244</v>
      </c>
      <c r="N2" s="3493" t="s">
        <v>244</v>
      </c>
      <c r="O2" s="3493" t="s">
        <v>244</v>
      </c>
      <c r="P2" s="3513" t="s">
        <v>244</v>
      </c>
      <c r="Q2" s="3493" t="s">
        <v>244</v>
      </c>
      <c r="R2" s="3513" t="s">
        <v>245</v>
      </c>
      <c r="S2" s="3493" t="s">
        <v>244</v>
      </c>
      <c r="T2" s="3493" t="s">
        <v>246</v>
      </c>
      <c r="U2" s="3493" t="s">
        <v>244</v>
      </c>
      <c r="V2" s="3493" t="s">
        <v>247</v>
      </c>
      <c r="W2" s="3493" t="s">
        <v>248</v>
      </c>
    </row>
    <row r="3" spans="1:23">
      <c r="A3" s="3499" t="s">
        <v>249</v>
      </c>
      <c r="B3" s="3501" t="s">
        <v>250</v>
      </c>
      <c r="C3" s="3502" t="s">
        <v>251</v>
      </c>
      <c r="D3" s="3493" t="s">
        <v>252</v>
      </c>
      <c r="E3" s="3493" t="s">
        <v>138</v>
      </c>
      <c r="F3" s="3493" t="s">
        <v>253</v>
      </c>
      <c r="G3" s="3493">
        <v>40</v>
      </c>
      <c r="H3" s="3493" t="s">
        <v>253</v>
      </c>
      <c r="I3" s="3493" t="s">
        <v>254</v>
      </c>
      <c r="J3" s="3493" t="s">
        <v>255</v>
      </c>
      <c r="K3" s="3493" t="s">
        <v>256</v>
      </c>
      <c r="L3" s="3493" t="s">
        <v>256</v>
      </c>
      <c r="M3" s="3493" t="s">
        <v>256</v>
      </c>
      <c r="N3" s="3493" t="s">
        <v>256</v>
      </c>
      <c r="O3" s="3493" t="s">
        <v>256</v>
      </c>
      <c r="P3" s="3513" t="s">
        <v>256</v>
      </c>
      <c r="Q3" s="3493" t="s">
        <v>256</v>
      </c>
      <c r="R3" s="3513" t="s">
        <v>257</v>
      </c>
      <c r="S3" s="3493" t="s">
        <v>256</v>
      </c>
      <c r="T3" s="3493" t="s">
        <v>258</v>
      </c>
      <c r="U3" s="3493" t="s">
        <v>256</v>
      </c>
      <c r="V3" s="3493" t="s">
        <v>259</v>
      </c>
      <c r="W3" s="3493" t="s">
        <v>260</v>
      </c>
    </row>
    <row r="4" spans="1:23">
      <c r="A4" s="3499" t="s">
        <v>261</v>
      </c>
      <c r="B4" s="3499" t="s">
        <v>262</v>
      </c>
      <c r="C4" s="3500" t="s">
        <v>263</v>
      </c>
      <c r="D4" s="3493" t="s">
        <v>138</v>
      </c>
      <c r="E4" s="3493" t="s">
        <v>264</v>
      </c>
      <c r="F4" s="3493" t="s">
        <v>265</v>
      </c>
      <c r="G4" s="3493">
        <v>50</v>
      </c>
      <c r="H4" s="3493" t="s">
        <v>265</v>
      </c>
      <c r="I4" s="3493" t="s">
        <v>266</v>
      </c>
      <c r="K4" s="3493" t="s">
        <v>267</v>
      </c>
      <c r="L4" s="3493" t="s">
        <v>267</v>
      </c>
      <c r="M4" s="3493" t="s">
        <v>267</v>
      </c>
      <c r="N4" s="3493" t="s">
        <v>267</v>
      </c>
      <c r="O4" s="3493" t="s">
        <v>267</v>
      </c>
      <c r="P4" s="3513" t="s">
        <v>267</v>
      </c>
      <c r="Q4" s="3493" t="s">
        <v>267</v>
      </c>
      <c r="R4" s="3513" t="s">
        <v>268</v>
      </c>
      <c r="S4" s="3493" t="s">
        <v>267</v>
      </c>
      <c r="T4" s="3493" t="s">
        <v>269</v>
      </c>
      <c r="U4" s="3493" t="s">
        <v>267</v>
      </c>
      <c r="W4" s="3493" t="s">
        <v>270</v>
      </c>
    </row>
    <row r="5" spans="1:23">
      <c r="A5" s="3499" t="s">
        <v>271</v>
      </c>
      <c r="B5" s="3499" t="s">
        <v>272</v>
      </c>
      <c r="C5" s="3500" t="s">
        <v>273</v>
      </c>
      <c r="F5" s="3493" t="s">
        <v>274</v>
      </c>
      <c r="G5" s="3493">
        <v>70</v>
      </c>
      <c r="H5" s="3493" t="s">
        <v>275</v>
      </c>
      <c r="I5" s="3493" t="s">
        <v>276</v>
      </c>
      <c r="K5" s="3493" t="s">
        <v>277</v>
      </c>
      <c r="L5" s="3493" t="s">
        <v>277</v>
      </c>
      <c r="M5" s="3493" t="s">
        <v>277</v>
      </c>
      <c r="N5" s="3493" t="s">
        <v>277</v>
      </c>
      <c r="O5" s="3493" t="s">
        <v>277</v>
      </c>
      <c r="P5" s="3513" t="s">
        <v>277</v>
      </c>
      <c r="Q5" s="3493" t="s">
        <v>277</v>
      </c>
      <c r="R5" s="3513" t="s">
        <v>278</v>
      </c>
      <c r="S5" s="3493" t="s">
        <v>277</v>
      </c>
      <c r="T5" s="3493" t="s">
        <v>279</v>
      </c>
      <c r="U5" s="3493" t="s">
        <v>277</v>
      </c>
      <c r="W5" s="3493" t="s">
        <v>280</v>
      </c>
    </row>
    <row r="6" spans="1:23">
      <c r="A6" s="3499" t="s">
        <v>281</v>
      </c>
      <c r="B6" s="3503" t="s">
        <v>173</v>
      </c>
      <c r="C6" s="3504" t="s">
        <v>282</v>
      </c>
      <c r="F6" s="3493" t="s">
        <v>275</v>
      </c>
      <c r="H6" s="3493" t="s">
        <v>283</v>
      </c>
      <c r="I6" s="3493" t="s">
        <v>284</v>
      </c>
      <c r="K6" s="3493" t="s">
        <v>285</v>
      </c>
      <c r="L6" s="3493" t="s">
        <v>285</v>
      </c>
      <c r="M6" s="3493" t="s">
        <v>285</v>
      </c>
      <c r="N6" s="3493" t="s">
        <v>285</v>
      </c>
      <c r="O6" s="3493" t="s">
        <v>285</v>
      </c>
      <c r="P6" s="3513" t="s">
        <v>285</v>
      </c>
      <c r="Q6" s="3493" t="s">
        <v>285</v>
      </c>
      <c r="R6" s="3513" t="s">
        <v>286</v>
      </c>
      <c r="S6" s="3493" t="s">
        <v>285</v>
      </c>
      <c r="T6" s="3493"/>
      <c r="U6" s="3493" t="s">
        <v>285</v>
      </c>
      <c r="W6" s="3493" t="s">
        <v>287</v>
      </c>
    </row>
    <row r="7" spans="1:23">
      <c r="A7" s="3499" t="s">
        <v>288</v>
      </c>
      <c r="B7" s="3499" t="s">
        <v>289</v>
      </c>
      <c r="C7" s="3500" t="s">
        <v>290</v>
      </c>
      <c r="F7" s="3493" t="s">
        <v>291</v>
      </c>
      <c r="H7" s="3493" t="s">
        <v>274</v>
      </c>
      <c r="I7" s="3493" t="s">
        <v>292</v>
      </c>
    </row>
    <row r="8" spans="1:23">
      <c r="A8" s="3499" t="s">
        <v>293</v>
      </c>
      <c r="B8" s="3499" t="s">
        <v>294</v>
      </c>
      <c r="C8" s="3500" t="s">
        <v>295</v>
      </c>
      <c r="F8" s="3493" t="s">
        <v>296</v>
      </c>
      <c r="H8" s="3505" t="s">
        <v>297</v>
      </c>
      <c r="I8" s="3493" t="s">
        <v>298</v>
      </c>
    </row>
    <row r="9" spans="1:23">
      <c r="A9" s="3499" t="s">
        <v>299</v>
      </c>
      <c r="B9" s="3499" t="s">
        <v>300</v>
      </c>
      <c r="C9" s="3500" t="s">
        <v>301</v>
      </c>
      <c r="F9" s="3493" t="s">
        <v>283</v>
      </c>
      <c r="H9" s="3493"/>
      <c r="I9" s="3493" t="s">
        <v>302</v>
      </c>
    </row>
    <row r="10" spans="1:23">
      <c r="A10" s="3499" t="s">
        <v>303</v>
      </c>
      <c r="B10" s="3499" t="s">
        <v>304</v>
      </c>
      <c r="C10" s="3500" t="s">
        <v>305</v>
      </c>
      <c r="F10" s="3505" t="s">
        <v>297</v>
      </c>
      <c r="I10" s="3493" t="s">
        <v>306</v>
      </c>
    </row>
    <row r="11" spans="1:23">
      <c r="A11" s="3499" t="s">
        <v>307</v>
      </c>
      <c r="B11" s="3499" t="s">
        <v>308</v>
      </c>
      <c r="C11" s="3500" t="s">
        <v>309</v>
      </c>
      <c r="I11" s="3493" t="s">
        <v>310</v>
      </c>
    </row>
    <row r="12" spans="1:23">
      <c r="A12" s="3499" t="s">
        <v>311</v>
      </c>
      <c r="B12" s="3499" t="s">
        <v>312</v>
      </c>
      <c r="C12" s="3500" t="s">
        <v>313</v>
      </c>
      <c r="I12" s="3493" t="s">
        <v>314</v>
      </c>
    </row>
    <row r="13" spans="1:23">
      <c r="A13" s="3499" t="s">
        <v>315</v>
      </c>
      <c r="B13" s="3499" t="s">
        <v>316</v>
      </c>
      <c r="C13" s="3500" t="s">
        <v>317</v>
      </c>
      <c r="I13" s="3493" t="s">
        <v>318</v>
      </c>
    </row>
    <row r="14" spans="1:23">
      <c r="A14" s="3499" t="s">
        <v>319</v>
      </c>
      <c r="B14" s="3499" t="s">
        <v>320</v>
      </c>
      <c r="C14" s="3506" t="s">
        <v>138</v>
      </c>
      <c r="I14" s="3493" t="s">
        <v>321</v>
      </c>
    </row>
    <row r="15" spans="1:23">
      <c r="A15" s="3499" t="s">
        <v>322</v>
      </c>
      <c r="B15" s="3499" t="s">
        <v>323</v>
      </c>
      <c r="C15" s="3506"/>
      <c r="I15" s="3493" t="s">
        <v>324</v>
      </c>
    </row>
    <row r="16" spans="1:23">
      <c r="A16" s="3499" t="s">
        <v>325</v>
      </c>
      <c r="B16" s="3499" t="s">
        <v>326</v>
      </c>
      <c r="C16" s="3506"/>
    </row>
    <row r="17" spans="1:3">
      <c r="A17" s="3499" t="s">
        <v>327</v>
      </c>
      <c r="B17" s="3499" t="s">
        <v>328</v>
      </c>
      <c r="C17" s="3506"/>
    </row>
    <row r="18" spans="1:3">
      <c r="A18" s="3499" t="s">
        <v>329</v>
      </c>
      <c r="B18" s="3507" t="s">
        <v>330</v>
      </c>
      <c r="C18" s="3506"/>
    </row>
    <row r="19" spans="1:3">
      <c r="A19" s="3499" t="s">
        <v>331</v>
      </c>
      <c r="B19" s="3507" t="s">
        <v>332</v>
      </c>
      <c r="C19" s="3506"/>
    </row>
    <row r="20" spans="1:3">
      <c r="A20" s="3499" t="s">
        <v>275</v>
      </c>
      <c r="B20" s="3507" t="s">
        <v>171</v>
      </c>
      <c r="C20" s="3506"/>
    </row>
    <row r="21" spans="1:3">
      <c r="A21" s="3499" t="s">
        <v>333</v>
      </c>
      <c r="B21" s="3499" t="s">
        <v>334</v>
      </c>
      <c r="C21" s="3506"/>
    </row>
    <row r="22" spans="1:3">
      <c r="A22" s="3499" t="s">
        <v>335</v>
      </c>
      <c r="B22" s="3499" t="s">
        <v>336</v>
      </c>
      <c r="C22" s="3506"/>
    </row>
    <row r="23" spans="1:3">
      <c r="A23" s="3499" t="s">
        <v>337</v>
      </c>
      <c r="B23" s="3499" t="s">
        <v>336</v>
      </c>
      <c r="C23" s="3506"/>
    </row>
    <row r="24" spans="1:3">
      <c r="A24" s="3499" t="s">
        <v>138</v>
      </c>
      <c r="B24" s="3499" t="s">
        <v>336</v>
      </c>
      <c r="C24" s="3506"/>
    </row>
    <row r="25" spans="1:3">
      <c r="A25" s="3499" t="s">
        <v>338</v>
      </c>
      <c r="B25" s="3499" t="s">
        <v>336</v>
      </c>
      <c r="C25" s="3506"/>
    </row>
    <row r="26" spans="1:3">
      <c r="A26" s="3499" t="s">
        <v>339</v>
      </c>
      <c r="B26" s="3499" t="s">
        <v>336</v>
      </c>
      <c r="C26" s="3506"/>
    </row>
    <row r="27" spans="1:3">
      <c r="A27" s="3499" t="s">
        <v>336</v>
      </c>
      <c r="B27" s="3499" t="s">
        <v>336</v>
      </c>
      <c r="C27" s="3506"/>
    </row>
    <row r="28" spans="1:3">
      <c r="A28" s="3499" t="s">
        <v>336</v>
      </c>
      <c r="B28" s="3499" t="s">
        <v>336</v>
      </c>
      <c r="C28" s="3506"/>
    </row>
    <row r="29" spans="1:3">
      <c r="A29" s="3499" t="s">
        <v>336</v>
      </c>
      <c r="B29" s="3499" t="s">
        <v>336</v>
      </c>
      <c r="C29" s="3506"/>
    </row>
    <row r="30" spans="1:3">
      <c r="A30" s="3499" t="s">
        <v>336</v>
      </c>
      <c r="B30" s="3499" t="s">
        <v>336</v>
      </c>
      <c r="C30" s="3506"/>
    </row>
    <row r="31" spans="1:3">
      <c r="A31" s="3499" t="s">
        <v>336</v>
      </c>
      <c r="B31" s="3499" t="s">
        <v>336</v>
      </c>
      <c r="C31" s="3506"/>
    </row>
    <row r="32" spans="1:3">
      <c r="A32" s="3499" t="s">
        <v>336</v>
      </c>
      <c r="B32" s="3499" t="s">
        <v>336</v>
      </c>
      <c r="C32" s="3506"/>
    </row>
    <row r="33" spans="1:3">
      <c r="A33" s="3499" t="s">
        <v>336</v>
      </c>
      <c r="B33" s="3499" t="s">
        <v>336</v>
      </c>
      <c r="C33" s="3506"/>
    </row>
    <row r="34" spans="1:3">
      <c r="A34" s="3499" t="s">
        <v>336</v>
      </c>
      <c r="B34" s="3499" t="s">
        <v>336</v>
      </c>
      <c r="C34" s="3506"/>
    </row>
    <row r="35" spans="1:3">
      <c r="A35" s="3499" t="s">
        <v>336</v>
      </c>
      <c r="B35" s="3499" t="s">
        <v>336</v>
      </c>
      <c r="C35" s="3506"/>
    </row>
    <row r="36" spans="1:3">
      <c r="A36" s="3499" t="s">
        <v>336</v>
      </c>
      <c r="B36" s="3499" t="s">
        <v>336</v>
      </c>
      <c r="C36" s="3506"/>
    </row>
    <row r="37" spans="1:3">
      <c r="A37" s="3499" t="s">
        <v>336</v>
      </c>
      <c r="B37" s="3499" t="s">
        <v>336</v>
      </c>
      <c r="C37" s="3506"/>
    </row>
    <row r="38" spans="1:3">
      <c r="A38" s="3499" t="s">
        <v>336</v>
      </c>
      <c r="B38" s="3499" t="s">
        <v>336</v>
      </c>
      <c r="C38" s="3506"/>
    </row>
    <row r="39" spans="1:3">
      <c r="A39" s="3499" t="s">
        <v>336</v>
      </c>
      <c r="B39" s="3499" t="s">
        <v>336</v>
      </c>
      <c r="C39" s="3506"/>
    </row>
    <row r="40" spans="1:3">
      <c r="A40" s="3499" t="s">
        <v>336</v>
      </c>
      <c r="B40" s="3499" t="s">
        <v>336</v>
      </c>
      <c r="C40" s="3506"/>
    </row>
    <row r="41" spans="1:3">
      <c r="A41" s="3499" t="s">
        <v>336</v>
      </c>
      <c r="B41" s="3499" t="s">
        <v>336</v>
      </c>
      <c r="C41" s="3506"/>
    </row>
    <row r="42" spans="1:3">
      <c r="A42" s="3499" t="s">
        <v>336</v>
      </c>
      <c r="B42" s="3499" t="s">
        <v>336</v>
      </c>
      <c r="C42" s="3506"/>
    </row>
    <row r="43" spans="1:3">
      <c r="A43" s="3499" t="s">
        <v>336</v>
      </c>
      <c r="B43" s="3499" t="s">
        <v>336</v>
      </c>
      <c r="C43" s="3506"/>
    </row>
    <row r="44" spans="1:3">
      <c r="A44" s="3499" t="s">
        <v>336</v>
      </c>
      <c r="B44" s="3499" t="s">
        <v>336</v>
      </c>
      <c r="C44" s="3506"/>
    </row>
    <row r="45" spans="1:3">
      <c r="A45" s="3499" t="s">
        <v>336</v>
      </c>
      <c r="B45" s="3499" t="s">
        <v>336</v>
      </c>
      <c r="C45" s="3506"/>
    </row>
    <row r="46" spans="1:3">
      <c r="A46" s="3499" t="s">
        <v>336</v>
      </c>
      <c r="B46" s="3499" t="s">
        <v>336</v>
      </c>
      <c r="C46" s="3506"/>
    </row>
    <row r="47" spans="1:3">
      <c r="A47" s="3499" t="s">
        <v>336</v>
      </c>
      <c r="B47" s="3499" t="s">
        <v>336</v>
      </c>
      <c r="C47" s="3506"/>
    </row>
    <row r="48" spans="1:3">
      <c r="A48" s="3499" t="s">
        <v>336</v>
      </c>
      <c r="B48" s="3499" t="s">
        <v>336</v>
      </c>
      <c r="C48" s="3506"/>
    </row>
    <row r="49" spans="1:5">
      <c r="A49" s="3499" t="s">
        <v>336</v>
      </c>
      <c r="B49" s="3499" t="s">
        <v>336</v>
      </c>
      <c r="C49" s="3506"/>
    </row>
    <row r="50" spans="1:5">
      <c r="A50" s="3499" t="s">
        <v>336</v>
      </c>
      <c r="B50" s="3499" t="s">
        <v>336</v>
      </c>
      <c r="C50" s="3506"/>
    </row>
    <row r="51" spans="1:5">
      <c r="A51" s="3508" t="s">
        <v>340</v>
      </c>
      <c r="B51" s="35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0"/>
    </row>
    <row r="52" spans="1:5">
      <c r="A52" s="3508" t="s">
        <v>341</v>
      </c>
      <c r="B52" s="3511" t="s">
        <v>342</v>
      </c>
      <c r="C52" s="3509" t="s">
        <v>343</v>
      </c>
      <c r="D52" s="3509" t="s">
        <v>344</v>
      </c>
      <c r="E52" s="3510"/>
    </row>
    <row r="53" spans="1:5">
      <c r="A53" s="3702" t="s">
        <v>345</v>
      </c>
      <c r="B53" s="3509" t="s">
        <v>346</v>
      </c>
      <c r="C53" s="35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c r="D53" s="3510"/>
      <c r="E53" s="3510"/>
    </row>
    <row r="54" spans="1:5">
      <c r="A54" s="3702"/>
      <c r="B54" s="3509" t="s">
        <v>347</v>
      </c>
      <c r="C54" s="35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0"/>
      <c r="E54" s="3510"/>
    </row>
    <row r="55" spans="1:5">
      <c r="A55" s="3702"/>
      <c r="B55" s="3509" t="s">
        <v>348</v>
      </c>
      <c r="C55" s="35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0"/>
      <c r="E55" s="3510"/>
    </row>
    <row r="56" spans="1:5">
      <c r="A56" s="3702"/>
      <c r="B56" s="3509" t="s">
        <v>349</v>
      </c>
      <c r="C56" s="35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0"/>
      <c r="E56" s="3510"/>
    </row>
    <row r="57" spans="1:5">
      <c r="A57" s="3702"/>
      <c r="B57" s="3509" t="s">
        <v>350</v>
      </c>
      <c r="C57" s="35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0"/>
      <c r="E57" s="3510"/>
    </row>
    <row r="58" spans="1:5">
      <c r="A58" s="3512" t="s">
        <v>351</v>
      </c>
      <c r="B58" s="3509" t="s">
        <v>352</v>
      </c>
      <c r="C58" s="2617" t="s">
        <v>353</v>
      </c>
      <c r="D58" s="2711" t="s">
        <v>354</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估价对象</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不动产收益法</vt:lpstr>
      <vt:lpstr>不动产比较法-车位</vt:lpstr>
      <vt:lpstr>案例</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2017-03-09T08:11:00Z</cp:lastPrinted>
  <dcterms:created xsi:type="dcterms:W3CDTF">2015-07-13T07:17:00Z</dcterms:created>
  <dcterms:modified xsi:type="dcterms:W3CDTF">2023-12-13T08:30:24Z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C534450A7AB54F6EB07573C648286D20_12</vt:lpwstr>
  </property>
  <property fmtid="{D5CDD505-2E9C-101B-9397-08002B2CF9AE}" pid="3" name="KSOProductBuildVer">
    <vt:lpwstr>2052-12.1.0.15990</vt:lpwstr>
  </property>
  <property fmtid="{D5CDD505-2E9C-101B-9397-08002B2CF9AE}" pid="4" name="KSOReadingLayout">
    <vt:bool>true</vt:bool>
  </property>
</Properties>
</file>