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三月在家\恒大大兴\F02第一批\最终\"/>
    </mc:Choice>
  </mc:AlternateContent>
  <bookViews>
    <workbookView xWindow="0" yWindow="0" windowWidth="20490" windowHeight="8520" tabRatio="895" firstSheet="13"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面积表!$A$2:$L$890</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15" i="74" l="1"/>
  <c r="D6" i="73"/>
  <c r="K1" i="73"/>
  <c r="D5" i="73"/>
  <c r="G1" i="73"/>
  <c r="B40" i="1"/>
  <c r="F22" i="80"/>
  <c r="C23" i="80"/>
  <c r="C24" i="80"/>
  <c r="C25" i="80"/>
  <c r="C22" i="80"/>
  <c r="F27" i="80"/>
  <c r="C28" i="80"/>
  <c r="C27" i="80"/>
  <c r="C26" i="80"/>
  <c r="D22" i="80"/>
  <c r="C29" i="80"/>
  <c r="D27" i="80"/>
  <c r="C31" i="80"/>
  <c r="F34" i="80"/>
  <c r="C34" i="80"/>
  <c r="C35" i="80"/>
  <c r="C36" i="80"/>
  <c r="D9" i="80"/>
  <c r="D10" i="80"/>
  <c r="D19" i="80"/>
  <c r="D37" i="80"/>
  <c r="C37" i="80"/>
  <c r="C38" i="80"/>
  <c r="C33" i="80"/>
  <c r="C39" i="80"/>
  <c r="C42" i="80"/>
  <c r="C43" i="80"/>
  <c r="C41" i="80"/>
  <c r="C46" i="80"/>
  <c r="C45" i="80"/>
  <c r="C44" i="80"/>
  <c r="D41" i="80"/>
  <c r="C47" i="80"/>
  <c r="D45" i="80"/>
  <c r="C49" i="80"/>
  <c r="C51" i="80"/>
  <c r="C52" i="80"/>
  <c r="B2" i="80"/>
  <c r="C19" i="84"/>
  <c r="F6" i="82"/>
  <c r="F8" i="82"/>
  <c r="F7" i="82"/>
  <c r="F9" i="82"/>
  <c r="C6" i="82"/>
  <c r="F4" i="73"/>
  <c r="I1" i="73"/>
  <c r="B39" i="1"/>
  <c r="F11" i="82"/>
  <c r="C10" i="82"/>
  <c r="C5" i="82"/>
  <c r="C32" i="82"/>
  <c r="C14" i="82"/>
  <c r="C15" i="82"/>
  <c r="F16" i="82"/>
  <c r="C16" i="82"/>
  <c r="F43" i="82"/>
  <c r="C17" i="82"/>
  <c r="C18" i="82"/>
  <c r="C19" i="82"/>
  <c r="C20" i="82"/>
  <c r="F24" i="82"/>
  <c r="C23" i="82"/>
  <c r="F26" i="82"/>
  <c r="C26" i="82"/>
  <c r="C24" i="82"/>
  <c r="C27" i="82"/>
  <c r="C29" i="82"/>
  <c r="C33" i="82"/>
  <c r="R8" i="1"/>
  <c r="F35" i="82"/>
  <c r="C34" i="82"/>
  <c r="C31" i="82"/>
  <c r="F36" i="82"/>
  <c r="C36" i="82"/>
  <c r="F13" i="82"/>
  <c r="C13" i="82"/>
  <c r="F37" i="82"/>
  <c r="C37" i="82"/>
  <c r="F38" i="82"/>
  <c r="C38" i="82"/>
  <c r="C30" i="82"/>
  <c r="C39" i="82"/>
  <c r="F42" i="82"/>
  <c r="F40" i="82"/>
  <c r="L48" i="82"/>
  <c r="J53" i="82"/>
  <c r="F1" i="82"/>
  <c r="AE8" i="1"/>
  <c r="F41" i="82"/>
  <c r="C40" i="82"/>
  <c r="M6" i="82"/>
  <c r="M8" i="82"/>
  <c r="M7" i="82"/>
  <c r="M9" i="82"/>
  <c r="J6" i="82"/>
  <c r="M11" i="82"/>
  <c r="J10" i="82"/>
  <c r="J5" i="82"/>
  <c r="J26" i="82"/>
  <c r="J29" i="82"/>
  <c r="J57" i="82"/>
  <c r="J55" i="82"/>
  <c r="J58" i="82"/>
  <c r="J59" i="82"/>
  <c r="J60" i="82"/>
  <c r="L46" i="82"/>
  <c r="B2" i="82"/>
  <c r="D19" i="84"/>
  <c r="G19" i="84"/>
  <c r="C32" i="84"/>
  <c r="H118" i="84"/>
  <c r="I118" i="84"/>
  <c r="E116" i="77"/>
  <c r="E117" i="77"/>
  <c r="E118" i="77"/>
  <c r="E119" i="77"/>
  <c r="E120" i="77"/>
  <c r="F120" i="77"/>
  <c r="E584" i="77"/>
  <c r="E585" i="77"/>
  <c r="E586" i="77"/>
  <c r="E587" i="77"/>
  <c r="E588" i="77"/>
  <c r="F588" i="77"/>
  <c r="E671" i="77"/>
  <c r="E672" i="77"/>
  <c r="E673" i="77"/>
  <c r="E674" i="77"/>
  <c r="E675" i="77"/>
  <c r="F675" i="77"/>
  <c r="E770" i="77"/>
  <c r="E771" i="77"/>
  <c r="E772" i="77"/>
  <c r="E773" i="77"/>
  <c r="E774" i="77"/>
  <c r="F774" i="77"/>
  <c r="E775" i="77"/>
  <c r="E776" i="77"/>
  <c r="E777" i="77"/>
  <c r="E778" i="77"/>
  <c r="E779" i="77"/>
  <c r="E780" i="77"/>
  <c r="E781" i="77"/>
  <c r="E782" i="77"/>
  <c r="E783" i="77"/>
  <c r="E784" i="77"/>
  <c r="E785" i="77"/>
  <c r="E786" i="77"/>
  <c r="E787" i="77"/>
  <c r="E788" i="77"/>
  <c r="E789" i="77"/>
  <c r="E790" i="77"/>
  <c r="E791" i="77"/>
  <c r="E792" i="77"/>
  <c r="E793" i="77"/>
  <c r="E794" i="77"/>
  <c r="E795" i="77"/>
  <c r="E796" i="77"/>
  <c r="E797" i="77"/>
  <c r="E798" i="77"/>
  <c r="E799" i="77"/>
  <c r="E800" i="77"/>
  <c r="E801" i="77"/>
  <c r="E802" i="77"/>
  <c r="E803" i="77"/>
  <c r="E804" i="77"/>
  <c r="E805" i="77"/>
  <c r="E806" i="77"/>
  <c r="E807" i="77"/>
  <c r="E808" i="77"/>
  <c r="E809" i="77"/>
  <c r="E810" i="77"/>
  <c r="E811" i="77"/>
  <c r="E812" i="77"/>
  <c r="E813" i="77"/>
  <c r="E814" i="77"/>
  <c r="E815" i="77"/>
  <c r="E816" i="77"/>
  <c r="E817" i="77"/>
  <c r="E818" i="77"/>
  <c r="E819" i="77"/>
  <c r="E820" i="77"/>
  <c r="E821" i="77"/>
  <c r="E827" i="77"/>
  <c r="E828" i="77"/>
  <c r="E829" i="77"/>
  <c r="E830" i="77"/>
  <c r="E831" i="77"/>
  <c r="F831" i="77"/>
  <c r="F22" i="79"/>
  <c r="C23" i="79"/>
  <c r="C24" i="79"/>
  <c r="C25" i="79"/>
  <c r="C22" i="79"/>
  <c r="F27" i="79"/>
  <c r="C28" i="79"/>
  <c r="C27" i="79"/>
  <c r="C26" i="79"/>
  <c r="D22" i="79"/>
  <c r="C29" i="79"/>
  <c r="D27" i="79"/>
  <c r="C31" i="79"/>
  <c r="F34" i="79"/>
  <c r="C34" i="79"/>
  <c r="C35" i="79"/>
  <c r="C36" i="79"/>
  <c r="D9" i="79"/>
  <c r="D10" i="79"/>
  <c r="D19" i="79"/>
  <c r="D37" i="79"/>
  <c r="C37" i="79"/>
  <c r="C38" i="79"/>
  <c r="C33" i="79"/>
  <c r="C39" i="79"/>
  <c r="C42" i="79"/>
  <c r="C43" i="79"/>
  <c r="C41" i="79"/>
  <c r="C46" i="79"/>
  <c r="C45" i="79"/>
  <c r="C44" i="79"/>
  <c r="D41" i="79"/>
  <c r="C47" i="79"/>
  <c r="D45" i="79"/>
  <c r="C49" i="79"/>
  <c r="C51" i="79"/>
  <c r="C52" i="79"/>
  <c r="B2" i="79"/>
  <c r="C19" i="83"/>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57" i="81"/>
  <c r="J55" i="81"/>
  <c r="J58" i="81"/>
  <c r="J59" i="81"/>
  <c r="J60" i="81"/>
  <c r="L46" i="81"/>
  <c r="B2" i="81"/>
  <c r="D19" i="83"/>
  <c r="G19" i="83"/>
  <c r="C32" i="83"/>
  <c r="H118" i="83"/>
  <c r="J40" i="77"/>
  <c r="E429" i="77"/>
  <c r="E433" i="77"/>
  <c r="E434" i="77"/>
  <c r="F434" i="77"/>
  <c r="E435" i="77"/>
  <c r="F435" i="77"/>
  <c r="E436" i="77"/>
  <c r="F436" i="77"/>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E3" i="77"/>
  <c r="E4" i="77"/>
  <c r="E5" i="77"/>
  <c r="E6" i="77"/>
  <c r="E7" i="77"/>
  <c r="E8" i="77"/>
  <c r="E9" i="77"/>
  <c r="E10" i="77"/>
  <c r="E11" i="77"/>
  <c r="E12" i="77"/>
  <c r="E13" i="77"/>
  <c r="E14" i="77"/>
  <c r="E15" i="77"/>
  <c r="E16" i="77"/>
  <c r="E17" i="77"/>
  <c r="E18" i="77"/>
  <c r="E19" i="77"/>
  <c r="E20" i="77"/>
  <c r="E21" i="77"/>
  <c r="E437" i="77"/>
  <c r="F437" i="77"/>
  <c r="E438" i="77"/>
  <c r="F438" i="77"/>
  <c r="E22" i="77"/>
  <c r="E23" i="77"/>
  <c r="E439" i="77"/>
  <c r="F439" i="77"/>
  <c r="E440" i="77"/>
  <c r="F440" i="77"/>
  <c r="E24" i="77"/>
  <c r="E25" i="77"/>
  <c r="E441" i="77"/>
  <c r="F441" i="77"/>
  <c r="F674" i="77"/>
  <c r="E27" i="77"/>
  <c r="E28" i="77"/>
  <c r="E29" i="77"/>
  <c r="E30" i="77"/>
  <c r="E31" i="77"/>
  <c r="F31" i="77"/>
  <c r="E69" i="77"/>
  <c r="E70" i="77"/>
  <c r="E71" i="77"/>
  <c r="E72" i="77"/>
  <c r="E73" i="77"/>
  <c r="F73" i="77"/>
  <c r="I118" i="83"/>
  <c r="E98" i="77"/>
  <c r="E99" i="77"/>
  <c r="E100" i="77"/>
  <c r="E101" i="77"/>
  <c r="E102" i="77"/>
  <c r="F102" i="77"/>
  <c r="E374" i="77"/>
  <c r="E375" i="77"/>
  <c r="E376" i="77"/>
  <c r="E377" i="77"/>
  <c r="E378" i="77"/>
  <c r="F378" i="77"/>
  <c r="E421" i="77"/>
  <c r="F421" i="77"/>
  <c r="E480" i="77"/>
  <c r="E481" i="77"/>
  <c r="E482" i="77"/>
  <c r="E483" i="77"/>
  <c r="F483" i="77"/>
  <c r="E536" i="77"/>
  <c r="E537" i="77"/>
  <c r="E538" i="77"/>
  <c r="E539" i="77"/>
  <c r="F539" i="77"/>
  <c r="F584" i="77"/>
  <c r="J42" i="77"/>
  <c r="E581" i="77"/>
  <c r="F581" i="77"/>
  <c r="E582" i="77"/>
  <c r="F582" i="77"/>
  <c r="F583" i="77"/>
  <c r="E668" i="77"/>
  <c r="C6" i="68"/>
  <c r="C6" i="79"/>
  <c r="E57" i="39"/>
  <c r="N35" i="77"/>
  <c r="F763" i="77"/>
  <c r="E763" i="77"/>
  <c r="F57" i="39"/>
  <c r="C7" i="79"/>
  <c r="C5" i="79"/>
  <c r="C20" i="79"/>
  <c r="M35" i="77"/>
  <c r="F669" i="77"/>
  <c r="E669" i="77"/>
  <c r="C7" i="68"/>
  <c r="C5" i="68"/>
  <c r="C20" i="68"/>
  <c r="F98" i="77"/>
  <c r="F99" i="77"/>
  <c r="F100" i="77"/>
  <c r="F101" i="77"/>
  <c r="E103" i="77"/>
  <c r="F103" i="77"/>
  <c r="E104" i="77"/>
  <c r="F104" i="77"/>
  <c r="E105" i="77"/>
  <c r="F105" i="77"/>
  <c r="E106" i="77"/>
  <c r="F106" i="77"/>
  <c r="E107" i="77"/>
  <c r="F107" i="77"/>
  <c r="E108" i="77"/>
  <c r="F108" i="77"/>
  <c r="E109" i="77"/>
  <c r="F109" i="77"/>
  <c r="E110" i="77"/>
  <c r="F110" i="77"/>
  <c r="E111" i="77"/>
  <c r="F111" i="77"/>
  <c r="E112" i="77"/>
  <c r="F112" i="77"/>
  <c r="E113" i="77"/>
  <c r="F113" i="77"/>
  <c r="E114" i="77"/>
  <c r="F114" i="77"/>
  <c r="F115" i="77"/>
  <c r="F668" i="77"/>
  <c r="F670" i="77"/>
  <c r="E767" i="77"/>
  <c r="F767" i="77"/>
  <c r="E768" i="77"/>
  <c r="F768" i="77"/>
  <c r="F769" i="77"/>
  <c r="E824" i="77"/>
  <c r="F824" i="77"/>
  <c r="F826" i="77"/>
  <c r="F429" i="77"/>
  <c r="E430" i="77"/>
  <c r="F430" i="77"/>
  <c r="E431" i="77"/>
  <c r="F431" i="77"/>
  <c r="E432" i="77"/>
  <c r="F432" i="77"/>
  <c r="F433" i="77"/>
  <c r="M25" i="77"/>
  <c r="E301" i="77"/>
  <c r="E302" i="77"/>
  <c r="E303" i="77"/>
  <c r="F303" i="77"/>
  <c r="F827" i="77"/>
  <c r="F116" i="77"/>
  <c r="F117" i="77"/>
  <c r="F118" i="77"/>
  <c r="F119" i="77"/>
  <c r="E121" i="77"/>
  <c r="F121" i="77"/>
  <c r="E122" i="77"/>
  <c r="F122" i="77"/>
  <c r="E123" i="77"/>
  <c r="F123" i="77"/>
  <c r="E124" i="77"/>
  <c r="F124" i="77"/>
  <c r="E125" i="77"/>
  <c r="F125" i="77"/>
  <c r="E126" i="77"/>
  <c r="F126" i="77"/>
  <c r="E127" i="77"/>
  <c r="F127" i="77"/>
  <c r="E128" i="77"/>
  <c r="F128" i="77"/>
  <c r="E129" i="77"/>
  <c r="F129" i="77"/>
  <c r="E130" i="77"/>
  <c r="F130" i="77"/>
  <c r="E131" i="77"/>
  <c r="F131" i="77"/>
  <c r="E132" i="77"/>
  <c r="F132" i="77"/>
  <c r="E133" i="77"/>
  <c r="F133" i="77"/>
  <c r="E134" i="77"/>
  <c r="F134" i="77"/>
  <c r="E135" i="77"/>
  <c r="F135" i="77"/>
  <c r="E136" i="77"/>
  <c r="F136" i="77"/>
  <c r="E137" i="77"/>
  <c r="F137" i="77"/>
  <c r="E138" i="77"/>
  <c r="F138" i="77"/>
  <c r="E139" i="77"/>
  <c r="F139" i="77"/>
  <c r="E140" i="77"/>
  <c r="F140" i="77"/>
  <c r="E141" i="77"/>
  <c r="F141" i="77"/>
  <c r="E142" i="77"/>
  <c r="F142" i="77"/>
  <c r="E143" i="77"/>
  <c r="F143" i="77"/>
  <c r="E144" i="77"/>
  <c r="F144" i="77"/>
  <c r="E145" i="77"/>
  <c r="F145" i="77"/>
  <c r="E146" i="77"/>
  <c r="F146" i="77"/>
  <c r="E147" i="77"/>
  <c r="F147" i="77"/>
  <c r="E148" i="77"/>
  <c r="F148" i="77"/>
  <c r="E149" i="77"/>
  <c r="F149" i="77"/>
  <c r="E150" i="77"/>
  <c r="F150" i="77"/>
  <c r="E151" i="77"/>
  <c r="F151" i="77"/>
  <c r="E152" i="77"/>
  <c r="F152" i="77"/>
  <c r="E153" i="77"/>
  <c r="F153" i="77"/>
  <c r="E154" i="77"/>
  <c r="F154" i="77"/>
  <c r="E155" i="77"/>
  <c r="F155" i="77"/>
  <c r="E156" i="77"/>
  <c r="F156" i="77"/>
  <c r="E157" i="77"/>
  <c r="F157" i="77"/>
  <c r="E158" i="77"/>
  <c r="F158" i="77"/>
  <c r="E159" i="77"/>
  <c r="F159" i="77"/>
  <c r="E160" i="77"/>
  <c r="F160" i="77"/>
  <c r="E161" i="77"/>
  <c r="F161" i="77"/>
  <c r="E162" i="77"/>
  <c r="F162" i="77"/>
  <c r="E163" i="77"/>
  <c r="F163" i="77"/>
  <c r="E164" i="77"/>
  <c r="F164" i="77"/>
  <c r="E165" i="77"/>
  <c r="F165" i="77"/>
  <c r="E166" i="77"/>
  <c r="F166" i="77"/>
  <c r="E167" i="77"/>
  <c r="F167" i="77"/>
  <c r="E168" i="77"/>
  <c r="F168" i="77"/>
  <c r="E169" i="77"/>
  <c r="F169" i="77"/>
  <c r="E170" i="77"/>
  <c r="F170" i="77"/>
  <c r="E171" i="77"/>
  <c r="F171" i="77"/>
  <c r="E172" i="77"/>
  <c r="F172" i="77"/>
  <c r="E173" i="77"/>
  <c r="F173" i="77"/>
  <c r="E174" i="77"/>
  <c r="F174" i="77"/>
  <c r="E175" i="77"/>
  <c r="F175" i="77"/>
  <c r="E176" i="77"/>
  <c r="F176" i="77"/>
  <c r="E177" i="77"/>
  <c r="F177" i="77"/>
  <c r="E178" i="77"/>
  <c r="F178" i="77"/>
  <c r="E179" i="77"/>
  <c r="F179" i="77"/>
  <c r="E180" i="77"/>
  <c r="F180" i="77"/>
  <c r="E181" i="77"/>
  <c r="F181" i="77"/>
  <c r="E182" i="77"/>
  <c r="F182" i="77"/>
  <c r="E183" i="77"/>
  <c r="F183" i="77"/>
  <c r="E184" i="77"/>
  <c r="F184" i="77"/>
  <c r="E185" i="77"/>
  <c r="F185" i="77"/>
  <c r="E186" i="77"/>
  <c r="F186" i="77"/>
  <c r="E187" i="77"/>
  <c r="F187" i="77"/>
  <c r="E188" i="77"/>
  <c r="F188" i="77"/>
  <c r="E189" i="77"/>
  <c r="F189" i="77"/>
  <c r="E190" i="77"/>
  <c r="F190" i="77"/>
  <c r="E191" i="77"/>
  <c r="F191" i="77"/>
  <c r="E192" i="77"/>
  <c r="F192" i="77"/>
  <c r="E193" i="77"/>
  <c r="F193" i="77"/>
  <c r="E194" i="77"/>
  <c r="F194" i="77"/>
  <c r="E195" i="77"/>
  <c r="F195" i="77"/>
  <c r="E196" i="77"/>
  <c r="F196" i="77"/>
  <c r="E197" i="77"/>
  <c r="F197" i="77"/>
  <c r="E198" i="77"/>
  <c r="F198" i="77"/>
  <c r="E199" i="77"/>
  <c r="F199" i="77"/>
  <c r="E200" i="77"/>
  <c r="F200" i="77"/>
  <c r="E201" i="77"/>
  <c r="F201" i="77"/>
  <c r="E202" i="77"/>
  <c r="F202" i="77"/>
  <c r="E203" i="77"/>
  <c r="F203" i="77"/>
  <c r="E204" i="77"/>
  <c r="F204" i="77"/>
  <c r="E205" i="77"/>
  <c r="F205" i="77"/>
  <c r="E206" i="77"/>
  <c r="F206" i="77"/>
  <c r="E207" i="77"/>
  <c r="F207" i="77"/>
  <c r="E208" i="77"/>
  <c r="F208" i="77"/>
  <c r="E209" i="77"/>
  <c r="F209" i="77"/>
  <c r="E210" i="77"/>
  <c r="F210" i="77"/>
  <c r="E211" i="77"/>
  <c r="F211" i="77"/>
  <c r="E212" i="77"/>
  <c r="F212" i="77"/>
  <c r="E213" i="77"/>
  <c r="F213" i="77"/>
  <c r="E214" i="77"/>
  <c r="F214" i="77"/>
  <c r="E215" i="77"/>
  <c r="F215" i="77"/>
  <c r="E216" i="77"/>
  <c r="F216" i="77"/>
  <c r="E217" i="77"/>
  <c r="F217" i="77"/>
  <c r="E218" i="77"/>
  <c r="F218" i="77"/>
  <c r="E219" i="77"/>
  <c r="F219" i="77"/>
  <c r="E220" i="77"/>
  <c r="F220" i="77"/>
  <c r="E221" i="77"/>
  <c r="F221" i="77"/>
  <c r="E222" i="77"/>
  <c r="F222" i="77"/>
  <c r="E223" i="77"/>
  <c r="F223" i="77"/>
  <c r="E224" i="77"/>
  <c r="F224" i="77"/>
  <c r="E225" i="77"/>
  <c r="F225" i="77"/>
  <c r="E226" i="77"/>
  <c r="F226" i="77"/>
  <c r="E227" i="77"/>
  <c r="F227" i="77"/>
  <c r="E228" i="77"/>
  <c r="F228" i="77"/>
  <c r="E229" i="77"/>
  <c r="F229" i="77"/>
  <c r="E230" i="77"/>
  <c r="F230" i="77"/>
  <c r="E231" i="77"/>
  <c r="F231" i="77"/>
  <c r="E232" i="77"/>
  <c r="F232" i="77"/>
  <c r="E233" i="77"/>
  <c r="F233" i="77"/>
  <c r="E234" i="77"/>
  <c r="F234" i="77"/>
  <c r="E235" i="77"/>
  <c r="F235" i="77"/>
  <c r="E236" i="77"/>
  <c r="F236" i="77"/>
  <c r="E237" i="77"/>
  <c r="F237" i="77"/>
  <c r="E238" i="77"/>
  <c r="F238" i="77"/>
  <c r="E239" i="77"/>
  <c r="F239" i="77"/>
  <c r="E240" i="77"/>
  <c r="F240" i="77"/>
  <c r="E241" i="77"/>
  <c r="F241" i="77"/>
  <c r="E242" i="77"/>
  <c r="F242" i="77"/>
  <c r="E243" i="77"/>
  <c r="F243" i="77"/>
  <c r="E244" i="77"/>
  <c r="F244" i="77"/>
  <c r="E245" i="77"/>
  <c r="F245" i="77"/>
  <c r="E246" i="77"/>
  <c r="F246" i="77"/>
  <c r="E247" i="77"/>
  <c r="F247" i="77"/>
  <c r="E248" i="77"/>
  <c r="F248" i="77"/>
  <c r="E249" i="77"/>
  <c r="F249" i="77"/>
  <c r="E250" i="77"/>
  <c r="F250" i="77"/>
  <c r="E251" i="77"/>
  <c r="F251" i="77"/>
  <c r="E252" i="77"/>
  <c r="F252" i="77"/>
  <c r="E253" i="77"/>
  <c r="F253" i="77"/>
  <c r="E254" i="77"/>
  <c r="F254" i="77"/>
  <c r="E255" i="77"/>
  <c r="F255" i="77"/>
  <c r="E256" i="77"/>
  <c r="F256" i="77"/>
  <c r="E257" i="77"/>
  <c r="F257" i="77"/>
  <c r="E258" i="77"/>
  <c r="F258" i="77"/>
  <c r="E259" i="77"/>
  <c r="F259" i="77"/>
  <c r="E260" i="77"/>
  <c r="F260" i="77"/>
  <c r="E261" i="77"/>
  <c r="F261" i="77"/>
  <c r="E262" i="77"/>
  <c r="F262" i="77"/>
  <c r="E263" i="77"/>
  <c r="F263" i="77"/>
  <c r="E264" i="77"/>
  <c r="F264" i="77"/>
  <c r="E265" i="77"/>
  <c r="F265" i="77"/>
  <c r="E266" i="77"/>
  <c r="F266" i="77"/>
  <c r="E267" i="77"/>
  <c r="F267" i="77"/>
  <c r="E268" i="77"/>
  <c r="F268" i="77"/>
  <c r="E269" i="77"/>
  <c r="F269" i="77"/>
  <c r="E270" i="77"/>
  <c r="F270" i="77"/>
  <c r="E271" i="77"/>
  <c r="F271" i="77"/>
  <c r="E272" i="77"/>
  <c r="F272" i="77"/>
  <c r="E273" i="77"/>
  <c r="F273" i="77"/>
  <c r="E274" i="77"/>
  <c r="F274" i="77"/>
  <c r="E275" i="77"/>
  <c r="F275" i="77"/>
  <c r="E276" i="77"/>
  <c r="F276" i="77"/>
  <c r="E277" i="77"/>
  <c r="F277" i="77"/>
  <c r="E278" i="77"/>
  <c r="F278" i="77"/>
  <c r="E279" i="77"/>
  <c r="F279" i="77"/>
  <c r="E280" i="77"/>
  <c r="F280" i="77"/>
  <c r="E281" i="77"/>
  <c r="F281" i="77"/>
  <c r="E282" i="77"/>
  <c r="F282" i="77"/>
  <c r="E283" i="77"/>
  <c r="F283" i="77"/>
  <c r="E284" i="77"/>
  <c r="F284" i="77"/>
  <c r="E285" i="77"/>
  <c r="F285" i="77"/>
  <c r="E286" i="77"/>
  <c r="F286" i="77"/>
  <c r="E287" i="77"/>
  <c r="F287" i="77"/>
  <c r="E288" i="77"/>
  <c r="F288" i="77"/>
  <c r="E289" i="77"/>
  <c r="F289" i="77"/>
  <c r="E290" i="77"/>
  <c r="F290" i="77"/>
  <c r="E291" i="77"/>
  <c r="F291" i="77"/>
  <c r="E292" i="77"/>
  <c r="F292" i="77"/>
  <c r="E293" i="77"/>
  <c r="F293" i="77"/>
  <c r="E294" i="77"/>
  <c r="F294" i="77"/>
  <c r="E295" i="77"/>
  <c r="F295" i="77"/>
  <c r="E296" i="77"/>
  <c r="F296" i="77"/>
  <c r="E297" i="77"/>
  <c r="F297" i="77"/>
  <c r="F298" i="77"/>
  <c r="F585" i="77"/>
  <c r="F586" i="77"/>
  <c r="F587" i="77"/>
  <c r="E589" i="77"/>
  <c r="F589" i="77"/>
  <c r="E590" i="77"/>
  <c r="F590" i="77"/>
  <c r="E591" i="77"/>
  <c r="F591" i="77"/>
  <c r="E592" i="77"/>
  <c r="F592" i="77"/>
  <c r="E593" i="77"/>
  <c r="F593" i="77"/>
  <c r="E594" i="77"/>
  <c r="F594" i="77"/>
  <c r="E595" i="77"/>
  <c r="F595" i="77"/>
  <c r="E596" i="77"/>
  <c r="F596" i="77"/>
  <c r="E597" i="77"/>
  <c r="F597" i="77"/>
  <c r="E598" i="77"/>
  <c r="F598" i="77"/>
  <c r="E599" i="77"/>
  <c r="F599" i="77"/>
  <c r="E600" i="77"/>
  <c r="F600" i="77"/>
  <c r="E601" i="77"/>
  <c r="F601" i="77"/>
  <c r="E602" i="77"/>
  <c r="F602" i="77"/>
  <c r="E603" i="77"/>
  <c r="F603" i="77"/>
  <c r="E604" i="77"/>
  <c r="F604" i="77"/>
  <c r="E605" i="77"/>
  <c r="F605" i="77"/>
  <c r="E606" i="77"/>
  <c r="F606" i="77"/>
  <c r="E607" i="77"/>
  <c r="F607" i="77"/>
  <c r="E608" i="77"/>
  <c r="F608" i="77"/>
  <c r="E609" i="77"/>
  <c r="F609" i="77"/>
  <c r="E610" i="77"/>
  <c r="F610" i="77"/>
  <c r="E611" i="77"/>
  <c r="F611" i="77"/>
  <c r="E612" i="77"/>
  <c r="F612" i="77"/>
  <c r="E613" i="77"/>
  <c r="F613" i="77"/>
  <c r="E614" i="77"/>
  <c r="F614" i="77"/>
  <c r="E615" i="77"/>
  <c r="F615" i="77"/>
  <c r="E616" i="77"/>
  <c r="F616" i="77"/>
  <c r="E617" i="77"/>
  <c r="F617" i="77"/>
  <c r="E618" i="77"/>
  <c r="F618" i="77"/>
  <c r="E619" i="77"/>
  <c r="F619" i="77"/>
  <c r="E620" i="77"/>
  <c r="F620" i="77"/>
  <c r="E621" i="77"/>
  <c r="F621" i="77"/>
  <c r="E622" i="77"/>
  <c r="F622" i="77"/>
  <c r="E623" i="77"/>
  <c r="F623" i="77"/>
  <c r="E624" i="77"/>
  <c r="F624" i="77"/>
  <c r="E625" i="77"/>
  <c r="F625" i="77"/>
  <c r="E626" i="77"/>
  <c r="F626" i="77"/>
  <c r="E627" i="77"/>
  <c r="F627" i="77"/>
  <c r="E628" i="77"/>
  <c r="F628" i="77"/>
  <c r="E629" i="77"/>
  <c r="F629" i="77"/>
  <c r="E630" i="77"/>
  <c r="F630" i="77"/>
  <c r="E631" i="77"/>
  <c r="F631" i="77"/>
  <c r="E632" i="77"/>
  <c r="F632" i="77"/>
  <c r="E633" i="77"/>
  <c r="F633" i="77"/>
  <c r="E634" i="77"/>
  <c r="F634" i="77"/>
  <c r="E635" i="77"/>
  <c r="F635" i="77"/>
  <c r="E636" i="77"/>
  <c r="F636" i="77"/>
  <c r="E637" i="77"/>
  <c r="F637" i="77"/>
  <c r="E638" i="77"/>
  <c r="F638" i="77"/>
  <c r="E639" i="77"/>
  <c r="F639" i="77"/>
  <c r="E640" i="77"/>
  <c r="F640" i="77"/>
  <c r="E641" i="77"/>
  <c r="F641" i="77"/>
  <c r="E642" i="77"/>
  <c r="F642" i="77"/>
  <c r="E643" i="77"/>
  <c r="F643" i="77"/>
  <c r="E644" i="77"/>
  <c r="F644" i="77"/>
  <c r="E645" i="77"/>
  <c r="F645" i="77"/>
  <c r="E646" i="77"/>
  <c r="F646" i="77"/>
  <c r="E647" i="77"/>
  <c r="F647" i="77"/>
  <c r="E648" i="77"/>
  <c r="F648" i="77"/>
  <c r="E649" i="77"/>
  <c r="F649" i="77"/>
  <c r="E650" i="77"/>
  <c r="F650" i="77"/>
  <c r="E651" i="77"/>
  <c r="F651" i="77"/>
  <c r="E652" i="77"/>
  <c r="F652" i="77"/>
  <c r="E653" i="77"/>
  <c r="F653" i="77"/>
  <c r="E654" i="77"/>
  <c r="F654" i="77"/>
  <c r="E655" i="77"/>
  <c r="F655" i="77"/>
  <c r="E656" i="77"/>
  <c r="F656" i="77"/>
  <c r="E657" i="77"/>
  <c r="F657" i="77"/>
  <c r="E658" i="77"/>
  <c r="F658" i="77"/>
  <c r="E659" i="77"/>
  <c r="F659" i="77"/>
  <c r="E660" i="77"/>
  <c r="F660" i="77"/>
  <c r="E661" i="77"/>
  <c r="F661" i="77"/>
  <c r="E662" i="77"/>
  <c r="F662" i="77"/>
  <c r="E663" i="77"/>
  <c r="F663" i="77"/>
  <c r="E664" i="77"/>
  <c r="F664" i="77"/>
  <c r="F665" i="77"/>
  <c r="F671" i="77"/>
  <c r="F672" i="77"/>
  <c r="F673" i="77"/>
  <c r="E676" i="77"/>
  <c r="F676" i="77"/>
  <c r="E677" i="77"/>
  <c r="F677" i="77"/>
  <c r="E678" i="77"/>
  <c r="F678" i="77"/>
  <c r="E679" i="77"/>
  <c r="F679" i="77"/>
  <c r="E680" i="77"/>
  <c r="F680" i="77"/>
  <c r="E681" i="77"/>
  <c r="F681" i="77"/>
  <c r="E682" i="77"/>
  <c r="F682" i="77"/>
  <c r="E683" i="77"/>
  <c r="F683" i="77"/>
  <c r="E684" i="77"/>
  <c r="F684" i="77"/>
  <c r="E685" i="77"/>
  <c r="F685" i="77"/>
  <c r="E686" i="77"/>
  <c r="F686" i="77"/>
  <c r="E687" i="77"/>
  <c r="F687" i="77"/>
  <c r="E688" i="77"/>
  <c r="F688" i="77"/>
  <c r="E689" i="77"/>
  <c r="F689" i="77"/>
  <c r="E690" i="77"/>
  <c r="F690" i="77"/>
  <c r="E691" i="77"/>
  <c r="F691" i="77"/>
  <c r="E692" i="77"/>
  <c r="F692" i="77"/>
  <c r="E693" i="77"/>
  <c r="F693" i="77"/>
  <c r="E694" i="77"/>
  <c r="F694" i="77"/>
  <c r="E695" i="77"/>
  <c r="F695" i="77"/>
  <c r="E696" i="77"/>
  <c r="F696" i="77"/>
  <c r="E697" i="77"/>
  <c r="F697" i="77"/>
  <c r="E698" i="77"/>
  <c r="F698" i="77"/>
  <c r="E699" i="77"/>
  <c r="F699" i="77"/>
  <c r="E700" i="77"/>
  <c r="F700" i="77"/>
  <c r="E701" i="77"/>
  <c r="F701" i="77"/>
  <c r="E702" i="77"/>
  <c r="F702" i="77"/>
  <c r="E703" i="77"/>
  <c r="F703" i="77"/>
  <c r="E704" i="77"/>
  <c r="F704" i="77"/>
  <c r="E705" i="77"/>
  <c r="F705" i="77"/>
  <c r="E706" i="77"/>
  <c r="F706" i="77"/>
  <c r="E707" i="77"/>
  <c r="F707" i="77"/>
  <c r="E708" i="77"/>
  <c r="F708" i="77"/>
  <c r="E709" i="77"/>
  <c r="F709" i="77"/>
  <c r="E710" i="77"/>
  <c r="F710" i="77"/>
  <c r="E711" i="77"/>
  <c r="F711" i="77"/>
  <c r="E712" i="77"/>
  <c r="F712" i="77"/>
  <c r="E713" i="77"/>
  <c r="F713" i="77"/>
  <c r="E714" i="77"/>
  <c r="F714" i="77"/>
  <c r="E715" i="77"/>
  <c r="F715" i="77"/>
  <c r="E716" i="77"/>
  <c r="F716" i="77"/>
  <c r="E717" i="77"/>
  <c r="F717" i="77"/>
  <c r="E718" i="77"/>
  <c r="F718" i="77"/>
  <c r="E719" i="77"/>
  <c r="F719" i="77"/>
  <c r="E720" i="77"/>
  <c r="F720" i="77"/>
  <c r="E721" i="77"/>
  <c r="F721" i="77"/>
  <c r="E722" i="77"/>
  <c r="F722" i="77"/>
  <c r="E723" i="77"/>
  <c r="F723" i="77"/>
  <c r="E724" i="77"/>
  <c r="F724" i="77"/>
  <c r="E725" i="77"/>
  <c r="F725" i="77"/>
  <c r="E726" i="77"/>
  <c r="F726" i="77"/>
  <c r="E727" i="77"/>
  <c r="F727" i="77"/>
  <c r="E728" i="77"/>
  <c r="F728" i="77"/>
  <c r="E729" i="77"/>
  <c r="F729" i="77"/>
  <c r="E730" i="77"/>
  <c r="F730" i="77"/>
  <c r="E731" i="77"/>
  <c r="F731" i="77"/>
  <c r="E732" i="77"/>
  <c r="F732" i="77"/>
  <c r="E733" i="77"/>
  <c r="F733" i="77"/>
  <c r="E734" i="77"/>
  <c r="F734" i="77"/>
  <c r="E735" i="77"/>
  <c r="F735" i="77"/>
  <c r="E736" i="77"/>
  <c r="F736" i="77"/>
  <c r="E737" i="77"/>
  <c r="F737" i="77"/>
  <c r="E738" i="77"/>
  <c r="F738" i="77"/>
  <c r="E739" i="77"/>
  <c r="F739" i="77"/>
  <c r="E740" i="77"/>
  <c r="F740" i="77"/>
  <c r="E741" i="77"/>
  <c r="F741" i="77"/>
  <c r="E742" i="77"/>
  <c r="F742" i="77"/>
  <c r="E743" i="77"/>
  <c r="F743" i="77"/>
  <c r="E744" i="77"/>
  <c r="F744" i="77"/>
  <c r="E745" i="77"/>
  <c r="F745" i="77"/>
  <c r="E746" i="77"/>
  <c r="F746" i="77"/>
  <c r="E747" i="77"/>
  <c r="F747" i="77"/>
  <c r="E748" i="77"/>
  <c r="F748" i="77"/>
  <c r="E749" i="77"/>
  <c r="F749" i="77"/>
  <c r="E750" i="77"/>
  <c r="F750" i="77"/>
  <c r="E751" i="77"/>
  <c r="F751" i="77"/>
  <c r="E752" i="77"/>
  <c r="F752" i="77"/>
  <c r="E753" i="77"/>
  <c r="F753" i="77"/>
  <c r="E754" i="77"/>
  <c r="F754" i="77"/>
  <c r="E755" i="77"/>
  <c r="F755" i="77"/>
  <c r="E756" i="77"/>
  <c r="F756" i="77"/>
  <c r="E757" i="77"/>
  <c r="F757" i="77"/>
  <c r="E758" i="77"/>
  <c r="F758" i="77"/>
  <c r="E759" i="77"/>
  <c r="F759" i="77"/>
  <c r="E760" i="77"/>
  <c r="F760" i="77"/>
  <c r="E761" i="77"/>
  <c r="F761" i="77"/>
  <c r="E762" i="77"/>
  <c r="F762" i="77"/>
  <c r="F764" i="77"/>
  <c r="F770" i="77"/>
  <c r="F771" i="77"/>
  <c r="F772" i="77"/>
  <c r="F773" i="77"/>
  <c r="F775" i="77"/>
  <c r="F776" i="77"/>
  <c r="F777" i="77"/>
  <c r="F778" i="77"/>
  <c r="F779" i="77"/>
  <c r="F780" i="77"/>
  <c r="F781" i="77"/>
  <c r="F782" i="77"/>
  <c r="F783" i="77"/>
  <c r="F784" i="77"/>
  <c r="F785" i="77"/>
  <c r="F786" i="77"/>
  <c r="F787" i="77"/>
  <c r="F788" i="77"/>
  <c r="F789" i="77"/>
  <c r="F790" i="77"/>
  <c r="F791" i="77"/>
  <c r="F792" i="77"/>
  <c r="F793" i="77"/>
  <c r="F794" i="77"/>
  <c r="F795" i="77"/>
  <c r="F796" i="77"/>
  <c r="F797" i="77"/>
  <c r="F798" i="77"/>
  <c r="F799" i="77"/>
  <c r="F800" i="77"/>
  <c r="F801" i="77"/>
  <c r="F802" i="77"/>
  <c r="F803" i="77"/>
  <c r="F804" i="77"/>
  <c r="F805" i="77"/>
  <c r="F806" i="77"/>
  <c r="F807" i="77"/>
  <c r="F808" i="77"/>
  <c r="F809" i="77"/>
  <c r="F810" i="77"/>
  <c r="F811" i="77"/>
  <c r="F812" i="77"/>
  <c r="F813" i="77"/>
  <c r="F814" i="77"/>
  <c r="F815" i="77"/>
  <c r="F816" i="77"/>
  <c r="F817" i="77"/>
  <c r="F818" i="77"/>
  <c r="F819" i="77"/>
  <c r="F820" i="77"/>
  <c r="F821" i="77"/>
  <c r="F822" i="77"/>
  <c r="F828" i="77"/>
  <c r="F829" i="77"/>
  <c r="F830" i="77"/>
  <c r="E832" i="77"/>
  <c r="F832" i="77"/>
  <c r="E833" i="77"/>
  <c r="F833" i="77"/>
  <c r="E834" i="77"/>
  <c r="F834" i="77"/>
  <c r="E835" i="77"/>
  <c r="F835" i="77"/>
  <c r="E836" i="77"/>
  <c r="F836" i="77"/>
  <c r="E837" i="77"/>
  <c r="F837" i="77"/>
  <c r="E838" i="77"/>
  <c r="F838" i="77"/>
  <c r="E839" i="77"/>
  <c r="F839" i="77"/>
  <c r="E840" i="77"/>
  <c r="F840" i="77"/>
  <c r="E841" i="77"/>
  <c r="F841" i="77"/>
  <c r="E842" i="77"/>
  <c r="F842" i="77"/>
  <c r="E843" i="77"/>
  <c r="F843" i="77"/>
  <c r="E844" i="77"/>
  <c r="F844" i="77"/>
  <c r="E845" i="77"/>
  <c r="F845" i="77"/>
  <c r="E846" i="77"/>
  <c r="F846" i="77"/>
  <c r="E847" i="77"/>
  <c r="F847" i="77"/>
  <c r="E848" i="77"/>
  <c r="F848" i="77"/>
  <c r="E849" i="77"/>
  <c r="F849" i="77"/>
  <c r="E850" i="77"/>
  <c r="F850" i="77"/>
  <c r="E851" i="77"/>
  <c r="F851" i="77"/>
  <c r="E852" i="77"/>
  <c r="F852" i="77"/>
  <c r="E853" i="77"/>
  <c r="F853" i="77"/>
  <c r="E854" i="77"/>
  <c r="F854" i="77"/>
  <c r="E855" i="77"/>
  <c r="F855" i="77"/>
  <c r="E856" i="77"/>
  <c r="F856" i="77"/>
  <c r="E857" i="77"/>
  <c r="F857" i="77"/>
  <c r="E858" i="77"/>
  <c r="F858" i="77"/>
  <c r="E859" i="77"/>
  <c r="F859" i="77"/>
  <c r="E860" i="77"/>
  <c r="F860" i="77"/>
  <c r="E861" i="77"/>
  <c r="F861" i="77"/>
  <c r="E862" i="77"/>
  <c r="F862" i="77"/>
  <c r="E863" i="77"/>
  <c r="F863" i="77"/>
  <c r="E864" i="77"/>
  <c r="F864" i="77"/>
  <c r="E865" i="77"/>
  <c r="F865" i="77"/>
  <c r="E866" i="77"/>
  <c r="F866" i="77"/>
  <c r="E867" i="77"/>
  <c r="F867" i="77"/>
  <c r="E868" i="77"/>
  <c r="F868" i="77"/>
  <c r="E869" i="77"/>
  <c r="F869" i="77"/>
  <c r="E870" i="77"/>
  <c r="F870" i="77"/>
  <c r="E871" i="77"/>
  <c r="F871" i="77"/>
  <c r="E872" i="77"/>
  <c r="F872" i="77"/>
  <c r="E873" i="77"/>
  <c r="F873" i="77"/>
  <c r="E874" i="77"/>
  <c r="F874" i="77"/>
  <c r="E875" i="77"/>
  <c r="F875" i="77"/>
  <c r="E876" i="77"/>
  <c r="F876" i="77"/>
  <c r="E877" i="77"/>
  <c r="F877" i="77"/>
  <c r="E878" i="77"/>
  <c r="F878" i="77"/>
  <c r="E879" i="77"/>
  <c r="F879" i="77"/>
  <c r="E880" i="77"/>
  <c r="F880" i="77"/>
  <c r="E881" i="77"/>
  <c r="F881" i="77"/>
  <c r="E882" i="77"/>
  <c r="F882" i="77"/>
  <c r="E883" i="77"/>
  <c r="F883" i="77"/>
  <c r="E884" i="77"/>
  <c r="F884" i="77"/>
  <c r="E885" i="77"/>
  <c r="F885" i="77"/>
  <c r="E886" i="77"/>
  <c r="F886" i="77"/>
  <c r="E887" i="77"/>
  <c r="F887" i="77"/>
  <c r="F889" i="77"/>
  <c r="N25" i="77"/>
  <c r="F3" i="77"/>
  <c r="F4" i="77"/>
  <c r="F5" i="77"/>
  <c r="F6" i="77"/>
  <c r="F7" i="77"/>
  <c r="F8" i="77"/>
  <c r="F9" i="77"/>
  <c r="F10" i="77"/>
  <c r="F11" i="77"/>
  <c r="F12" i="77"/>
  <c r="F13" i="77"/>
  <c r="F14" i="77"/>
  <c r="F15" i="77"/>
  <c r="F16" i="77"/>
  <c r="F17" i="77"/>
  <c r="F18" i="77"/>
  <c r="F19" i="77"/>
  <c r="F20" i="77"/>
  <c r="F21" i="77"/>
  <c r="F22" i="77"/>
  <c r="F23" i="77"/>
  <c r="F24" i="77"/>
  <c r="F25" i="77"/>
  <c r="F26" i="77"/>
  <c r="F27" i="77"/>
  <c r="F28" i="77"/>
  <c r="F29" i="77"/>
  <c r="F30" i="77"/>
  <c r="E32" i="77"/>
  <c r="F32" i="77"/>
  <c r="E33" i="77"/>
  <c r="F33" i="77"/>
  <c r="E34" i="77"/>
  <c r="F34" i="77"/>
  <c r="E35" i="77"/>
  <c r="F35" i="77"/>
  <c r="E36" i="77"/>
  <c r="F36" i="77"/>
  <c r="E37" i="77"/>
  <c r="F37" i="77"/>
  <c r="E38" i="77"/>
  <c r="F38" i="77"/>
  <c r="E39" i="77"/>
  <c r="F39" i="77"/>
  <c r="E40" i="77"/>
  <c r="F40" i="77"/>
  <c r="E41" i="77"/>
  <c r="F41" i="77"/>
  <c r="E42" i="77"/>
  <c r="F42" i="77"/>
  <c r="E43" i="77"/>
  <c r="F43" i="77"/>
  <c r="E44" i="77"/>
  <c r="F44" i="77"/>
  <c r="E45" i="77"/>
  <c r="F45" i="77"/>
  <c r="E46" i="77"/>
  <c r="F46" i="77"/>
  <c r="E47" i="77"/>
  <c r="F47" i="77"/>
  <c r="E48" i="77"/>
  <c r="F48" i="77"/>
  <c r="E49" i="77"/>
  <c r="F49" i="77"/>
  <c r="E50" i="77"/>
  <c r="F50" i="77"/>
  <c r="E51" i="77"/>
  <c r="F51" i="77"/>
  <c r="E52" i="77"/>
  <c r="F52" i="77"/>
  <c r="E53" i="77"/>
  <c r="F53" i="77"/>
  <c r="E54" i="77"/>
  <c r="F54" i="77"/>
  <c r="E55" i="77"/>
  <c r="F55" i="77"/>
  <c r="E56" i="77"/>
  <c r="F56" i="77"/>
  <c r="E57" i="77"/>
  <c r="F57" i="77"/>
  <c r="E58" i="77"/>
  <c r="F58" i="77"/>
  <c r="E59" i="77"/>
  <c r="F59" i="77"/>
  <c r="E60" i="77"/>
  <c r="F60" i="77"/>
  <c r="E61" i="77"/>
  <c r="F61" i="77"/>
  <c r="E62" i="77"/>
  <c r="F62" i="77"/>
  <c r="E63" i="77"/>
  <c r="F63" i="77"/>
  <c r="E64" i="77"/>
  <c r="F64" i="77"/>
  <c r="E65" i="77"/>
  <c r="F65" i="77"/>
  <c r="E66" i="77"/>
  <c r="F66" i="77"/>
  <c r="E67" i="77"/>
  <c r="F67" i="77"/>
  <c r="F68" i="77"/>
  <c r="F69" i="77"/>
  <c r="F70" i="77"/>
  <c r="F71" i="77"/>
  <c r="F72" i="77"/>
  <c r="E74" i="77"/>
  <c r="F74" i="77"/>
  <c r="E75" i="77"/>
  <c r="F75" i="77"/>
  <c r="E76" i="77"/>
  <c r="F76" i="77"/>
  <c r="E77" i="77"/>
  <c r="F77" i="77"/>
  <c r="E78" i="77"/>
  <c r="F78" i="77"/>
  <c r="E79" i="77"/>
  <c r="F79" i="77"/>
  <c r="E80" i="77"/>
  <c r="F80" i="77"/>
  <c r="E81" i="77"/>
  <c r="F81" i="77"/>
  <c r="E82" i="77"/>
  <c r="F82" i="77"/>
  <c r="E83" i="77"/>
  <c r="F83" i="77"/>
  <c r="E84" i="77"/>
  <c r="F84" i="77"/>
  <c r="E85" i="77"/>
  <c r="F85" i="77"/>
  <c r="E86" i="77"/>
  <c r="F86" i="77"/>
  <c r="E87" i="77"/>
  <c r="F87" i="77"/>
  <c r="E88" i="77"/>
  <c r="F88" i="77"/>
  <c r="E89" i="77"/>
  <c r="F89" i="77"/>
  <c r="E90" i="77"/>
  <c r="F90" i="77"/>
  <c r="E91" i="77"/>
  <c r="F91" i="77"/>
  <c r="E92" i="77"/>
  <c r="F92" i="77"/>
  <c r="E93" i="77"/>
  <c r="F93" i="77"/>
  <c r="E94" i="77"/>
  <c r="F94" i="77"/>
  <c r="E95" i="77"/>
  <c r="F95" i="77"/>
  <c r="E96" i="77"/>
  <c r="F96" i="77"/>
  <c r="F97" i="77"/>
  <c r="F301" i="77"/>
  <c r="F302" i="77"/>
  <c r="E304" i="77"/>
  <c r="F304" i="77"/>
  <c r="E305" i="77"/>
  <c r="F305" i="77"/>
  <c r="E306" i="77"/>
  <c r="F306" i="77"/>
  <c r="E307" i="77"/>
  <c r="F307" i="77"/>
  <c r="E308" i="77"/>
  <c r="F308" i="77"/>
  <c r="E309" i="77"/>
  <c r="F309" i="77"/>
  <c r="E310" i="77"/>
  <c r="F310" i="77"/>
  <c r="E311" i="77"/>
  <c r="F311" i="77"/>
  <c r="E312" i="77"/>
  <c r="F312" i="77"/>
  <c r="E313" i="77"/>
  <c r="F313" i="77"/>
  <c r="E314" i="77"/>
  <c r="F314" i="77"/>
  <c r="E315" i="77"/>
  <c r="F315" i="77"/>
  <c r="E316" i="77"/>
  <c r="F316" i="77"/>
  <c r="E317" i="77"/>
  <c r="F317" i="77"/>
  <c r="E318" i="77"/>
  <c r="F318" i="77"/>
  <c r="E319" i="77"/>
  <c r="F319" i="77"/>
  <c r="E320" i="77"/>
  <c r="F320" i="77"/>
  <c r="E321" i="77"/>
  <c r="F321" i="77"/>
  <c r="E322" i="77"/>
  <c r="F322" i="77"/>
  <c r="E323" i="77"/>
  <c r="F323" i="77"/>
  <c r="E324" i="77"/>
  <c r="F324" i="77"/>
  <c r="E325" i="77"/>
  <c r="F325" i="77"/>
  <c r="E326" i="77"/>
  <c r="F326" i="77"/>
  <c r="E327" i="77"/>
  <c r="F327" i="77"/>
  <c r="E328" i="77"/>
  <c r="F328" i="77"/>
  <c r="E329" i="77"/>
  <c r="F329" i="77"/>
  <c r="E330" i="77"/>
  <c r="F330" i="77"/>
  <c r="E331" i="77"/>
  <c r="F331" i="77"/>
  <c r="E332" i="77"/>
  <c r="F332" i="77"/>
  <c r="E333" i="77"/>
  <c r="F333" i="77"/>
  <c r="E334" i="77"/>
  <c r="F334" i="77"/>
  <c r="E335" i="77"/>
  <c r="F335" i="77"/>
  <c r="E336" i="77"/>
  <c r="F336" i="77"/>
  <c r="E337" i="77"/>
  <c r="F337" i="77"/>
  <c r="E338" i="77"/>
  <c r="F338" i="77"/>
  <c r="E339" i="77"/>
  <c r="F339" i="77"/>
  <c r="E340" i="77"/>
  <c r="F340" i="77"/>
  <c r="E341" i="77"/>
  <c r="F341" i="77"/>
  <c r="E342" i="77"/>
  <c r="F342" i="77"/>
  <c r="E343" i="77"/>
  <c r="F343" i="77"/>
  <c r="E344" i="77"/>
  <c r="F344" i="77"/>
  <c r="E345" i="77"/>
  <c r="F345" i="77"/>
  <c r="E346" i="77"/>
  <c r="F346" i="77"/>
  <c r="E347" i="77"/>
  <c r="F347" i="77"/>
  <c r="E348" i="77"/>
  <c r="F348" i="77"/>
  <c r="E349" i="77"/>
  <c r="F349" i="77"/>
  <c r="E350" i="77"/>
  <c r="F350" i="77"/>
  <c r="E351" i="77"/>
  <c r="F351" i="77"/>
  <c r="E352" i="77"/>
  <c r="F352" i="77"/>
  <c r="E353" i="77"/>
  <c r="F353" i="77"/>
  <c r="E354" i="77"/>
  <c r="F354" i="77"/>
  <c r="E355" i="77"/>
  <c r="F355" i="77"/>
  <c r="E356" i="77"/>
  <c r="F356" i="77"/>
  <c r="E357" i="77"/>
  <c r="F357" i="77"/>
  <c r="E358" i="77"/>
  <c r="F358" i="77"/>
  <c r="E359" i="77"/>
  <c r="F359" i="77"/>
  <c r="E360" i="77"/>
  <c r="F360" i="77"/>
  <c r="E361" i="77"/>
  <c r="F361" i="77"/>
  <c r="E362" i="77"/>
  <c r="F362" i="77"/>
  <c r="E363" i="77"/>
  <c r="F363" i="77"/>
  <c r="E364" i="77"/>
  <c r="F364" i="77"/>
  <c r="E365" i="77"/>
  <c r="F365" i="77"/>
  <c r="E366" i="77"/>
  <c r="F366" i="77"/>
  <c r="E367" i="77"/>
  <c r="F367" i="77"/>
  <c r="E368" i="77"/>
  <c r="F368" i="77"/>
  <c r="E369" i="77"/>
  <c r="F369" i="77"/>
  <c r="E370" i="77"/>
  <c r="F370" i="77"/>
  <c r="E371" i="77"/>
  <c r="F371" i="77"/>
  <c r="E372" i="77"/>
  <c r="F372" i="77"/>
  <c r="F373" i="77"/>
  <c r="F374" i="77"/>
  <c r="F375" i="77"/>
  <c r="F376" i="77"/>
  <c r="F377" i="77"/>
  <c r="E379" i="77"/>
  <c r="F379" i="77"/>
  <c r="E380" i="77"/>
  <c r="F380" i="77"/>
  <c r="E381" i="77"/>
  <c r="F381" i="77"/>
  <c r="E382" i="77"/>
  <c r="F382" i="77"/>
  <c r="E383" i="77"/>
  <c r="F383" i="77"/>
  <c r="E384" i="77"/>
  <c r="F384" i="77"/>
  <c r="E385" i="77"/>
  <c r="F385" i="77"/>
  <c r="E386" i="77"/>
  <c r="F386" i="77"/>
  <c r="E387" i="77"/>
  <c r="F387" i="77"/>
  <c r="E388" i="77"/>
  <c r="F388" i="77"/>
  <c r="E389" i="77"/>
  <c r="F389" i="77"/>
  <c r="E390" i="77"/>
  <c r="F390" i="77"/>
  <c r="E391" i="77"/>
  <c r="F391" i="77"/>
  <c r="E392" i="77"/>
  <c r="F392" i="77"/>
  <c r="E393" i="77"/>
  <c r="F393" i="77"/>
  <c r="E394" i="77"/>
  <c r="F394" i="77"/>
  <c r="E395" i="77"/>
  <c r="F395" i="77"/>
  <c r="E396" i="77"/>
  <c r="F396" i="77"/>
  <c r="E397" i="77"/>
  <c r="F397" i="77"/>
  <c r="E398" i="77"/>
  <c r="F398" i="77"/>
  <c r="E399" i="77"/>
  <c r="F399" i="77"/>
  <c r="E400" i="77"/>
  <c r="F400" i="77"/>
  <c r="E401" i="77"/>
  <c r="F401" i="77"/>
  <c r="E402" i="77"/>
  <c r="F402" i="77"/>
  <c r="E403" i="77"/>
  <c r="F403" i="77"/>
  <c r="E404" i="77"/>
  <c r="F404" i="77"/>
  <c r="E405" i="77"/>
  <c r="F405" i="77"/>
  <c r="E406" i="77"/>
  <c r="F406" i="77"/>
  <c r="E407" i="77"/>
  <c r="F407" i="77"/>
  <c r="E408" i="77"/>
  <c r="F408" i="77"/>
  <c r="E409" i="77"/>
  <c r="F409" i="77"/>
  <c r="E410" i="77"/>
  <c r="F410" i="77"/>
  <c r="E411" i="77"/>
  <c r="F411" i="77"/>
  <c r="E412" i="77"/>
  <c r="F412" i="77"/>
  <c r="E413" i="77"/>
  <c r="F413" i="77"/>
  <c r="E414" i="77"/>
  <c r="F414" i="77"/>
  <c r="E415" i="77"/>
  <c r="F415" i="77"/>
  <c r="F416" i="77"/>
  <c r="E419" i="77"/>
  <c r="F419" i="77"/>
  <c r="E420" i="77"/>
  <c r="F420" i="77"/>
  <c r="E422" i="77"/>
  <c r="F422" i="77"/>
  <c r="E423" i="77"/>
  <c r="F423" i="77"/>
  <c r="E424" i="77"/>
  <c r="F424" i="77"/>
  <c r="E425" i="77"/>
  <c r="F425" i="77"/>
  <c r="E426" i="77"/>
  <c r="F426" i="77"/>
  <c r="E427" i="77"/>
  <c r="F427" i="77"/>
  <c r="E428" i="77"/>
  <c r="F428" i="77"/>
  <c r="E442" i="77"/>
  <c r="F442" i="77"/>
  <c r="E443" i="77"/>
  <c r="F443" i="77"/>
  <c r="E444" i="77"/>
  <c r="F444" i="77"/>
  <c r="E445" i="77"/>
  <c r="F445" i="77"/>
  <c r="E446" i="77"/>
  <c r="F446" i="77"/>
  <c r="E447" i="77"/>
  <c r="F447" i="77"/>
  <c r="E448" i="77"/>
  <c r="F448" i="77"/>
  <c r="E449" i="77"/>
  <c r="F449" i="77"/>
  <c r="E450" i="77"/>
  <c r="F450" i="77"/>
  <c r="E451" i="77"/>
  <c r="F451" i="77"/>
  <c r="E452" i="77"/>
  <c r="F452" i="77"/>
  <c r="E453" i="77"/>
  <c r="F453" i="77"/>
  <c r="E454" i="77"/>
  <c r="F454" i="77"/>
  <c r="E455" i="77"/>
  <c r="F455" i="77"/>
  <c r="E456" i="77"/>
  <c r="F456" i="77"/>
  <c r="E457" i="77"/>
  <c r="F457" i="77"/>
  <c r="E458" i="77"/>
  <c r="F458" i="77"/>
  <c r="E459" i="77"/>
  <c r="F459" i="77"/>
  <c r="E460" i="77"/>
  <c r="F460" i="77"/>
  <c r="E461" i="77"/>
  <c r="F461" i="77"/>
  <c r="E462" i="77"/>
  <c r="F462" i="77"/>
  <c r="E463" i="77"/>
  <c r="F463" i="77"/>
  <c r="E464" i="77"/>
  <c r="F464" i="77"/>
  <c r="E465" i="77"/>
  <c r="F465" i="77"/>
  <c r="E466" i="77"/>
  <c r="F466" i="77"/>
  <c r="E467" i="77"/>
  <c r="F467" i="77"/>
  <c r="E468" i="77"/>
  <c r="F468" i="77"/>
  <c r="E469" i="77"/>
  <c r="F469" i="77"/>
  <c r="E470" i="77"/>
  <c r="F470" i="77"/>
  <c r="E471" i="77"/>
  <c r="F471" i="77"/>
  <c r="E472" i="77"/>
  <c r="F472" i="77"/>
  <c r="E473" i="77"/>
  <c r="F473" i="77"/>
  <c r="E474" i="77"/>
  <c r="F474" i="77"/>
  <c r="E475" i="77"/>
  <c r="F475" i="77"/>
  <c r="E476" i="77"/>
  <c r="F476" i="77"/>
  <c r="E477" i="77"/>
  <c r="F477" i="77"/>
  <c r="F478" i="77"/>
  <c r="F480" i="77"/>
  <c r="F481" i="77"/>
  <c r="F482" i="77"/>
  <c r="E484" i="77"/>
  <c r="F484" i="77"/>
  <c r="E485" i="77"/>
  <c r="F485" i="77"/>
  <c r="E486" i="77"/>
  <c r="F486" i="77"/>
  <c r="E487" i="77"/>
  <c r="F487" i="77"/>
  <c r="E488" i="77"/>
  <c r="F488" i="77"/>
  <c r="E489" i="77"/>
  <c r="F489" i="77"/>
  <c r="E490" i="77"/>
  <c r="F490" i="77"/>
  <c r="E491" i="77"/>
  <c r="F491" i="77"/>
  <c r="E492" i="77"/>
  <c r="F492" i="77"/>
  <c r="E493" i="77"/>
  <c r="F493" i="77"/>
  <c r="E494" i="77"/>
  <c r="F494" i="77"/>
  <c r="E495" i="77"/>
  <c r="F495" i="77"/>
  <c r="E496" i="77"/>
  <c r="F496" i="77"/>
  <c r="E497" i="77"/>
  <c r="F497" i="77"/>
  <c r="E498" i="77"/>
  <c r="F498" i="77"/>
  <c r="E499" i="77"/>
  <c r="F499" i="77"/>
  <c r="E500" i="77"/>
  <c r="F500" i="77"/>
  <c r="E501" i="77"/>
  <c r="F501" i="77"/>
  <c r="E502" i="77"/>
  <c r="F502" i="77"/>
  <c r="E503" i="77"/>
  <c r="F503" i="77"/>
  <c r="E504" i="77"/>
  <c r="F504" i="77"/>
  <c r="E505" i="77"/>
  <c r="F505" i="77"/>
  <c r="E506" i="77"/>
  <c r="F506" i="77"/>
  <c r="E507" i="77"/>
  <c r="F507" i="77"/>
  <c r="E508" i="77"/>
  <c r="F508" i="77"/>
  <c r="E509" i="77"/>
  <c r="F509" i="77"/>
  <c r="E510" i="77"/>
  <c r="F510" i="77"/>
  <c r="E511" i="77"/>
  <c r="F511" i="77"/>
  <c r="E512" i="77"/>
  <c r="F512" i="77"/>
  <c r="E513" i="77"/>
  <c r="F513" i="77"/>
  <c r="E514" i="77"/>
  <c r="F514" i="77"/>
  <c r="E515" i="77"/>
  <c r="F515" i="77"/>
  <c r="E516" i="77"/>
  <c r="F516" i="77"/>
  <c r="E517" i="77"/>
  <c r="F517" i="77"/>
  <c r="E518" i="77"/>
  <c r="F518" i="77"/>
  <c r="E519" i="77"/>
  <c r="F519" i="77"/>
  <c r="E520" i="77"/>
  <c r="F520" i="77"/>
  <c r="E521" i="77"/>
  <c r="F521" i="77"/>
  <c r="E522" i="77"/>
  <c r="F522" i="77"/>
  <c r="E523" i="77"/>
  <c r="F523" i="77"/>
  <c r="E524" i="77"/>
  <c r="F524" i="77"/>
  <c r="E525" i="77"/>
  <c r="F525" i="77"/>
  <c r="E526" i="77"/>
  <c r="F526" i="77"/>
  <c r="E527" i="77"/>
  <c r="F527" i="77"/>
  <c r="E528" i="77"/>
  <c r="F528" i="77"/>
  <c r="E529" i="77"/>
  <c r="F529" i="77"/>
  <c r="E530" i="77"/>
  <c r="F530" i="77"/>
  <c r="E531" i="77"/>
  <c r="F531" i="77"/>
  <c r="E532" i="77"/>
  <c r="F532" i="77"/>
  <c r="E533" i="77"/>
  <c r="F533" i="77"/>
  <c r="F534" i="77"/>
  <c r="F536" i="77"/>
  <c r="F537" i="77"/>
  <c r="F538" i="77"/>
  <c r="E540" i="77"/>
  <c r="F540" i="77"/>
  <c r="E541" i="77"/>
  <c r="F541" i="77"/>
  <c r="E542" i="77"/>
  <c r="F542" i="77"/>
  <c r="E543" i="77"/>
  <c r="F543" i="77"/>
  <c r="E544" i="77"/>
  <c r="F544" i="77"/>
  <c r="E545" i="77"/>
  <c r="F545" i="77"/>
  <c r="E546" i="77"/>
  <c r="F546" i="77"/>
  <c r="E547" i="77"/>
  <c r="F547" i="77"/>
  <c r="E548" i="77"/>
  <c r="F548" i="77"/>
  <c r="E549" i="77"/>
  <c r="F549" i="77"/>
  <c r="E550" i="77"/>
  <c r="F550" i="77"/>
  <c r="E551" i="77"/>
  <c r="F551" i="77"/>
  <c r="E552" i="77"/>
  <c r="F552" i="77"/>
  <c r="E553" i="77"/>
  <c r="F553" i="77"/>
  <c r="E554" i="77"/>
  <c r="F554" i="77"/>
  <c r="E555" i="77"/>
  <c r="F555" i="77"/>
  <c r="E556" i="77"/>
  <c r="F556" i="77"/>
  <c r="E557" i="77"/>
  <c r="F557" i="77"/>
  <c r="E558" i="77"/>
  <c r="F558" i="77"/>
  <c r="E559" i="77"/>
  <c r="F559" i="77"/>
  <c r="E560" i="77"/>
  <c r="F560" i="77"/>
  <c r="E561" i="77"/>
  <c r="F561" i="77"/>
  <c r="E562" i="77"/>
  <c r="F562" i="77"/>
  <c r="E563" i="77"/>
  <c r="F563" i="77"/>
  <c r="E564" i="77"/>
  <c r="F564" i="77"/>
  <c r="E565" i="77"/>
  <c r="F565" i="77"/>
  <c r="E566" i="77"/>
  <c r="F566" i="77"/>
  <c r="E567" i="77"/>
  <c r="F567" i="77"/>
  <c r="E568" i="77"/>
  <c r="F568" i="77"/>
  <c r="E569" i="77"/>
  <c r="F569" i="77"/>
  <c r="E570" i="77"/>
  <c r="F570" i="77"/>
  <c r="E571" i="77"/>
  <c r="F571" i="77"/>
  <c r="E572" i="77"/>
  <c r="F572" i="77"/>
  <c r="E573" i="77"/>
  <c r="F573" i="77"/>
  <c r="E574" i="77"/>
  <c r="F574" i="77"/>
  <c r="E575" i="77"/>
  <c r="F575" i="77"/>
  <c r="E576" i="77"/>
  <c r="F576" i="77"/>
  <c r="E577" i="77"/>
  <c r="F577" i="77"/>
  <c r="C19" i="9"/>
  <c r="D19" i="9"/>
  <c r="G19" i="9"/>
  <c r="L35" i="77"/>
  <c r="F578" i="77"/>
  <c r="F579" i="77"/>
  <c r="F893" i="77"/>
  <c r="L25" i="77"/>
  <c r="F20" i="6"/>
  <c r="K13" i="3"/>
  <c r="O13" i="3"/>
  <c r="J4" i="77"/>
  <c r="I4" i="77"/>
  <c r="A3" i="3"/>
  <c r="C298" i="77"/>
  <c r="C665" i="77"/>
  <c r="C764" i="77"/>
  <c r="C822" i="77"/>
  <c r="C889" i="77"/>
  <c r="K4" i="77"/>
  <c r="M13" i="3"/>
  <c r="G21" i="6"/>
  <c r="E21" i="6"/>
  <c r="K8" i="1"/>
  <c r="M8" i="1"/>
  <c r="C26" i="77"/>
  <c r="C68" i="77"/>
  <c r="C97" i="77"/>
  <c r="C373" i="77"/>
  <c r="C416" i="77"/>
  <c r="C478" i="77"/>
  <c r="C534" i="77"/>
  <c r="C579" i="77"/>
  <c r="I13" i="3"/>
  <c r="F19" i="6"/>
  <c r="E19" i="6"/>
  <c r="C115" i="77"/>
  <c r="C670" i="77"/>
  <c r="C769" i="77"/>
  <c r="C583" i="77"/>
  <c r="C826" i="77"/>
  <c r="G20" i="6"/>
  <c r="E20" i="6"/>
  <c r="BB13" i="3"/>
  <c r="BC13" i="3"/>
  <c r="BD13" i="3"/>
  <c r="BE13" i="3"/>
  <c r="BA13" i="3"/>
  <c r="BA5" i="3"/>
  <c r="BE5" i="3"/>
  <c r="E8" i="6"/>
  <c r="F27" i="6"/>
  <c r="E27" i="6"/>
  <c r="K21" i="6"/>
  <c r="S8" i="1"/>
  <c r="T8" i="1"/>
  <c r="K6" i="1"/>
  <c r="M6" i="1"/>
  <c r="K7" i="1"/>
  <c r="M7" i="1"/>
  <c r="K9" i="1"/>
  <c r="M9" i="1"/>
  <c r="K10" i="1"/>
  <c r="M10" i="1"/>
  <c r="K11" i="1"/>
  <c r="M11" i="1"/>
  <c r="K12" i="1"/>
  <c r="M12" i="1"/>
  <c r="K13" i="1"/>
  <c r="M13" i="1"/>
  <c r="K14" i="1"/>
  <c r="M14" i="1"/>
  <c r="M16" i="1"/>
  <c r="N16" i="1"/>
  <c r="F50" i="80"/>
  <c r="I8" i="77"/>
  <c r="J9" i="77"/>
  <c r="I11" i="77"/>
  <c r="U8" i="1"/>
  <c r="AZ13" i="3"/>
  <c r="AZ5" i="3"/>
  <c r="H13" i="3"/>
  <c r="G13" i="3"/>
  <c r="G5" i="3"/>
  <c r="B3" i="3"/>
  <c r="AY6" i="3"/>
  <c r="D3" i="6"/>
  <c r="E3" i="6"/>
  <c r="D21" i="6"/>
  <c r="L21" i="6"/>
  <c r="M21" i="6"/>
  <c r="I21" i="6"/>
  <c r="H21" i="6"/>
  <c r="R21" i="6"/>
  <c r="J51" i="82"/>
  <c r="K19" i="6"/>
  <c r="S6" i="1"/>
  <c r="T6" i="1"/>
  <c r="F50" i="68"/>
  <c r="B3" i="34"/>
  <c r="U6" i="1"/>
  <c r="D19" i="6"/>
  <c r="L19" i="6"/>
  <c r="M19" i="6"/>
  <c r="I19" i="6"/>
  <c r="H19" i="6"/>
  <c r="R19" i="6"/>
  <c r="J51" i="15"/>
  <c r="K20" i="6"/>
  <c r="S7" i="1"/>
  <c r="T7" i="1"/>
  <c r="F50" i="79"/>
  <c r="D20" i="6"/>
  <c r="L20" i="6"/>
  <c r="M20" i="6"/>
  <c r="I20" i="6"/>
  <c r="H20" i="6"/>
  <c r="R20" i="6"/>
  <c r="J51" i="81"/>
  <c r="BB5" i="3"/>
  <c r="BE10" i="3"/>
  <c r="F31" i="6"/>
  <c r="C890" i="77"/>
  <c r="N6" i="1"/>
  <c r="N8" i="1"/>
  <c r="N7" i="1"/>
  <c r="I11" i="39"/>
  <c r="G11" i="39"/>
  <c r="E11" i="39"/>
  <c r="C11" i="39"/>
  <c r="B24" i="1"/>
  <c r="E111" i="84"/>
  <c r="H111" i="84"/>
  <c r="D126" i="84"/>
  <c r="D127" i="84"/>
  <c r="A126" i="84"/>
  <c r="E109" i="84"/>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B43" i="1"/>
  <c r="D93" i="84"/>
  <c r="C94" i="84"/>
  <c r="E90" i="84"/>
  <c r="C76" i="84"/>
  <c r="D77" i="84"/>
  <c r="D3" i="4"/>
  <c r="B2" i="1"/>
  <c r="C42" i="1"/>
  <c r="C77" i="84"/>
  <c r="C74" i="84"/>
  <c r="D78" i="84"/>
  <c r="H77" i="84"/>
  <c r="B41" i="1"/>
  <c r="D68" i="84"/>
  <c r="D48" i="84"/>
  <c r="M52" i="84"/>
  <c r="I55" i="84"/>
  <c r="D59" i="84"/>
  <c r="M55" i="84"/>
  <c r="K6" i="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C28" i="82"/>
  <c r="F32" i="82"/>
  <c r="F33" i="82"/>
  <c r="F61" i="82"/>
  <c r="B52" i="1"/>
  <c r="F34" i="82"/>
  <c r="M47" i="82"/>
  <c r="J50" i="82"/>
  <c r="K59" i="82"/>
  <c r="P74" i="82"/>
  <c r="Q72" i="82"/>
  <c r="F60" i="82"/>
  <c r="F62" i="82"/>
  <c r="P61" i="82"/>
  <c r="Q59" i="82"/>
  <c r="Q58" i="82"/>
  <c r="Q51" i="82"/>
  <c r="D46" i="82"/>
  <c r="M18" i="82"/>
  <c r="M19" i="82"/>
  <c r="M20" i="82"/>
  <c r="D24" i="82"/>
  <c r="D23" i="82"/>
  <c r="D22" i="82"/>
  <c r="A6" i="1"/>
  <c r="A7" i="1"/>
  <c r="G1" i="81"/>
  <c r="F15" i="81"/>
  <c r="F17" i="81"/>
  <c r="F18" i="81"/>
  <c r="F20" i="81"/>
  <c r="F23" i="81"/>
  <c r="F21" i="81"/>
  <c r="F28" i="81"/>
  <c r="C28" i="81"/>
  <c r="F32" i="81"/>
  <c r="F33" i="81"/>
  <c r="F61" i="81"/>
  <c r="F34" i="81"/>
  <c r="M47" i="81"/>
  <c r="J50" i="81"/>
  <c r="K59" i="81"/>
  <c r="P74" i="81"/>
  <c r="Q72" i="81"/>
  <c r="F60" i="81"/>
  <c r="F62" i="81"/>
  <c r="P61" i="81"/>
  <c r="Q59" i="81"/>
  <c r="Q58" i="81"/>
  <c r="Q51" i="81"/>
  <c r="D46" i="81"/>
  <c r="M18" i="81"/>
  <c r="M19" i="81"/>
  <c r="M20" i="81"/>
  <c r="D24" i="81"/>
  <c r="D23" i="81"/>
  <c r="D22" i="81"/>
  <c r="F35" i="80"/>
  <c r="E37" i="80"/>
  <c r="F38" i="80"/>
  <c r="F20" i="80"/>
  <c r="F21" i="80"/>
  <c r="C40" i="80"/>
  <c r="F30" i="80"/>
  <c r="C48" i="80"/>
  <c r="F7" i="80"/>
  <c r="C8" i="80"/>
  <c r="C19" i="80"/>
  <c r="C21" i="80"/>
  <c r="C30" i="80"/>
  <c r="B22" i="1"/>
  <c r="G41" i="80"/>
  <c r="F36" i="80"/>
  <c r="G22" i="80"/>
  <c r="B31" i="1"/>
  <c r="E19" i="80"/>
  <c r="E10" i="80"/>
  <c r="E9" i="80"/>
  <c r="G1" i="79"/>
  <c r="F35" i="79"/>
  <c r="E37" i="79"/>
  <c r="F38" i="79"/>
  <c r="F20" i="79"/>
  <c r="F21" i="79"/>
  <c r="C40" i="79"/>
  <c r="F30" i="79"/>
  <c r="C48" i="79"/>
  <c r="F7" i="79"/>
  <c r="C8" i="79"/>
  <c r="C19" i="79"/>
  <c r="C21" i="79"/>
  <c r="C30" i="79"/>
  <c r="G41" i="79"/>
  <c r="F36" i="79"/>
  <c r="G22" i="79"/>
  <c r="E19" i="79"/>
  <c r="E10" i="79"/>
  <c r="E9" i="79"/>
  <c r="C7" i="34"/>
  <c r="I7" i="34"/>
  <c r="G7" i="34"/>
  <c r="E7" i="34"/>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c r="I20" i="43"/>
  <c r="G15" i="4"/>
  <c r="F8" i="1"/>
  <c r="F9" i="1"/>
  <c r="F10" i="1"/>
  <c r="D10" i="1"/>
  <c r="G10" i="1"/>
  <c r="F11" i="1"/>
  <c r="D11" i="1"/>
  <c r="G11" i="1"/>
  <c r="F12" i="1"/>
  <c r="F13" i="1"/>
  <c r="D6" i="1"/>
  <c r="D9" i="1"/>
  <c r="D12" i="1"/>
  <c r="D13" i="1"/>
  <c r="D7" i="1"/>
  <c r="D8" i="1"/>
  <c r="A8" i="1"/>
  <c r="A9" i="1"/>
  <c r="A10" i="1"/>
  <c r="A11" i="1"/>
  <c r="A12" i="1"/>
  <c r="A13" i="1"/>
  <c r="F3" i="35"/>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3" i="1"/>
  <c r="D78" i="9"/>
  <c r="BQ13" i="3"/>
  <c r="BQ14" i="3"/>
  <c r="BQ15" i="3"/>
  <c r="BQ16" i="3"/>
  <c r="BQ17" i="3"/>
  <c r="BS13" i="3"/>
  <c r="BS14" i="3"/>
  <c r="BS15" i="3"/>
  <c r="BS16" i="3"/>
  <c r="BS17" i="3"/>
  <c r="BR14" i="3"/>
  <c r="BR15" i="3"/>
  <c r="BR16" i="3"/>
  <c r="BR17" i="3"/>
  <c r="BT13" i="3"/>
  <c r="BT14" i="3"/>
  <c r="BT15" i="3"/>
  <c r="BT16" i="3"/>
  <c r="BT17" i="3"/>
  <c r="BM14" i="3"/>
  <c r="BM15" i="3"/>
  <c r="BM16" i="3"/>
  <c r="BN16" i="3"/>
  <c r="BO16" i="3"/>
  <c r="BP16" i="3"/>
  <c r="BL16" i="3"/>
  <c r="BM17" i="3"/>
  <c r="BO13" i="3"/>
  <c r="BO14" i="3"/>
  <c r="BO15" i="3"/>
  <c r="BO17" i="3"/>
  <c r="BN13" i="3"/>
  <c r="BN14" i="3"/>
  <c r="BN15" i="3"/>
  <c r="BN17" i="3"/>
  <c r="BP13" i="3"/>
  <c r="BP14" i="3"/>
  <c r="BP15" i="3"/>
  <c r="BP17" i="3"/>
  <c r="O8" i="1"/>
  <c r="P8" i="1"/>
  <c r="F23" i="15"/>
  <c r="D24" i="15"/>
  <c r="E22" i="6"/>
  <c r="E23" i="6"/>
  <c r="E24" i="6"/>
  <c r="E25" i="6"/>
  <c r="E26" i="6"/>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A12" i="52"/>
  <c r="B56" i="72"/>
  <c r="G4" i="4"/>
  <c r="I4" i="4"/>
  <c r="K5" i="4"/>
  <c r="B47" i="48"/>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c r="R10" i="1"/>
  <c r="B10" i="1"/>
  <c r="E10" i="1"/>
  <c r="D1" i="66"/>
  <c r="E10" i="66"/>
  <c r="AZ80" i="3"/>
  <c r="AZ84" i="3"/>
  <c r="AZ88" i="3"/>
  <c r="AZ107" i="3"/>
  <c r="AZ111" i="3"/>
  <c r="O12" i="1"/>
  <c r="P12" i="1"/>
  <c r="S13" i="1"/>
  <c r="R13" i="1"/>
  <c r="S11" i="1"/>
  <c r="AQ11" i="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c r="C19" i="12"/>
  <c r="P10" i="1"/>
  <c r="E32"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C28" i="15"/>
  <c r="D68" i="39"/>
  <c r="D70" i="39"/>
  <c r="E30" i="6"/>
  <c r="K15"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C30" i="69"/>
  <c r="C48" i="68"/>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c r="F11" i="12"/>
  <c r="C23" i="12"/>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F63" i="40"/>
  <c r="E65" i="40"/>
  <c r="E70" i="39"/>
  <c r="F70" i="39"/>
  <c r="AA7" i="34"/>
  <c r="R49" i="34"/>
  <c r="E49" i="34"/>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C8" i="69"/>
  <c r="O63" i="40"/>
  <c r="O65" i="40"/>
  <c r="N65" i="40"/>
  <c r="C19" i="69"/>
  <c r="F7" i="40"/>
  <c r="H7" i="40"/>
  <c r="J7" i="40"/>
  <c r="W7" i="40"/>
  <c r="AC7" i="40"/>
  <c r="V42" i="40"/>
  <c r="I42" i="40"/>
  <c r="I46" i="40"/>
  <c r="J46" i="40"/>
  <c r="AB7" i="40"/>
  <c r="T42" i="40"/>
  <c r="G42" i="40"/>
  <c r="U7" i="40"/>
  <c r="AA7" i="40"/>
  <c r="R42" i="40"/>
  <c r="R43" i="40"/>
  <c r="S7" i="40"/>
  <c r="E42" i="40"/>
  <c r="E46" i="40"/>
  <c r="F46" i="40"/>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3" i="43"/>
  <c r="B71" i="39"/>
  <c r="P24" i="43"/>
  <c r="B66" i="40"/>
  <c r="P25" i="43"/>
  <c r="E10" i="49"/>
  <c r="B5" i="49"/>
  <c r="B8" i="49"/>
  <c r="C4" i="4"/>
  <c r="B4" i="62"/>
  <c r="B71" i="72"/>
  <c r="E16" i="49"/>
  <c r="B14" i="49"/>
  <c r="E54" i="34"/>
  <c r="F54" i="34"/>
  <c r="I53" i="34"/>
  <c r="J53" i="34"/>
  <c r="G54" i="34"/>
  <c r="H54" i="34"/>
  <c r="I54" i="34"/>
  <c r="J54" i="34"/>
  <c r="E53" i="34"/>
  <c r="F53" i="34"/>
  <c r="R50" i="34"/>
  <c r="C36" i="69"/>
  <c r="T11" i="1"/>
  <c r="E11" i="49"/>
  <c r="E5" i="49"/>
  <c r="E8" i="49"/>
  <c r="B9" i="49"/>
  <c r="E22" i="49"/>
  <c r="B7" i="49"/>
  <c r="E4" i="49"/>
  <c r="B6" i="49"/>
  <c r="E9" i="49"/>
  <c r="E21" i="49"/>
  <c r="B11" i="49"/>
  <c r="B13" i="49"/>
  <c r="B4" i="49"/>
  <c r="E4" i="4"/>
  <c r="B5" i="62"/>
  <c r="B73" i="72"/>
  <c r="E6" i="49"/>
  <c r="E7" i="49"/>
  <c r="B16" i="49"/>
  <c r="B10" i="49"/>
  <c r="T10" i="1"/>
  <c r="AR10" i="1"/>
  <c r="L27" i="6"/>
  <c r="G1" i="82"/>
  <c r="B8" i="1"/>
  <c r="E8" i="1"/>
  <c r="G1" i="80"/>
  <c r="O16" i="1"/>
  <c r="P16" i="1"/>
  <c r="C11" i="12"/>
  <c r="C12" i="12"/>
  <c r="C299" i="77"/>
  <c r="M5" i="3"/>
  <c r="C765" i="77"/>
  <c r="I47" i="40"/>
  <c r="J47" i="40"/>
  <c r="AR11" i="1"/>
  <c r="BD5" i="3"/>
  <c r="D9" i="11"/>
  <c r="C9" i="11"/>
  <c r="D9" i="69"/>
  <c r="C9" i="69"/>
  <c r="AR13" i="1"/>
  <c r="AQ13" i="1"/>
  <c r="T13" i="1"/>
  <c r="AR12" i="1"/>
  <c r="T12" i="1"/>
  <c r="I5" i="3"/>
  <c r="F99" i="39"/>
  <c r="G99" i="39"/>
  <c r="F25" i="39"/>
  <c r="H25" i="39"/>
  <c r="J25" i="39"/>
  <c r="F81" i="39"/>
  <c r="J11" i="39"/>
  <c r="C43" i="40"/>
  <c r="C42" i="40"/>
  <c r="C15" i="12"/>
  <c r="G47" i="40"/>
  <c r="H47" i="40"/>
  <c r="G46" i="40"/>
  <c r="H46" i="40"/>
  <c r="E47" i="40"/>
  <c r="F47" i="40"/>
  <c r="L47" i="81"/>
  <c r="C76" i="67"/>
  <c r="M26" i="67"/>
  <c r="L47" i="82"/>
  <c r="F38" i="67"/>
  <c r="F20" i="31"/>
  <c r="D2" i="37"/>
  <c r="M27" i="82"/>
  <c r="F7" i="67"/>
  <c r="C76" i="15"/>
  <c r="F7" i="73"/>
  <c r="M27" i="67"/>
  <c r="J15" i="67"/>
  <c r="M22" i="15"/>
  <c r="M8" i="67"/>
  <c r="M28" i="15"/>
  <c r="M24" i="82"/>
  <c r="B13" i="76"/>
  <c r="F36" i="67"/>
  <c r="E10" i="76"/>
  <c r="E9" i="76"/>
  <c r="E2" i="69"/>
  <c r="M27" i="81"/>
  <c r="M23" i="67"/>
  <c r="L47" i="67"/>
  <c r="M24" i="81"/>
  <c r="E2" i="79"/>
  <c r="M27" i="15"/>
  <c r="B12" i="76"/>
  <c r="F9" i="67"/>
  <c r="M28" i="82"/>
  <c r="B7" i="76"/>
  <c r="J15" i="81"/>
  <c r="F37" i="67"/>
  <c r="M22" i="67"/>
  <c r="M22" i="82"/>
  <c r="F16" i="67"/>
  <c r="M26" i="81"/>
  <c r="F43" i="67"/>
  <c r="F26" i="67"/>
  <c r="M28" i="81"/>
  <c r="M23" i="15"/>
  <c r="M29" i="67"/>
  <c r="D2" i="36"/>
  <c r="F5" i="73"/>
  <c r="D4" i="73"/>
  <c r="M22" i="81"/>
  <c r="E12" i="76"/>
  <c r="AO10" i="1"/>
  <c r="E11" i="76"/>
  <c r="F6" i="73"/>
  <c r="E2" i="68"/>
  <c r="M23" i="82"/>
  <c r="L47" i="15"/>
  <c r="F3" i="73"/>
  <c r="E7" i="76"/>
  <c r="M28" i="67"/>
  <c r="B8" i="76"/>
  <c r="B10" i="76"/>
  <c r="D2" i="34"/>
  <c r="D3" i="73"/>
  <c r="B9" i="76"/>
  <c r="M24" i="15"/>
  <c r="D2" i="35"/>
  <c r="J15" i="82"/>
  <c r="M24" i="67"/>
  <c r="L48" i="67"/>
  <c r="E8" i="76"/>
  <c r="F6" i="67"/>
  <c r="F13" i="67"/>
  <c r="M26" i="82"/>
  <c r="F8" i="67"/>
  <c r="F31" i="67"/>
  <c r="F40" i="67"/>
  <c r="M23" i="81"/>
  <c r="AO11" i="1"/>
  <c r="M26" i="15"/>
  <c r="M9" i="67"/>
  <c r="D2" i="21"/>
  <c r="C76" i="82"/>
  <c r="AO12" i="1"/>
  <c r="M6" i="67"/>
  <c r="E2" i="80"/>
  <c r="F42" i="67"/>
  <c r="J15" i="15"/>
  <c r="D7" i="73"/>
  <c r="AO13" i="1"/>
  <c r="E13" i="76"/>
  <c r="C76" i="81"/>
  <c r="D2" i="33"/>
  <c r="B11" i="76"/>
  <c r="C50" i="34"/>
  <c r="C49" i="34"/>
  <c r="K4" i="4"/>
  <c r="B46" i="48"/>
  <c r="B4" i="72"/>
  <c r="D3" i="34"/>
  <c r="B2" i="34"/>
  <c r="M18" i="9"/>
  <c r="B118" i="9"/>
  <c r="B14" i="74"/>
  <c r="K5" i="3"/>
  <c r="BC5" i="3"/>
  <c r="B16" i="74"/>
  <c r="B10" i="70"/>
  <c r="L58" i="67"/>
  <c r="Q60" i="67"/>
  <c r="N59" i="67"/>
  <c r="L59" i="67"/>
  <c r="Q74" i="67"/>
  <c r="M59" i="67"/>
  <c r="B2" i="36"/>
  <c r="B3" i="36"/>
  <c r="B20" i="31"/>
  <c r="C6" i="67"/>
  <c r="F70" i="67"/>
  <c r="B11" i="70"/>
  <c r="L58" i="15"/>
  <c r="Q73" i="15"/>
  <c r="L59" i="15"/>
  <c r="Q74" i="15"/>
  <c r="M59" i="15"/>
  <c r="N59" i="15"/>
  <c r="F66" i="15"/>
  <c r="F64" i="67"/>
  <c r="F66" i="67"/>
  <c r="Q71" i="81"/>
  <c r="L59" i="82"/>
  <c r="Q74" i="82"/>
  <c r="N59" i="82"/>
  <c r="M59" i="82"/>
  <c r="L58" i="82"/>
  <c r="Q60" i="82"/>
  <c r="F51" i="15"/>
  <c r="F68" i="81"/>
  <c r="C9" i="68"/>
  <c r="L56" i="82"/>
  <c r="L57" i="82"/>
  <c r="Q50" i="82"/>
  <c r="L60" i="82"/>
  <c r="Q66" i="82"/>
  <c r="I54" i="82"/>
  <c r="F66" i="82"/>
  <c r="F51" i="82"/>
  <c r="F66" i="81"/>
  <c r="C9" i="79"/>
  <c r="F68" i="82"/>
  <c r="F50" i="82"/>
  <c r="C9" i="80"/>
  <c r="B2" i="35"/>
  <c r="B3" i="35"/>
  <c r="C27" i="67"/>
  <c r="Q71" i="15"/>
  <c r="J57" i="67"/>
  <c r="J55" i="67"/>
  <c r="J58" i="67"/>
  <c r="Q50" i="67"/>
  <c r="I54" i="67"/>
  <c r="L56" i="67"/>
  <c r="F68" i="67"/>
  <c r="B13" i="70"/>
  <c r="E20" i="43"/>
  <c r="P17" i="43"/>
  <c r="F65" i="67"/>
  <c r="F71" i="67"/>
  <c r="Q71" i="67"/>
  <c r="F50" i="67"/>
  <c r="M7" i="67"/>
  <c r="F51" i="67"/>
  <c r="C49" i="67"/>
  <c r="B12" i="70"/>
  <c r="L59" i="81"/>
  <c r="Q61" i="81"/>
  <c r="N59" i="81"/>
  <c r="L58" i="81"/>
  <c r="Q60" i="81"/>
  <c r="M59" i="81"/>
  <c r="Q50" i="15"/>
  <c r="L56" i="15"/>
  <c r="L57" i="15"/>
  <c r="Q52" i="15"/>
  <c r="I54" i="15"/>
  <c r="L60" i="15"/>
  <c r="Q57" i="15"/>
  <c r="Q71" i="82"/>
  <c r="F68" i="15"/>
  <c r="F65" i="15"/>
  <c r="F64" i="15"/>
  <c r="L57" i="81"/>
  <c r="L56" i="81"/>
  <c r="Q50" i="81"/>
  <c r="L60" i="81"/>
  <c r="Q66" i="81"/>
  <c r="I54" i="81"/>
  <c r="F51" i="81"/>
  <c r="F65" i="82"/>
  <c r="F64" i="82"/>
  <c r="F65" i="81"/>
  <c r="F64" i="81"/>
  <c r="AC25" i="39"/>
  <c r="W25" i="39"/>
  <c r="AA25" i="39"/>
  <c r="S25" i="39"/>
  <c r="AB25" i="39"/>
  <c r="U25" i="39"/>
  <c r="G81" i="39"/>
  <c r="F11" i="39"/>
  <c r="W11" i="39"/>
  <c r="AC11" i="39"/>
  <c r="B57" i="40"/>
  <c r="B58" i="40"/>
  <c r="B59" i="40"/>
  <c r="B52" i="40"/>
  <c r="F52" i="40"/>
  <c r="B56" i="40"/>
  <c r="B51" i="40"/>
  <c r="B54" i="40"/>
  <c r="F54" i="40"/>
  <c r="B55" i="40"/>
  <c r="F55" i="40"/>
  <c r="B53" i="40"/>
  <c r="F53" i="40"/>
  <c r="B60" i="40"/>
  <c r="C16" i="67"/>
  <c r="M17" i="82"/>
  <c r="F59" i="67"/>
  <c r="F31" i="82"/>
  <c r="M29" i="15"/>
  <c r="M17" i="67"/>
  <c r="F59" i="82"/>
  <c r="C53" i="15"/>
  <c r="Q73" i="82"/>
  <c r="Q60" i="15"/>
  <c r="M11" i="67"/>
  <c r="J10" i="67"/>
  <c r="C53" i="81"/>
  <c r="F11" i="67"/>
  <c r="C53" i="67"/>
  <c r="C48" i="67"/>
  <c r="Q61" i="67"/>
  <c r="Q52" i="81"/>
  <c r="Q73" i="67"/>
  <c r="Q52" i="82"/>
  <c r="Q57" i="82"/>
  <c r="Q66" i="15"/>
  <c r="E12" i="6"/>
  <c r="F50" i="15"/>
  <c r="C49" i="15"/>
  <c r="F71" i="15"/>
  <c r="M18" i="84"/>
  <c r="B118" i="84"/>
  <c r="E7" i="12"/>
  <c r="Q74" i="81"/>
  <c r="O17" i="43"/>
  <c r="E13" i="6"/>
  <c r="E11" i="6"/>
  <c r="E14" i="6"/>
  <c r="E15" i="6"/>
  <c r="E10" i="6"/>
  <c r="H5" i="3"/>
  <c r="G27" i="6"/>
  <c r="G31" i="6"/>
  <c r="B1" i="74"/>
  <c r="E57" i="40"/>
  <c r="F57" i="40"/>
  <c r="E62" i="39"/>
  <c r="C49" i="82"/>
  <c r="Q61" i="15"/>
  <c r="Q61" i="82"/>
  <c r="N17" i="43"/>
  <c r="G20" i="43"/>
  <c r="C20" i="43"/>
  <c r="C34" i="43"/>
  <c r="Q73" i="81"/>
  <c r="Q57" i="81"/>
  <c r="M17" i="43"/>
  <c r="J6" i="67"/>
  <c r="J5" i="67"/>
  <c r="AA11" i="39"/>
  <c r="S11" i="39"/>
  <c r="H81" i="39"/>
  <c r="I81" i="39"/>
  <c r="J81" i="39"/>
  <c r="K81" i="39"/>
  <c r="L81" i="39"/>
  <c r="M81" i="39"/>
  <c r="H11" i="39"/>
  <c r="C10" i="67"/>
  <c r="C5" i="67"/>
  <c r="AE9" i="1"/>
  <c r="F31" i="15"/>
  <c r="F41" i="67"/>
  <c r="F59" i="15"/>
  <c r="M17" i="15"/>
  <c r="M29" i="82"/>
  <c r="C53" i="82"/>
  <c r="C48" i="82"/>
  <c r="C60" i="82"/>
  <c r="F69" i="67"/>
  <c r="F22" i="69"/>
  <c r="C44" i="69"/>
  <c r="D41" i="69"/>
  <c r="C48" i="15"/>
  <c r="C66" i="15"/>
  <c r="F24" i="67"/>
  <c r="C24" i="67"/>
  <c r="F71" i="82"/>
  <c r="M18" i="83"/>
  <c r="B118" i="83"/>
  <c r="I3" i="6"/>
  <c r="E51" i="40"/>
  <c r="F51" i="40"/>
  <c r="E56" i="39"/>
  <c r="E16" i="6"/>
  <c r="E61" i="39"/>
  <c r="E56" i="40"/>
  <c r="F56" i="40"/>
  <c r="D3" i="21"/>
  <c r="B2" i="21"/>
  <c r="B3" i="21"/>
  <c r="E6" i="6"/>
  <c r="D37" i="11"/>
  <c r="C37" i="11"/>
  <c r="D3" i="37"/>
  <c r="B2" i="37"/>
  <c r="B3" i="37"/>
  <c r="D3" i="33"/>
  <c r="B2" i="33"/>
  <c r="B3" i="33"/>
  <c r="C17" i="4"/>
  <c r="B4" i="52"/>
  <c r="B43" i="72"/>
  <c r="D19" i="11"/>
  <c r="C19" i="11"/>
  <c r="C20" i="11"/>
  <c r="D14" i="12"/>
  <c r="H108" i="9"/>
  <c r="D15" i="53"/>
  <c r="B31" i="72"/>
  <c r="H108" i="84"/>
  <c r="H108" i="83"/>
  <c r="C8" i="74"/>
  <c r="C6" i="74"/>
  <c r="E60" i="40"/>
  <c r="F60" i="40"/>
  <c r="E65" i="39"/>
  <c r="E64" i="39"/>
  <c r="E59" i="40"/>
  <c r="F59" i="40"/>
  <c r="E58" i="40"/>
  <c r="F58" i="40"/>
  <c r="E63" i="39"/>
  <c r="F22" i="11"/>
  <c r="C44" i="11"/>
  <c r="D41" i="11"/>
  <c r="F25" i="12"/>
  <c r="C26" i="12"/>
  <c r="D25" i="12"/>
  <c r="T8" i="43"/>
  <c r="V8" i="43"/>
  <c r="T11" i="43"/>
  <c r="V11" i="43"/>
  <c r="C36" i="43"/>
  <c r="G36" i="43"/>
  <c r="I36" i="43"/>
  <c r="T9" i="43"/>
  <c r="V9" i="43"/>
  <c r="C39" i="43"/>
  <c r="E39" i="43"/>
  <c r="T13" i="43"/>
  <c r="V13" i="43"/>
  <c r="T14" i="43"/>
  <c r="V14" i="43"/>
  <c r="C33" i="43"/>
  <c r="E33" i="43"/>
  <c r="C38" i="43"/>
  <c r="G38" i="43"/>
  <c r="I38" i="43"/>
  <c r="T10" i="43"/>
  <c r="V10" i="43"/>
  <c r="T15" i="43"/>
  <c r="V15" i="43"/>
  <c r="T12" i="43"/>
  <c r="V12" i="43"/>
  <c r="T16" i="43"/>
  <c r="V16" i="43"/>
  <c r="C35" i="43"/>
  <c r="G35" i="43"/>
  <c r="I35" i="43"/>
  <c r="C37" i="43"/>
  <c r="G37" i="43"/>
  <c r="I37" i="43"/>
  <c r="F69" i="81"/>
  <c r="F69" i="15"/>
  <c r="F69" i="82"/>
  <c r="J24" i="67"/>
  <c r="J26" i="67"/>
  <c r="J29" i="67"/>
  <c r="J18" i="67"/>
  <c r="U11" i="39"/>
  <c r="AB11" i="39"/>
  <c r="J18" i="82"/>
  <c r="J24" i="82"/>
  <c r="C32" i="67"/>
  <c r="C38" i="67"/>
  <c r="C66" i="67"/>
  <c r="C60" i="67"/>
  <c r="G34" i="43"/>
  <c r="I34" i="43"/>
  <c r="E34" i="43"/>
  <c r="M29" i="81"/>
  <c r="C66" i="82"/>
  <c r="C60" i="15"/>
  <c r="C26" i="11"/>
  <c r="D22" i="11"/>
  <c r="C26" i="69"/>
  <c r="D22" i="69"/>
  <c r="C24" i="69"/>
  <c r="J18" i="15"/>
  <c r="E36" i="43"/>
  <c r="C25" i="11"/>
  <c r="J24" i="15"/>
  <c r="E37" i="43"/>
  <c r="G33" i="43"/>
  <c r="I33" i="43"/>
  <c r="E35" i="43"/>
  <c r="E38" i="43"/>
  <c r="C23" i="11"/>
  <c r="C24" i="11"/>
  <c r="F71" i="81"/>
  <c r="F50" i="81"/>
  <c r="E66" i="39"/>
  <c r="I4" i="6"/>
  <c r="G3" i="4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c r="I26" i="6"/>
  <c r="S26" i="6"/>
  <c r="K24" i="6"/>
  <c r="M24" i="6"/>
  <c r="I24" i="6"/>
  <c r="S24" i="6"/>
  <c r="K22" i="6"/>
  <c r="K23" i="6"/>
  <c r="M23" i="6"/>
  <c r="I23" i="6"/>
  <c r="S23" i="6"/>
  <c r="E31" i="6"/>
  <c r="K25" i="6"/>
  <c r="M25" i="6"/>
  <c r="I25" i="6"/>
  <c r="S25" i="6"/>
  <c r="D17" i="12"/>
  <c r="C17" i="12"/>
  <c r="C14" i="12"/>
  <c r="C16" i="12"/>
  <c r="D10" i="11"/>
  <c r="C10" i="11"/>
  <c r="D10" i="69"/>
  <c r="D20" i="12"/>
  <c r="C20" i="12"/>
  <c r="C18" i="12"/>
  <c r="H16" i="1"/>
  <c r="C34" i="69"/>
  <c r="Q16" i="1"/>
  <c r="K16" i="1"/>
  <c r="F59" i="81"/>
  <c r="F31" i="81"/>
  <c r="M17" i="81"/>
  <c r="C22" i="11"/>
  <c r="M22" i="6"/>
  <c r="I22" i="6"/>
  <c r="S22" i="6"/>
  <c r="S9" i="1"/>
  <c r="C10" i="79"/>
  <c r="F28" i="12"/>
  <c r="C29" i="12"/>
  <c r="D28" i="12"/>
  <c r="F27" i="69"/>
  <c r="F27" i="11"/>
  <c r="C10" i="69"/>
  <c r="D19" i="69"/>
  <c r="D37" i="69"/>
  <c r="C37" i="69"/>
  <c r="C21" i="12"/>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c r="AF11" i="43"/>
  <c r="AF13" i="43"/>
  <c r="AB11" i="43"/>
  <c r="AB13" i="43"/>
  <c r="Z7" i="43"/>
  <c r="AG11" i="43"/>
  <c r="AG13" i="43"/>
  <c r="AC11" i="43"/>
  <c r="AC13" i="43"/>
  <c r="Y11" i="43"/>
  <c r="Y13" i="43"/>
  <c r="S3" i="43"/>
  <c r="T3" i="43"/>
  <c r="V3" i="43"/>
  <c r="J101" i="43"/>
  <c r="G22" i="43"/>
  <c r="S6" i="43"/>
  <c r="T6" i="43"/>
  <c r="V6" i="43"/>
  <c r="S7" i="43"/>
  <c r="T7" i="43"/>
  <c r="V7" i="43"/>
  <c r="S2" i="43"/>
  <c r="T2" i="43"/>
  <c r="V2" i="43"/>
  <c r="AH11" i="43"/>
  <c r="AH13" i="43"/>
  <c r="AD11" i="43"/>
  <c r="AD13" i="43"/>
  <c r="Z11" i="43"/>
  <c r="Z13" i="43"/>
  <c r="AI11" i="43"/>
  <c r="AI13" i="43"/>
  <c r="AE11" i="43"/>
  <c r="AE13" i="43"/>
  <c r="AA11" i="43"/>
  <c r="AA13" i="43"/>
  <c r="C23" i="43"/>
  <c r="G101" i="43"/>
  <c r="H101" i="43"/>
  <c r="S5" i="43"/>
  <c r="T5" i="43"/>
  <c r="V5" i="43"/>
  <c r="S4" i="43"/>
  <c r="T4" i="43"/>
  <c r="V4" i="43"/>
  <c r="J22" i="43"/>
  <c r="F22" i="43"/>
  <c r="F101" i="43"/>
  <c r="E22" i="43"/>
  <c r="D101" i="43"/>
  <c r="I101" i="43"/>
  <c r="B113" i="43"/>
  <c r="N104" i="46"/>
  <c r="L18" i="83"/>
  <c r="S20" i="6"/>
  <c r="C49" i="81"/>
  <c r="C48" i="81"/>
  <c r="C35" i="69"/>
  <c r="C38" i="69"/>
  <c r="K27" i="6"/>
  <c r="AC6" i="3"/>
  <c r="H6" i="3"/>
  <c r="AQ7" i="1"/>
  <c r="AR7" i="1"/>
  <c r="E7" i="70"/>
  <c r="C17" i="67"/>
  <c r="C14" i="67"/>
  <c r="C15" i="67"/>
  <c r="C18" i="67"/>
  <c r="E9" i="70"/>
  <c r="AR9" i="1"/>
  <c r="T9" i="1"/>
  <c r="AQ9" i="1"/>
  <c r="C10" i="68"/>
  <c r="C10" i="80"/>
  <c r="I104" i="43"/>
  <c r="I105" i="43"/>
  <c r="I106" i="43"/>
  <c r="I109" i="43"/>
  <c r="I107" i="43"/>
  <c r="I102" i="43"/>
  <c r="I103" i="43"/>
  <c r="D22" i="43"/>
  <c r="C21" i="43"/>
  <c r="H107" i="43"/>
  <c r="H105" i="43"/>
  <c r="H109" i="43"/>
  <c r="H104" i="43"/>
  <c r="H106" i="43"/>
  <c r="H103" i="43"/>
  <c r="H102" i="43"/>
  <c r="E6" i="3"/>
  <c r="AQ6" i="1"/>
  <c r="S16" i="1"/>
  <c r="E6" i="70"/>
  <c r="AR6" i="1"/>
  <c r="L16" i="1"/>
  <c r="C34" i="11"/>
  <c r="C33" i="69"/>
  <c r="C66" i="81"/>
  <c r="C60" i="81"/>
  <c r="B115" i="43"/>
  <c r="G118" i="43"/>
  <c r="H118" i="43"/>
  <c r="B118" i="43"/>
  <c r="C118" i="43"/>
  <c r="D117" i="43"/>
  <c r="E117" i="43"/>
  <c r="F117" i="43"/>
  <c r="G117" i="43"/>
  <c r="H117" i="43"/>
  <c r="I118" i="43"/>
  <c r="J118" i="43"/>
  <c r="K118" i="43"/>
  <c r="L118" i="43"/>
  <c r="M118" i="43"/>
  <c r="D118" i="43"/>
  <c r="E118" i="43"/>
  <c r="F118" i="43"/>
  <c r="I116" i="43"/>
  <c r="J116" i="43"/>
  <c r="K116" i="43"/>
  <c r="L116" i="43"/>
  <c r="M116" i="43"/>
  <c r="D116" i="43"/>
  <c r="E116" i="43"/>
  <c r="F116" i="43"/>
  <c r="G116" i="43"/>
  <c r="H116" i="43"/>
  <c r="B116" i="43"/>
  <c r="C116" i="43"/>
  <c r="I117" i="43"/>
  <c r="J117" i="43"/>
  <c r="K117" i="43"/>
  <c r="L117" i="43"/>
  <c r="M117" i="43"/>
  <c r="I115" i="43"/>
  <c r="J115" i="43"/>
  <c r="K115" i="43"/>
  <c r="L115" i="43"/>
  <c r="M115" i="43"/>
  <c r="D115" i="43"/>
  <c r="E115" i="43"/>
  <c r="F115" i="43"/>
  <c r="G115" i="43"/>
  <c r="H115" i="43"/>
  <c r="B117" i="43"/>
  <c r="C117" i="43"/>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C22" i="12"/>
  <c r="C30" i="12"/>
  <c r="C28" i="12"/>
  <c r="C47" i="69"/>
  <c r="D45" i="69"/>
  <c r="C29" i="69"/>
  <c r="D27" i="69"/>
  <c r="M27" i="6"/>
  <c r="L106" i="43"/>
  <c r="L103" i="43"/>
  <c r="L105" i="43"/>
  <c r="L109" i="43"/>
  <c r="L107" i="43"/>
  <c r="L102" i="43"/>
  <c r="L104" i="43"/>
  <c r="E107" i="43"/>
  <c r="E106" i="43"/>
  <c r="E103" i="43"/>
  <c r="E104" i="43"/>
  <c r="E105" i="43"/>
  <c r="E102" i="43"/>
  <c r="E109" i="43"/>
  <c r="K102" i="43"/>
  <c r="K107" i="43"/>
  <c r="K106" i="43"/>
  <c r="K104" i="43"/>
  <c r="K103" i="43"/>
  <c r="K105" i="43"/>
  <c r="K109" i="43"/>
  <c r="D25" i="6"/>
  <c r="D6" i="6"/>
  <c r="D29" i="6"/>
  <c r="D22" i="6"/>
  <c r="D24" i="6"/>
  <c r="D9" i="6"/>
  <c r="E61" i="40"/>
  <c r="F61" i="40"/>
  <c r="B2" i="40"/>
  <c r="B3" i="40"/>
  <c r="D13" i="6"/>
  <c r="D12" i="6"/>
  <c r="D14" i="6"/>
  <c r="D8" i="6"/>
  <c r="D26" i="6"/>
  <c r="D28" i="6"/>
  <c r="D30" i="6"/>
  <c r="D11" i="6"/>
  <c r="D5" i="6"/>
  <c r="D23" i="6"/>
  <c r="C18" i="4"/>
  <c r="D10" i="6"/>
  <c r="D15" i="6"/>
  <c r="H23" i="6"/>
  <c r="R23" i="6"/>
  <c r="H22" i="6"/>
  <c r="H24" i="6"/>
  <c r="H26" i="6"/>
  <c r="H25" i="6"/>
  <c r="S21" i="6"/>
  <c r="L18" i="84"/>
  <c r="C29" i="11"/>
  <c r="D27" i="11"/>
  <c r="C47" i="11"/>
  <c r="D45" i="11"/>
  <c r="C28" i="11"/>
  <c r="C27" i="11"/>
  <c r="C31" i="11"/>
  <c r="C19" i="67"/>
  <c r="C20" i="67"/>
  <c r="R25" i="6"/>
  <c r="R26" i="6"/>
  <c r="R22" i="6"/>
  <c r="R9" i="1"/>
  <c r="C27" i="12"/>
  <c r="C25" i="12"/>
  <c r="C32" i="12"/>
  <c r="B2" i="12"/>
  <c r="B3" i="12"/>
  <c r="M19" i="83"/>
  <c r="C118" i="83"/>
  <c r="C15" i="74"/>
  <c r="L19" i="83"/>
  <c r="R24" i="6"/>
  <c r="D16" i="6"/>
  <c r="D27" i="6"/>
  <c r="D31" i="6"/>
  <c r="M19" i="9"/>
  <c r="C118" i="9"/>
  <c r="C14" i="74"/>
  <c r="S19" i="6"/>
  <c r="S27" i="6"/>
  <c r="L18" i="9"/>
  <c r="I27" i="6"/>
  <c r="C39" i="69"/>
  <c r="C46" i="69"/>
  <c r="C45" i="69"/>
  <c r="C42" i="69"/>
  <c r="E2" i="70"/>
  <c r="J18" i="81"/>
  <c r="J24" i="81"/>
  <c r="C29" i="43"/>
  <c r="C4" i="52"/>
  <c r="B45" i="72"/>
  <c r="A7" i="51"/>
  <c r="B7" i="72"/>
  <c r="A10" i="51"/>
  <c r="B9" i="72"/>
  <c r="C16" i="74"/>
  <c r="M19" i="84"/>
  <c r="C118" i="84"/>
  <c r="L19" i="84"/>
  <c r="J38" i="39"/>
  <c r="F38" i="39"/>
  <c r="H38" i="39"/>
  <c r="C115" i="43"/>
  <c r="D113" i="43"/>
  <c r="C35" i="11"/>
  <c r="C38" i="11"/>
  <c r="F50" i="11"/>
  <c r="F50" i="69"/>
  <c r="T16" i="1"/>
  <c r="F35" i="67"/>
  <c r="M21" i="81"/>
  <c r="M21" i="67"/>
  <c r="M21" i="82"/>
  <c r="C26" i="67"/>
  <c r="C23" i="67"/>
  <c r="F63" i="67"/>
  <c r="C62" i="67"/>
  <c r="C34" i="67"/>
  <c r="J20" i="67"/>
  <c r="C33" i="11"/>
  <c r="C39" i="11"/>
  <c r="F63" i="82"/>
  <c r="C62" i="82"/>
  <c r="J20" i="82"/>
  <c r="F63" i="81"/>
  <c r="C62" i="81"/>
  <c r="J20" i="81"/>
  <c r="S38" i="39"/>
  <c r="AA38" i="39"/>
  <c r="C43" i="69"/>
  <c r="C41" i="69"/>
  <c r="C49" i="69"/>
  <c r="C51" i="69"/>
  <c r="I6" i="6"/>
  <c r="I5" i="6"/>
  <c r="U38" i="39"/>
  <c r="AB38" i="39"/>
  <c r="AC38" i="39"/>
  <c r="W38" i="39"/>
  <c r="C30" i="43"/>
  <c r="E30" i="43"/>
  <c r="C27" i="43"/>
  <c r="E29" i="43"/>
  <c r="C26" i="43"/>
  <c r="H27" i="6"/>
  <c r="L19" i="9"/>
  <c r="B2" i="74"/>
  <c r="E6" i="76"/>
  <c r="C29" i="67"/>
  <c r="J59" i="67"/>
  <c r="J60" i="67"/>
  <c r="Q48" i="67"/>
  <c r="C42" i="11"/>
  <c r="E2" i="76"/>
  <c r="D8" i="74"/>
  <c r="D6" i="74"/>
  <c r="C43" i="11"/>
  <c r="C46" i="11"/>
  <c r="C45" i="11"/>
  <c r="R27" i="6"/>
  <c r="B2" i="43"/>
  <c r="Q49" i="81"/>
  <c r="J14" i="81"/>
  <c r="C57" i="81"/>
  <c r="J19" i="81"/>
  <c r="J17" i="81"/>
  <c r="B6" i="76"/>
  <c r="M21" i="15"/>
  <c r="C41" i="11"/>
  <c r="C49" i="11"/>
  <c r="C51" i="11"/>
  <c r="C52" i="11"/>
  <c r="B2" i="11"/>
  <c r="B3" i="11"/>
  <c r="C33" i="67"/>
  <c r="C31" i="67"/>
  <c r="C57" i="67"/>
  <c r="Q49" i="67"/>
  <c r="C13" i="67"/>
  <c r="J19" i="67"/>
  <c r="J17" i="67"/>
  <c r="J14" i="67"/>
  <c r="C36" i="67"/>
  <c r="C57" i="82"/>
  <c r="J14" i="82"/>
  <c r="Q49" i="82"/>
  <c r="J19" i="82"/>
  <c r="J17" i="82"/>
  <c r="J20" i="15"/>
  <c r="F63" i="15"/>
  <c r="C62" i="15"/>
  <c r="B2" i="76"/>
  <c r="B3" i="76"/>
  <c r="Q48" i="81"/>
  <c r="J22" i="81"/>
  <c r="J13" i="81"/>
  <c r="J23" i="81"/>
  <c r="R16" i="1"/>
  <c r="C64" i="81"/>
  <c r="C61" i="81"/>
  <c r="C59" i="81"/>
  <c r="Q70" i="81"/>
  <c r="C56" i="81"/>
  <c r="C65" i="81"/>
  <c r="C75" i="81"/>
  <c r="C6" i="69"/>
  <c r="C7" i="69"/>
  <c r="C5" i="69"/>
  <c r="B3" i="43"/>
  <c r="C57" i="15"/>
  <c r="J14" i="15"/>
  <c r="J19" i="15"/>
  <c r="J17" i="15"/>
  <c r="Q49" i="15"/>
  <c r="L51" i="81"/>
  <c r="J22" i="67"/>
  <c r="J13" i="67"/>
  <c r="J23" i="67"/>
  <c r="Q70" i="67"/>
  <c r="C75" i="67"/>
  <c r="C56" i="67"/>
  <c r="C65" i="67"/>
  <c r="C37" i="67"/>
  <c r="C30" i="67"/>
  <c r="C39" i="67"/>
  <c r="C64" i="67"/>
  <c r="C61" i="67"/>
  <c r="C59" i="67"/>
  <c r="Q48" i="82"/>
  <c r="J13" i="82"/>
  <c r="J23" i="82"/>
  <c r="J22" i="82"/>
  <c r="C64" i="82"/>
  <c r="C61" i="82"/>
  <c r="C59" i="82"/>
  <c r="C75" i="82"/>
  <c r="Q70" i="82"/>
  <c r="C56" i="82"/>
  <c r="C65" i="82"/>
  <c r="C80" i="81"/>
  <c r="C79" i="81"/>
  <c r="J16" i="81"/>
  <c r="J25" i="81"/>
  <c r="C56" i="11"/>
  <c r="C57" i="11"/>
  <c r="C58" i="81"/>
  <c r="C67" i="81"/>
  <c r="C68" i="81"/>
  <c r="C71" i="81"/>
  <c r="Q67" i="81"/>
  <c r="J22" i="15"/>
  <c r="J13" i="15"/>
  <c r="J23" i="15"/>
  <c r="C64" i="15"/>
  <c r="C61" i="15"/>
  <c r="C59" i="15"/>
  <c r="Q70" i="15"/>
  <c r="C75" i="15"/>
  <c r="C56" i="15"/>
  <c r="C65" i="15"/>
  <c r="Q48" i="15"/>
  <c r="C20" i="69"/>
  <c r="C28" i="69"/>
  <c r="C27" i="69"/>
  <c r="C23" i="69"/>
  <c r="Q69" i="81"/>
  <c r="Q68" i="81"/>
  <c r="L51" i="67"/>
  <c r="L51" i="82"/>
  <c r="J16" i="67"/>
  <c r="J25" i="67"/>
  <c r="C58" i="67"/>
  <c r="C67" i="67"/>
  <c r="C68" i="67"/>
  <c r="C71" i="67"/>
  <c r="L57" i="67"/>
  <c r="L60" i="67"/>
  <c r="Q67" i="67"/>
  <c r="C40" i="67"/>
  <c r="Q69" i="67"/>
  <c r="Q68" i="67"/>
  <c r="C80" i="67"/>
  <c r="C79" i="67"/>
  <c r="C80" i="15"/>
  <c r="C79" i="15"/>
  <c r="Q67" i="82"/>
  <c r="C58" i="82"/>
  <c r="C67" i="82"/>
  <c r="C68" i="82"/>
  <c r="J16" i="82"/>
  <c r="J25" i="82"/>
  <c r="Q69" i="82"/>
  <c r="Q68" i="82"/>
  <c r="C80" i="82"/>
  <c r="C79" i="82"/>
  <c r="C25" i="69"/>
  <c r="C22" i="69"/>
  <c r="C31" i="69"/>
  <c r="C52" i="69"/>
  <c r="J16" i="15"/>
  <c r="J25" i="15"/>
  <c r="C43" i="81"/>
  <c r="C83" i="81"/>
  <c r="C82" i="81"/>
  <c r="Q47" i="81"/>
  <c r="Q53" i="81"/>
  <c r="C46" i="81"/>
  <c r="Q56" i="81"/>
  <c r="Q62" i="81"/>
  <c r="Q65" i="81"/>
  <c r="Q75" i="81"/>
  <c r="C58" i="15"/>
  <c r="C67" i="15"/>
  <c r="C68" i="15"/>
  <c r="L51" i="15"/>
  <c r="AO7" i="1"/>
  <c r="C45" i="67"/>
  <c r="C46" i="67"/>
  <c r="C43" i="15"/>
  <c r="Q47" i="67"/>
  <c r="Q53" i="67"/>
  <c r="Q56" i="67"/>
  <c r="Q65" i="67"/>
  <c r="C43" i="67"/>
  <c r="C83" i="67"/>
  <c r="C82" i="67"/>
  <c r="L46" i="67"/>
  <c r="D2" i="67"/>
  <c r="Q57" i="67"/>
  <c r="Q66" i="67"/>
  <c r="Q69" i="15"/>
  <c r="Q68" i="15"/>
  <c r="Q67" i="15"/>
  <c r="Q65" i="82"/>
  <c r="Q75" i="82"/>
  <c r="C43" i="82"/>
  <c r="Q56" i="82"/>
  <c r="Q62" i="82"/>
  <c r="Q47" i="82"/>
  <c r="Q53" i="82"/>
  <c r="C83" i="82"/>
  <c r="C82" i="82"/>
  <c r="C71" i="82"/>
  <c r="C46" i="82"/>
  <c r="D102" i="83"/>
  <c r="D21" i="83"/>
  <c r="B7" i="70"/>
  <c r="C57" i="69"/>
  <c r="C56" i="69"/>
  <c r="B2" i="69"/>
  <c r="B3" i="69"/>
  <c r="B3" i="81"/>
  <c r="C83" i="15"/>
  <c r="C82" i="15"/>
  <c r="C71" i="15"/>
  <c r="AO9" i="1"/>
  <c r="D20" i="83"/>
  <c r="AO8" i="1"/>
  <c r="Q47" i="15"/>
  <c r="Q53" i="15"/>
  <c r="C46" i="15"/>
  <c r="Q65" i="15"/>
  <c r="Q75" i="15"/>
  <c r="Q56" i="15"/>
  <c r="Q62" i="15"/>
  <c r="Q62" i="67"/>
  <c r="B3" i="67"/>
  <c r="B2" i="67"/>
  <c r="Q75" i="67"/>
  <c r="B9" i="70"/>
  <c r="B8" i="70"/>
  <c r="B3" i="82"/>
  <c r="B6" i="70"/>
  <c r="D103" i="83"/>
  <c r="AO6" i="1"/>
  <c r="D21" i="9"/>
  <c r="D102" i="9"/>
  <c r="B2" i="70"/>
  <c r="B3" i="70"/>
  <c r="D102" i="84"/>
  <c r="D21" i="84"/>
  <c r="D20" i="84"/>
  <c r="D103" i="9"/>
  <c r="D103" i="84"/>
  <c r="G16" i="1"/>
  <c r="F10" i="39"/>
  <c r="AA10" i="39"/>
  <c r="R47" i="39"/>
  <c r="H10" i="39"/>
  <c r="AB10" i="39"/>
  <c r="T47" i="39"/>
  <c r="J10" i="39"/>
  <c r="AC10" i="39"/>
  <c r="V47" i="39"/>
  <c r="R48" i="39"/>
  <c r="C48" i="39"/>
  <c r="B56" i="39"/>
  <c r="F56" i="39"/>
  <c r="B57" i="39"/>
  <c r="B65" i="39"/>
  <c r="F65" i="39"/>
  <c r="C6" i="80"/>
  <c r="C7" i="80"/>
  <c r="C5" i="80"/>
  <c r="C20" i="80"/>
  <c r="E888" i="77"/>
  <c r="E825" i="77"/>
  <c r="E578" i="77"/>
  <c r="F890" i="77"/>
  <c r="F299" i="77"/>
  <c r="F666" i="77"/>
  <c r="F765" i="77"/>
  <c r="F823" i="77"/>
  <c r="W10" i="39"/>
  <c r="H10" i="40"/>
  <c r="AB10" i="40"/>
  <c r="U10" i="40"/>
  <c r="S10" i="39"/>
  <c r="U10" i="39"/>
  <c r="J10" i="40"/>
  <c r="W10" i="40"/>
  <c r="AC10" i="40"/>
  <c r="F10" i="40"/>
  <c r="AA10" i="40"/>
  <c r="S10" i="40"/>
  <c r="I47" i="39"/>
  <c r="I51" i="39"/>
  <c r="J51" i="39"/>
  <c r="G47" i="39"/>
  <c r="G52" i="39"/>
  <c r="H52" i="39"/>
  <c r="G51" i="39"/>
  <c r="H51" i="39"/>
  <c r="C47" i="39"/>
  <c r="E47" i="39"/>
  <c r="E52" i="39"/>
  <c r="F52" i="39"/>
  <c r="E51" i="39"/>
  <c r="F51" i="39"/>
  <c r="I52" i="39"/>
  <c r="J52" i="39"/>
  <c r="B58" i="39"/>
  <c r="F58" i="39"/>
  <c r="B59" i="39"/>
  <c r="F59" i="39"/>
  <c r="B60" i="39"/>
  <c r="F60" i="39"/>
  <c r="B61" i="39"/>
  <c r="F61" i="39"/>
  <c r="B62" i="39"/>
  <c r="F62" i="39"/>
  <c r="B63" i="39"/>
  <c r="F63" i="39"/>
  <c r="B64" i="39"/>
  <c r="F64" i="39"/>
  <c r="F66" i="39"/>
  <c r="B2" i="39"/>
  <c r="B3" i="39"/>
  <c r="B3" i="80"/>
  <c r="C57" i="80"/>
  <c r="C56" i="80"/>
  <c r="D34" i="84"/>
  <c r="C20" i="84"/>
  <c r="C103" i="84"/>
  <c r="C21" i="84"/>
  <c r="D22" i="84"/>
  <c r="C102" i="84"/>
  <c r="B3" i="79"/>
  <c r="C57" i="79"/>
  <c r="C56" i="79"/>
  <c r="D34" i="83"/>
  <c r="G20" i="84"/>
  <c r="C20" i="83"/>
  <c r="G20" i="83"/>
  <c r="C103" i="83"/>
  <c r="C103" i="9"/>
  <c r="C21" i="83"/>
  <c r="D22" i="83"/>
  <c r="C102" i="83"/>
  <c r="C102" i="9"/>
  <c r="C21" i="9"/>
  <c r="D22" i="9"/>
  <c r="G21" i="84"/>
  <c r="C57" i="68"/>
  <c r="C56" i="68"/>
  <c r="D34" i="9"/>
  <c r="G21" i="9"/>
  <c r="G21" i="83"/>
  <c r="D16" i="74"/>
  <c r="E16" i="74"/>
  <c r="F16" i="74"/>
  <c r="D35" i="84"/>
  <c r="C35" i="84"/>
  <c r="C34" i="84"/>
  <c r="D118" i="84"/>
  <c r="D119" i="84"/>
  <c r="D15" i="74"/>
  <c r="E15" i="74"/>
  <c r="F15" i="74"/>
  <c r="C104" i="84"/>
  <c r="H119" i="84"/>
  <c r="F118" i="84"/>
  <c r="F119" i="84"/>
  <c r="D35" i="83"/>
  <c r="C35" i="83"/>
  <c r="C34" i="83"/>
  <c r="D118" i="83"/>
  <c r="D119" i="83"/>
  <c r="C32" i="9"/>
  <c r="D35" i="9"/>
  <c r="C35" i="9"/>
  <c r="C34" i="9"/>
  <c r="D118" i="9"/>
  <c r="D119" i="9"/>
  <c r="D5" i="52"/>
  <c r="B49" i="72"/>
  <c r="G118" i="84"/>
  <c r="E118" i="84"/>
  <c r="C105" i="84"/>
  <c r="H102" i="84"/>
  <c r="H101" i="84"/>
  <c r="M48" i="84"/>
  <c r="F118" i="9"/>
  <c r="G118" i="9"/>
  <c r="G4" i="52"/>
  <c r="B52" i="72"/>
  <c r="F4" i="52"/>
  <c r="B51" i="72"/>
  <c r="F119" i="9"/>
  <c r="F5" i="52"/>
  <c r="B53" i="72"/>
  <c r="C104" i="83"/>
  <c r="H119" i="83"/>
  <c r="D4" i="52"/>
  <c r="B47" i="72"/>
  <c r="H118" i="9"/>
  <c r="H119" i="9"/>
  <c r="H5" i="52"/>
  <c r="H4" i="52"/>
  <c r="C104" i="9"/>
  <c r="F118" i="83"/>
  <c r="F119" i="83"/>
  <c r="H102" i="83"/>
  <c r="G118" i="83"/>
  <c r="E118" i="83"/>
  <c r="C105" i="83"/>
  <c r="I118" i="9"/>
  <c r="I4" i="52"/>
  <c r="E118" i="9"/>
  <c r="E4" i="52"/>
  <c r="B48" i="72"/>
  <c r="C105" i="9"/>
  <c r="H102" i="9"/>
  <c r="D7" i="53"/>
  <c r="B21" i="72"/>
  <c r="H101" i="83"/>
  <c r="M48" i="83"/>
  <c r="D45" i="84"/>
  <c r="D53" i="84"/>
  <c r="C64" i="84"/>
  <c r="C63" i="84"/>
  <c r="C67" i="84"/>
  <c r="C68" i="84"/>
  <c r="D54" i="84"/>
  <c r="D52" i="84"/>
  <c r="H101" i="9"/>
  <c r="M48" i="9"/>
  <c r="D14" i="74"/>
  <c r="E14" i="74"/>
  <c r="F14" i="74"/>
  <c r="H109" i="84"/>
  <c r="D124" i="84"/>
  <c r="D125" i="84"/>
  <c r="H110" i="84"/>
  <c r="B5" i="74"/>
  <c r="C5" i="74"/>
  <c r="D5" i="74"/>
  <c r="D45" i="9"/>
  <c r="D53" i="9"/>
  <c r="C64" i="9"/>
  <c r="C63" i="9"/>
  <c r="C67" i="9"/>
  <c r="C68" i="9"/>
  <c r="D54" i="9"/>
  <c r="D52" i="9"/>
  <c r="C85" i="84"/>
  <c r="C93" i="84"/>
  <c r="C86" i="84"/>
  <c r="C95" i="84"/>
  <c r="C96" i="84"/>
  <c r="E96" i="84"/>
  <c r="E97" i="84"/>
  <c r="H109" i="9"/>
  <c r="H110" i="9"/>
  <c r="D18" i="53"/>
  <c r="B35" i="72"/>
  <c r="D5" i="53"/>
  <c r="B20" i="72"/>
  <c r="D6" i="53"/>
  <c r="B22" i="72"/>
  <c r="H109" i="83"/>
  <c r="D124" i="83"/>
  <c r="D125" i="83"/>
  <c r="H110" i="83"/>
  <c r="D45" i="83"/>
  <c r="D52" i="83"/>
  <c r="D53" i="83"/>
  <c r="C64" i="83"/>
  <c r="C63" i="83"/>
  <c r="C67" i="83"/>
  <c r="C68" i="83"/>
  <c r="D54" i="83"/>
  <c r="C72" i="84"/>
  <c r="C78" i="84"/>
  <c r="C73" i="84"/>
  <c r="C79" i="84"/>
  <c r="C80" i="84"/>
  <c r="E80" i="84"/>
  <c r="E81" i="84"/>
  <c r="C85" i="83"/>
  <c r="C93" i="83"/>
  <c r="C86" i="83"/>
  <c r="C95" i="83"/>
  <c r="C96" i="83"/>
  <c r="E96" i="83"/>
  <c r="E97" i="83"/>
  <c r="D16" i="53"/>
  <c r="B34" i="72"/>
  <c r="D17" i="53"/>
  <c r="B36" i="72"/>
  <c r="D124" i="9"/>
  <c r="D125" i="9"/>
  <c r="D11" i="52"/>
  <c r="D10" i="52"/>
  <c r="M49" i="84"/>
  <c r="L63" i="84"/>
  <c r="M63" i="84"/>
  <c r="L64" i="84"/>
  <c r="M64" i="84"/>
  <c r="L65" i="84"/>
  <c r="M65" i="84"/>
  <c r="L66" i="84"/>
  <c r="M66" i="84"/>
  <c r="L67" i="84"/>
  <c r="M67" i="84"/>
  <c r="L68" i="84"/>
  <c r="M68" i="84"/>
  <c r="M69" i="84"/>
  <c r="N69" i="84"/>
  <c r="C81" i="84"/>
  <c r="M49" i="83"/>
  <c r="D55" i="83"/>
  <c r="M53" i="83"/>
  <c r="C97" i="83"/>
  <c r="D58" i="83"/>
  <c r="D56" i="83"/>
  <c r="M54" i="83"/>
  <c r="N57" i="83"/>
  <c r="N59" i="83"/>
  <c r="N60" i="83"/>
  <c r="D55" i="84"/>
  <c r="M53" i="84"/>
  <c r="C97" i="84"/>
  <c r="D58" i="84"/>
  <c r="D56" i="84"/>
  <c r="M54" i="84"/>
  <c r="N57" i="84"/>
  <c r="N58" i="84"/>
  <c r="P57" i="84"/>
  <c r="L63" i="83"/>
  <c r="M63" i="83"/>
  <c r="L64" i="83"/>
  <c r="M64" i="83"/>
  <c r="L65" i="83"/>
  <c r="M65" i="83"/>
  <c r="L66" i="83"/>
  <c r="M66" i="83"/>
  <c r="L67" i="83"/>
  <c r="M67" i="83"/>
  <c r="L68" i="83"/>
  <c r="M68" i="83"/>
  <c r="M69" i="83"/>
  <c r="N69" i="83"/>
  <c r="C85" i="9"/>
  <c r="C93" i="9"/>
  <c r="C86" i="9"/>
  <c r="C95" i="9"/>
  <c r="C96" i="9"/>
  <c r="E96" i="9"/>
  <c r="E97" i="9"/>
  <c r="C72" i="9"/>
  <c r="C78" i="9"/>
  <c r="C73" i="9"/>
  <c r="C79" i="9"/>
  <c r="C80" i="9"/>
  <c r="E80" i="9"/>
  <c r="E81" i="9"/>
  <c r="H14" i="74"/>
  <c r="B7" i="74"/>
  <c r="C7" i="74"/>
  <c r="D7" i="74"/>
  <c r="M49" i="9"/>
  <c r="L63" i="9"/>
  <c r="M63" i="9"/>
  <c r="L64" i="9"/>
  <c r="M64" i="9"/>
  <c r="L65" i="9"/>
  <c r="M65" i="9"/>
  <c r="L66" i="9"/>
  <c r="M66" i="9"/>
  <c r="L67" i="9"/>
  <c r="M67" i="9"/>
  <c r="L68" i="9"/>
  <c r="M68" i="9"/>
  <c r="M69" i="9"/>
  <c r="N69" i="9"/>
  <c r="C72" i="83"/>
  <c r="C78" i="83"/>
  <c r="C73" i="83"/>
  <c r="C79" i="83"/>
  <c r="C80" i="83"/>
  <c r="E80" i="83"/>
  <c r="E81" i="83"/>
  <c r="P57" i="83"/>
  <c r="N58" i="83"/>
  <c r="N61" i="83"/>
  <c r="C81" i="83"/>
  <c r="N59" i="84"/>
  <c r="N61" i="84"/>
  <c r="N60" i="84"/>
  <c r="C81" i="9"/>
  <c r="D55" i="9"/>
  <c r="M53" i="9"/>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<sst xmlns="http://schemas.openxmlformats.org/spreadsheetml/2006/main" count="10711" uniqueCount="3461">
  <si>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</si>
  <si>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</si>
  <si>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</si>
  <si>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</si>
  <si>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</si>
  <si>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</si>
  <si>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</si>
  <si>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</si>
  <si>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</si>
  <si>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</si>
  <si>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</si>
  <si>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</si>
  <si>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</si>
  <si>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</si>
  <si>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</si>
  <si>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</si>
  <si>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</si>
  <si>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</si>
  <si>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</si>
  <si>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</si>
  <si>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</si>
  <si>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</si>
  <si>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</si>
  <si>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</si>
  <si>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</si>
  <si>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</si>
  <si>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</si>
  <si>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</si>
  <si>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</si>
  <si>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</si>
  <si>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</si>
  <si>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</si>
  <si>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</si>
  <si>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</si>
  <si>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</si>
  <si>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</si>
  <si>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</si>
  <si>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</si>
  <si>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</si>
  <si>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</si>
  <si>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</si>
  <si>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</si>
  <si>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</si>
  <si>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</si>
  <si>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</si>
  <si>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</si>
  <si>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</si>
  <si>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</si>
  <si>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</si>
  <si>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</si>
  <si>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</si>
  <si>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</si>
  <si>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</si>
  <si>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</si>
  <si>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</si>
  <si>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</si>
  <si>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</si>
  <si>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</si>
  <si>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</si>
  <si>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</si>
  <si>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</si>
  <si>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</si>
  <si>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</si>
  <si>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</si>
  <si>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</si>
  <si>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</si>
  <si>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</si>
  <si>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</si>
  <si>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</si>
  <si>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</si>
  <si>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</si>
  <si>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</si>
  <si>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</si>
  <si>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</si>
  <si>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</si>
  <si>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</si>
  <si>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</si>
  <si>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</si>
  <si>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</si>
  <si>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</si>
  <si>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</si>
  <si>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</si>
  <si>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</si>
  <si>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</si>
  <si>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</si>
  <si>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</si>
  <si>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</si>
  <si>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</si>
  <si>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</si>
  <si>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</si>
  <si>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</si>
  <si>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</si>
  <si>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</si>
  <si>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</si>
  <si>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</si>
  <si>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</si>
  <si>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</si>
  <si>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</si>
  <si>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</si>
  <si>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</si>
  <si>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</si>
  <si>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</si>
  <si>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</si>
  <si>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</si>
  <si>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</si>
  <si>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</si>
  <si>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</si>
  <si>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</si>
  <si>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</si>
  <si>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</si>
  <si>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</si>
  <si>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</si>
  <si>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</si>
  <si>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</si>
  <si>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</si>
  <si>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</si>
  <si>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</si>
  <si>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</si>
  <si>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</si>
  <si>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</si>
  <si>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</si>
  <si>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</si>
  <si>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</si>
  <si>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</si>
  <si>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</si>
  <si>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</si>
  <si>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</si>
  <si>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</si>
  <si>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</si>
  <si>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</si>
  <si>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</si>
  <si>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</si>
  <si>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</si>
  <si>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</si>
  <si>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</si>
  <si>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</si>
  <si>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</si>
  <si>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</si>
  <si>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</si>
  <si>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</si>
  <si>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</si>
  <si>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</si>
  <si>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</si>
  <si>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</si>
  <si>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</si>
  <si>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</si>
  <si>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</si>
  <si>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</si>
  <si>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</si>
  <si>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</si>
  <si>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</si>
  <si>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</si>
  <si>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</si>
  <si>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</si>
  <si>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</si>
  <si>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</si>
  <si>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</si>
  <si>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</si>
  <si>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</si>
  <si>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</si>
  <si>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</si>
  <si>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</si>
  <si>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</si>
  <si>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</si>
  <si>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</si>
  <si>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</si>
  <si>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</si>
  <si>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</si>
  <si>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</si>
  <si>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</si>
  <si>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</si>
  <si>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</si>
  <si>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</si>
  <si>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</si>
  <si>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</si>
  <si>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</si>
  <si>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</si>
  <si>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</si>
  <si>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</si>
  <si>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</si>
  <si>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</si>
  <si>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</si>
  <si>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</si>
  <si>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</si>
  <si>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</si>
  <si>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</si>
  <si>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</si>
  <si>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</si>
  <si>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</si>
  <si>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</si>
  <si>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</si>
  <si>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</si>
  <si>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</si>
  <si>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</si>
  <si>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</si>
  <si>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</si>
  <si>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</si>
  <si>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</si>
  <si>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</si>
  <si>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</si>
  <si>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</si>
  <si>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</si>
  <si>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</si>
  <si>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</si>
  <si>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</si>
  <si>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</si>
  <si>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</si>
  <si>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</si>
  <si>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</si>
  <si>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</si>
  <si>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</si>
  <si>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</si>
  <si>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</si>
  <si>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</si>
  <si>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</si>
  <si>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</si>
  <si>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</si>
  <si>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</si>
  <si>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</si>
  <si>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</si>
  <si>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</si>
  <si>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</si>
  <si>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</si>
  <si>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</si>
  <si>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</si>
  <si>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</si>
  <si>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</si>
  <si>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</si>
  <si>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</si>
  <si>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</si>
  <si>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</si>
  <si>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</si>
  <si>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</si>
  <si>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</si>
  <si>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</si>
  <si>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</si>
  <si>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</si>
  <si>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</si>
  <si>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</si>
  <si>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</si>
  <si>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</si>
  <si>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</si>
  <si>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</si>
  <si>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</si>
  <si>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</si>
  <si>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</si>
  <si>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</si>
  <si>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</si>
  <si>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</si>
  <si>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</si>
  <si>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</si>
  <si>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</si>
  <si>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</si>
  <si>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</si>
  <si>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</si>
  <si>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</si>
  <si>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</si>
  <si>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</si>
  <si>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</si>
  <si>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</si>
  <si>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</si>
  <si>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</si>
  <si>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</si>
  <si>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</si>
  <si>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</si>
  <si>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</si>
  <si>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</si>
  <si>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</si>
  <si>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</si>
  <si>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</si>
  <si>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</si>
  <si>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</si>
  <si>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</si>
  <si>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</si>
  <si>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</si>
  <si>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</si>
  <si>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</si>
  <si>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</si>
  <si>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</si>
  <si>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</si>
  <si>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</si>
  <si>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</si>
  <si>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</si>
  <si>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</si>
  <si>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</si>
  <si>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</si>
  <si>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</si>
  <si>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</si>
  <si>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</si>
  <si>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</si>
  <si>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</si>
  <si>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</si>
  <si>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</si>
  <si>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</si>
  <si>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</si>
  <si>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</si>
  <si>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</si>
  <si>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</si>
  <si>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</si>
  <si>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</si>
  <si>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</si>
  <si>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</si>
  <si>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</si>
  <si>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</si>
  <si>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</si>
  <si>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</si>
  <si>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</si>
  <si>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</si>
  <si>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</si>
  <si>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</si>
  <si>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</si>
  <si>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</si>
  <si>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</si>
  <si>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</si>
  <si>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</si>
  <si>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</si>
  <si>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</si>
  <si>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</si>
  <si>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</si>
  <si>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</si>
  <si>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</si>
  <si>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</si>
  <si>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</si>
  <si>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</si>
  <si>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</si>
  <si>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</si>
  <si>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</si>
  <si>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</si>
  <si>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</si>
  <si>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</si>
  <si>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</si>
  <si>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</si>
  <si>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</si>
  <si>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</si>
  <si>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</si>
  <si>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</si>
  <si>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</si>
  <si>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</si>
  <si>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</si>
  <si>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</si>
  <si>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</si>
  <si>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</si>
  <si>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</si>
  <si>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</si>
  <si>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</si>
  <si>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</si>
  <si>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</si>
  <si>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</si>
  <si>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</si>
  <si>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</si>
  <si>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</si>
  <si>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</si>
  <si>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</si>
  <si>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</si>
  <si>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</si>
  <si>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</si>
  <si>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</si>
  <si>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</si>
  <si>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</si>
  <si>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</si>
  <si>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</si>
  <si>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</si>
  <si>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</si>
  <si>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</si>
  <si>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</si>
  <si>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</si>
  <si>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</si>
  <si>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</si>
  <si>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</si>
  <si>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</si>
  <si>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</si>
  <si>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</si>
  <si>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</si>
  <si>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</si>
  <si>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</si>
  <si>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</si>
  <si>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</si>
  <si>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</si>
  <si>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</si>
  <si>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</si>
  <si>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</si>
  <si>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</si>
  <si>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</si>
  <si>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</si>
  <si>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</si>
  <si>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</si>
  <si>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</si>
  <si>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</si>
  <si>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</si>
  <si>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</si>
  <si>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</si>
  <si>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</si>
  <si>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</si>
  <si>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</si>
  <si>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</si>
  <si>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</si>
  <si>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</si>
  <si>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</si>
  <si>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</si>
  <si>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</si>
  <si>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</si>
  <si>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</si>
  <si>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</si>
  <si>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</si>
  <si>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</si>
  <si>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</si>
  <si>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</si>
  <si>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</si>
  <si>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</si>
  <si>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</si>
  <si>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</si>
  <si>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</si>
  <si>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</si>
  <si>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</si>
  <si>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</si>
  <si>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</si>
  <si>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</si>
  <si>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</si>
  <si>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</si>
  <si>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</si>
  <si>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</si>
  <si>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</si>
  <si>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</si>
  <si>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</si>
  <si>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</si>
  <si>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</si>
  <si>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</si>
  <si>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</si>
  <si>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</si>
  <si>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</si>
  <si>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</si>
  <si>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</si>
  <si>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</si>
  <si>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</si>
  <si>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</si>
  <si>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</si>
  <si>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</si>
  <si>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</si>
  <si>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</si>
  <si>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</si>
  <si>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</si>
  <si>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</si>
  <si>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</si>
  <si>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</si>
  <si>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</si>
  <si>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</si>
  <si>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</si>
  <si>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</si>
  <si>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</si>
  <si>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</si>
  <si>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</si>
  <si>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</si>
  <si>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</si>
  <si>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</si>
  <si>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</si>
  <si>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</si>
  <si>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</si>
  <si>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</si>
  <si>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</si>
  <si>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</si>
  <si>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</si>
  <si>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</si>
  <si>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</si>
  <si>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</si>
  <si>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</si>
  <si>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</si>
  <si>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</si>
  <si>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</si>
  <si>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</si>
  <si>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</si>
  <si>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</si>
  <si>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</si>
  <si>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</si>
  <si>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</si>
  <si>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</si>
  <si>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</si>
  <si>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</si>
  <si>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</si>
  <si>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</si>
  <si>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</si>
  <si>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</si>
  <si>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</si>
  <si>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</si>
  <si>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</si>
  <si>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</si>
  <si>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</si>
  <si>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</si>
  <si>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</si>
  <si>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</si>
  <si>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</si>
  <si>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</si>
  <si>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</si>
  <si>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</si>
  <si>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</si>
  <si>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</si>
  <si>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</si>
  <si>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</si>
  <si>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</si>
  <si>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</si>
  <si>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</si>
  <si>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</si>
  <si>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</si>
  <si>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</si>
  <si>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</si>
  <si>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</si>
  <si>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</si>
  <si>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</si>
  <si>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</si>
  <si>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</si>
  <si>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</si>
  <si>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</si>
  <si>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</si>
  <si>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</si>
  <si>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</si>
  <si>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</si>
  <si>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</si>
  <si>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</si>
  <si>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</si>
  <si>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</si>
  <si>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</si>
  <si>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</si>
  <si>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</si>
  <si>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</si>
  <si>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</si>
  <si>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</si>
  <si>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</si>
  <si>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</si>
  <si>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</si>
  <si>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</si>
  <si>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</si>
  <si>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</si>
  <si>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</si>
  <si>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</si>
  <si>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</si>
  <si>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</si>
  <si>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</si>
  <si>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</si>
  <si>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</si>
  <si>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</si>
  <si>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</si>
  <si>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</si>
  <si>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</si>
  <si>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</si>
  <si>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</si>
  <si>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</si>
  <si>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</si>
  <si>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</si>
  <si>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</si>
  <si>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</si>
  <si>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</si>
  <si>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</si>
  <si>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</si>
  <si>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</si>
  <si>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</si>
  <si>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</si>
  <si>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</si>
  <si>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</si>
  <si>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</si>
  <si>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</si>
  <si>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</si>
  <si>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</si>
  <si>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</si>
  <si>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</si>
  <si>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</si>
  <si>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</si>
  <si>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</si>
  <si>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</si>
  <si>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</si>
  <si>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</si>
  <si>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</si>
  <si>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</si>
  <si>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</si>
  <si>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</si>
  <si>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</si>
  <si>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</si>
  <si>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</si>
  <si>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</si>
  <si>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</si>
  <si>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</si>
  <si>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</si>
  <si>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</si>
  <si>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</si>
  <si>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</si>
  <si>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</si>
  <si>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</si>
  <si>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</si>
  <si>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</si>
  <si>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</si>
  <si>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</si>
  <si>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</si>
  <si>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</si>
  <si>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</si>
  <si>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</si>
  <si>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</si>
  <si>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</si>
  <si>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</si>
  <si>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</si>
  <si>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</si>
  <si>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</si>
  <si>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</si>
  <si>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</si>
  <si>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</si>
  <si>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</si>
  <si>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</si>
  <si>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</si>
  <si>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</si>
  <si>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</si>
  <si>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</si>
  <si>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</si>
  <si>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</si>
  <si>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</si>
  <si>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</si>
  <si>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</si>
  <si>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</si>
  <si>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</si>
  <si>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</si>
  <si>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</si>
  <si>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</si>
  <si>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</si>
  <si>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</si>
  <si>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</si>
  <si>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</si>
  <si>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</si>
  <si>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</si>
  <si>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</si>
  <si>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</si>
  <si>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</si>
  <si>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</si>
  <si>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</si>
  <si>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</si>
  <si>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</si>
  <si>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</si>
  <si>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</si>
  <si>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</si>
  <si>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</si>
  <si>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</si>
  <si>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</si>
  <si>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</si>
  <si>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</si>
  <si>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</si>
  <si>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</si>
  <si>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</si>
  <si>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</si>
  <si>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</si>
  <si>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</si>
  <si>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</si>
  <si>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</si>
  <si>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</si>
  <si>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</si>
  <si>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</si>
  <si>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</si>
  <si>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</si>
  <si>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</si>
  <si>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</si>
  <si>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</si>
  <si>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</si>
  <si>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</si>
  <si>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</si>
  <si>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</si>
  <si>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</si>
  <si>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</si>
  <si>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</si>
  <si>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</si>
  <si>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</si>
  <si>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</si>
  <si>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</si>
  <si>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</si>
  <si>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</si>
  <si>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</si>
  <si>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</si>
  <si>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</si>
  <si>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</si>
  <si>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</si>
  <si>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</si>
  <si>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</si>
  <si>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</si>
  <si>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</si>
  <si>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</si>
  <si>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</si>
  <si>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</si>
  <si>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</si>
  <si>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</si>
  <si>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</si>
  <si>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</si>
  <si>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</si>
  <si>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</si>
  <si>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</si>
  <si>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</si>
  <si>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</si>
  <si>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</si>
  <si>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</si>
  <si>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</si>
  <si>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</si>
  <si>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</si>
  <si>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</si>
  <si>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</si>
  <si>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</si>
  <si>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</si>
  <si>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</si>
  <si>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</si>
  <si>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</si>
  <si>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</si>
  <si>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</si>
  <si>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</si>
  <si>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</si>
  <si>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</si>
  <si>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</si>
  <si>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</si>
  <si>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</si>
  <si>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</si>
  <si>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</si>
  <si>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</si>
  <si>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</si>
  <si>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</si>
  <si>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</si>
  <si>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</si>
  <si>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</si>
  <si>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</si>
  <si>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</si>
  <si>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</si>
  <si>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</si>
  <si>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</si>
  <si>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</si>
  <si>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</si>
  <si>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</si>
  <si>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</si>
  <si>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</si>
  <si>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</si>
  <si>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</si>
  <si>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</si>
  <si>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</si>
  <si>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</si>
  <si>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</si>
  <si>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</si>
  <si>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</si>
  <si>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</si>
  <si>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</si>
  <si>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</si>
  <si>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</si>
  <si>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</si>
  <si>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</si>
  <si>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</si>
  <si>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</si>
  <si>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</si>
  <si>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</si>
  <si>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</si>
  <si>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</si>
  <si>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</si>
  <si>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</si>
  <si>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</si>
  <si>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</si>
  <si>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</si>
  <si>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</si>
  <si>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</si>
  <si>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</si>
  <si>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</si>
  <si>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</si>
  <si>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</si>
  <si>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</si>
  <si>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</si>
  <si>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</si>
  <si>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</si>
  <si>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</si>
  <si>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</si>
  <si>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</si>
  <si>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</si>
  <si>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</si>
  <si>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</si>
  <si>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</si>
  <si>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</si>
  <si>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</si>
  <si>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</si>
  <si>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</si>
  <si>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</si>
  <si>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</si>
  <si>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</si>
  <si>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</si>
  <si>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</si>
  <si>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</si>
  <si>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</si>
  <si>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</si>
  <si>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</si>
  <si>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</si>
  <si>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</si>
  <si>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</si>
  <si>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</si>
  <si>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</si>
  <si>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</si>
  <si>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</si>
  <si>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</si>
  <si>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</si>
  <si>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</si>
  <si>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</si>
  <si>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</si>
  <si>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</si>
  <si>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</si>
  <si>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</si>
  <si>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</si>
  <si>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</si>
  <si>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</si>
  <si>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</si>
  <si>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</si>
  <si>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</si>
  <si>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</si>
  <si>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</si>
  <si>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</si>
  <si>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</si>
  <si>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</si>
  <si>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</si>
  <si>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</si>
  <si>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</si>
  <si>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</si>
  <si>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</si>
  <si>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</si>
  <si>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</si>
  <si>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</si>
  <si>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</si>
  <si>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</si>
  <si>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</si>
  <si>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</si>
  <si>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</si>
  <si>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</si>
  <si>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</si>
  <si>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</si>
  <si>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</si>
  <si>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</si>
  <si>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</si>
  <si>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</si>
  <si>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</si>
  <si>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</si>
  <si>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</si>
  <si>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</si>
  <si>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</si>
  <si>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</si>
  <si>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</si>
  <si>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</si>
  <si>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</si>
  <si>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</si>
  <si>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</si>
  <si>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</si>
  <si>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</si>
  <si>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</si>
  <si>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</si>
  <si>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</si>
  <si>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</si>
  <si>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</si>
  <si>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</si>
  <si>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</si>
  <si>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</si>
  <si>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</si>
  <si>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</si>
  <si>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</si>
  <si>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</si>
  <si>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</si>
  <si>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</si>
  <si>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</si>
  <si>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</si>
  <si>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</si>
  <si>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</si>
  <si>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</si>
  <si>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</si>
  <si>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</si>
  <si>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</si>
  <si>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</si>
  <si>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</si>
  <si>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</si>
  <si>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</si>
  <si>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</si>
  <si>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</si>
  <si>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</si>
  <si>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</si>
  <si>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</si>
  <si>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</si>
  <si>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</si>
  <si>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</si>
  <si>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</si>
  <si>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</si>
  <si>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</si>
  <si>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</si>
  <si>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</si>
  <si>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</si>
  <si>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</si>
  <si>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</si>
  <si>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</si>
  <si>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</si>
  <si>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</si>
  <si>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</si>
  <si>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</si>
  <si>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</si>
  <si>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</si>
  <si>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</si>
  <si>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</si>
  <si>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</si>
  <si>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</si>
  <si>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</si>
  <si>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</si>
  <si>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</si>
  <si>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</si>
  <si>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</si>
  <si>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</si>
  <si>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</si>
  <si>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</si>
  <si>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</si>
  <si>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</si>
  <si>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</si>
  <si>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</si>
  <si>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</si>
  <si>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</si>
  <si>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</si>
  <si>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</si>
  <si>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</si>
  <si>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</si>
  <si>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</si>
  <si>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</si>
  <si>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</si>
  <si>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</si>
  <si>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</si>
  <si>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</si>
  <si>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</si>
  <si>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</si>
  <si>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</si>
  <si>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</si>
  <si>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</si>
  <si>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</si>
  <si>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</si>
  <si>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</si>
  <si>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</si>
  <si>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</si>
  <si>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</si>
  <si>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</si>
  <si>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</si>
  <si>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</si>
  <si>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</si>
  <si>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</si>
  <si>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</si>
  <si>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</si>
  <si>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</si>
  <si>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</si>
  <si>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</si>
  <si>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</si>
  <si>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</si>
  <si>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</si>
  <si>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</si>
  <si>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</si>
  <si>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</si>
  <si>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</si>
  <si>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</si>
  <si>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</si>
  <si>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</si>
  <si>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</si>
  <si>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</si>
  <si>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</si>
  <si>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</si>
  <si>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</si>
  <si>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</si>
  <si>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</si>
  <si>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</si>
  <si>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</si>
  <si>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</si>
  <si>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</si>
  <si>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</si>
  <si>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</si>
  <si>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</si>
  <si>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</si>
  <si>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</si>
  <si>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</si>
  <si>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</si>
  <si>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</si>
  <si>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</si>
  <si>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</si>
  <si>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</si>
  <si>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</si>
  <si>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</si>
  <si>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</si>
  <si>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</si>
  <si>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</si>
  <si>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</si>
  <si>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</si>
  <si>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</si>
  <si>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</si>
  <si>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</si>
  <si>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</si>
  <si>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</si>
  <si>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</si>
  <si>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</si>
  <si>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</si>
  <si>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</si>
  <si>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</si>
  <si>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</si>
  <si>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</si>
  <si>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</si>
  <si>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</si>
  <si>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</si>
  <si>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</si>
  <si>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</si>
  <si>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</si>
  <si>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</si>
  <si>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</si>
  <si>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</si>
  <si>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</si>
  <si>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</si>
  <si>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</si>
  <si>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</si>
  <si>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</si>
  <si>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</si>
  <si>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</si>
  <si>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</si>
  <si>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</si>
  <si>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</si>
  <si>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</si>
  <si>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</si>
  <si>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</si>
  <si>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</si>
  <si>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</si>
  <si>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</si>
  <si>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</si>
  <si>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</si>
  <si>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</si>
  <si>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</si>
  <si>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</si>
  <si>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</si>
  <si>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</si>
  <si>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</si>
  <si>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</si>
  <si>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</si>
  <si>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</si>
  <si>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</si>
  <si>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</si>
  <si>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</si>
  <si>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</si>
  <si>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</si>
  <si>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</si>
  <si>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</si>
  <si>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</si>
  <si>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</si>
  <si>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</si>
  <si>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</si>
  <si>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</si>
  <si>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</si>
  <si>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</si>
  <si>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</si>
  <si>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</si>
  <si>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</si>
  <si>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</si>
  <si>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</si>
  <si>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</si>
  <si>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</si>
  <si>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</si>
  <si>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</si>
  <si>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</si>
  <si>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</si>
  <si>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</si>
  <si>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</si>
  <si>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</si>
  <si>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</si>
  <si>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</si>
  <si>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</si>
  <si>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</si>
  <si>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</si>
  <si>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</si>
  <si>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</si>
  <si>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</si>
  <si>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</si>
  <si>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</si>
  <si>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</si>
  <si>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</si>
  <si>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</si>
  <si>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</si>
  <si>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</si>
  <si>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</si>
  <si>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</si>
  <si>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</si>
  <si>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</si>
  <si>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</si>
  <si>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</si>
  <si>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</si>
  <si>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</si>
  <si>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</si>
  <si>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</si>
  <si>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</si>
  <si>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</si>
  <si>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</si>
  <si>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</si>
  <si>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</si>
  <si>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</si>
  <si>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</si>
  <si>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</si>
  <si>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</si>
  <si>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</si>
  <si>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</si>
  <si>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</si>
  <si>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</si>
  <si>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</si>
  <si>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</si>
  <si>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</si>
  <si>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</si>
  <si>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</si>
  <si>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</si>
  <si>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</si>
  <si>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</si>
  <si>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</si>
  <si>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</si>
  <si>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</si>
  <si>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</si>
  <si>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</si>
  <si>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</si>
  <si>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</si>
  <si>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</si>
  <si>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</si>
  <si>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</si>
  <si>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</si>
  <si>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</si>
  <si>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</si>
  <si>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</si>
  <si>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</si>
  <si>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</si>
  <si>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</si>
  <si>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</si>
  <si>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</si>
  <si>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</si>
  <si>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</si>
  <si>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</si>
  <si>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</si>
  <si>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</si>
  <si>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</si>
  <si>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</si>
  <si>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</si>
  <si>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</si>
  <si>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</si>
  <si>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</si>
  <si>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</si>
  <si>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</si>
  <si>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</si>
  <si>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</si>
  <si>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</si>
  <si>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</si>
  <si>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</si>
  <si>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</si>
  <si>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</si>
  <si>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</si>
  <si>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</si>
  <si>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</si>
  <si>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</si>
  <si>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</si>
  <si>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</si>
  <si>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</si>
  <si>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</si>
  <si>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</si>
  <si>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</si>
  <si>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</si>
  <si>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</si>
  <si>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</si>
  <si>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</si>
  <si>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</si>
  <si>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</si>
  <si>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</si>
  <si>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</si>
  <si>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</si>
  <si>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</si>
  <si>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</si>
  <si>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</si>
  <si>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</si>
  <si>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</si>
  <si>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</si>
  <si>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</si>
  <si>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</si>
  <si>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</si>
  <si>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</si>
  <si>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</si>
  <si>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</si>
  <si>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</si>
  <si>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</si>
  <si>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</si>
  <si>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</si>
  <si>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</si>
  <si>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</si>
  <si>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</si>
  <si>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</si>
  <si>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</si>
  <si>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</si>
  <si>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</si>
  <si>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</si>
  <si>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</si>
  <si>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</si>
  <si>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</si>
  <si>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</si>
  <si>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</si>
  <si>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</si>
  <si>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</si>
  <si>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</si>
  <si>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</si>
  <si>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</si>
  <si>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</si>
  <si>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</si>
  <si>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</si>
  <si>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</si>
  <si>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</si>
  <si>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</si>
  <si>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</si>
  <si>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</si>
  <si>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</si>
  <si>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</si>
  <si>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</si>
  <si>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</si>
  <si>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</si>
  <si>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</si>
  <si>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</si>
  <si>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</si>
  <si>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</si>
  <si>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</si>
  <si>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</si>
  <si>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</si>
  <si>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</si>
  <si>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</si>
  <si>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</si>
  <si>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</si>
  <si>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</si>
  <si>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</si>
  <si>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</si>
  <si>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</si>
  <si>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</si>
  <si>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</si>
  <si>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</si>
  <si>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</si>
  <si>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</si>
  <si>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</si>
  <si>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</si>
  <si>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</si>
  <si>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</si>
  <si>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</si>
  <si>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</si>
  <si>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</si>
  <si>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</si>
  <si>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</si>
  <si>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</si>
  <si>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</si>
  <si>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</si>
  <si>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</si>
  <si>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</si>
  <si>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</si>
  <si>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</si>
  <si>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</si>
  <si>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</si>
  <si>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</si>
  <si>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</si>
  <si>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</si>
  <si>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</si>
  <si>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</si>
  <si>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</si>
  <si>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</si>
  <si>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</si>
  <si>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</si>
  <si>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</si>
  <si>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</si>
  <si>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</si>
  <si>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</si>
  <si>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</si>
  <si>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</si>
  <si>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</si>
  <si>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</si>
  <si>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</si>
  <si>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</si>
  <si>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</si>
  <si>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</si>
  <si>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</si>
  <si>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</si>
  <si>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</si>
  <si>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</si>
  <si>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</si>
  <si>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</si>
  <si>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</si>
  <si>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</si>
  <si>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</si>
  <si>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</si>
  <si>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</si>
  <si>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</si>
  <si>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</si>
  <si>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</si>
  <si>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</si>
  <si>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</si>
  <si>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</si>
  <si>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</si>
  <si>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</si>
  <si>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</si>
  <si>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</si>
  <si>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</si>
  <si>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</si>
  <si>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</si>
  <si>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</si>
  <si>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</si>
  <si>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</si>
  <si>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</si>
  <si>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</si>
  <si>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</si>
  <si>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</si>
  <si>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</si>
  <si>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</si>
  <si>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</si>
  <si>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</si>
  <si>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</si>
  <si>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</si>
  <si>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</si>
  <si>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</si>
  <si>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</si>
  <si>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</si>
  <si>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</si>
  <si>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</si>
  <si>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</si>
  <si>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</si>
  <si>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</si>
  <si>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</si>
  <si>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</si>
  <si>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</si>
  <si>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</si>
  <si>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</si>
  <si>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</si>
  <si>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</si>
  <si>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</si>
  <si>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</si>
  <si>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</si>
  <si>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</si>
  <si>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</si>
  <si>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</si>
  <si>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</si>
  <si>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</si>
  <si>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</si>
  <si>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</si>
  <si>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</si>
  <si>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</si>
  <si>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</si>
  <si>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</si>
  <si>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</si>
  <si>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</si>
  <si>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</si>
  <si>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</si>
  <si>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</si>
  <si>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</si>
  <si>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</si>
  <si>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</si>
  <si>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</si>
  <si>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</si>
  <si>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</si>
  <si>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</si>
  <si>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</si>
  <si>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</si>
  <si>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</si>
  <si>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</si>
  <si>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</si>
  <si>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</si>
  <si>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</si>
  <si>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</si>
  <si>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</si>
  <si>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</si>
  <si>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</si>
  <si>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</si>
  <si>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</si>
  <si>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</si>
  <si>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</si>
  <si>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</si>
  <si>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</si>
  <si>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</si>
  <si>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</si>
  <si>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</si>
  <si>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</si>
  <si>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</si>
  <si>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</si>
  <si>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</si>
  <si>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</si>
  <si>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</si>
  <si>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</si>
  <si>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</si>
  <si>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</si>
  <si>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</si>
  <si>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</si>
  <si>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</si>
  <si>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</si>
  <si>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</si>
  <si>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</si>
  <si>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</si>
  <si>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</si>
  <si>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</si>
  <si>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</si>
  <si>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</si>
  <si>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</si>
  <si>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</si>
  <si>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</si>
  <si>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</si>
  <si>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</si>
  <si>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</si>
  <si>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</si>
  <si>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</si>
  <si>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</si>
  <si>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</si>
  <si>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</si>
  <si>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</si>
  <si>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</si>
  <si>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</si>
  <si>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</si>
  <si>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</si>
  <si>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</si>
  <si>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</si>
  <si>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</si>
  <si>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</si>
  <si>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</si>
  <si>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</si>
  <si>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</si>
  <si>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</si>
  <si>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</si>
  <si>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</si>
  <si>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</si>
  <si>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</si>
  <si>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</si>
  <si>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</si>
  <si>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</si>
  <si>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</si>
  <si>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</si>
  <si>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</si>
  <si>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</si>
  <si>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</si>
  <si>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</si>
  <si>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</si>
  <si>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</si>
  <si>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</si>
  <si>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</si>
  <si>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</si>
  <si>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</si>
  <si>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</si>
  <si>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</si>
  <si>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</si>
  <si>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</si>
  <si>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</si>
  <si>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</si>
  <si>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</si>
  <si>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</si>
  <si>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</si>
  <si>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</si>
  <si>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</si>
  <si>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</si>
  <si>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</si>
  <si>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</si>
  <si>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</si>
  <si>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</si>
  <si>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</si>
  <si>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</si>
  <si>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</si>
  <si>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</si>
  <si>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</si>
  <si>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</si>
  <si>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</si>
  <si>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</si>
  <si>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</si>
  <si>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</si>
  <si>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</si>
  <si>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</si>
  <si>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</si>
  <si>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</si>
  <si>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</si>
  <si>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</si>
  <si>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</si>
  <si>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</si>
  <si>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</si>
  <si>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</si>
  <si>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</si>
  <si>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</si>
  <si>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</si>
  <si>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</si>
  <si>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</si>
  <si>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</si>
  <si>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</si>
  <si>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</si>
  <si>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</si>
  <si>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</si>
  <si>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</si>
  <si>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</si>
  <si>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</si>
  <si>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</si>
  <si>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</si>
  <si>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</si>
  <si>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</si>
  <si>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</si>
  <si>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</si>
  <si>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</si>
  <si>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</si>
  <si>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</si>
  <si>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</si>
  <si>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</si>
  <si>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</si>
  <si>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</si>
  <si>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</si>
  <si>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</si>
  <si>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</si>
  <si>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</si>
  <si>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</si>
  <si>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</si>
  <si>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</si>
  <si>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</si>
  <si>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</si>
  <si>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</si>
  <si>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</si>
  <si>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</si>
  <si>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</si>
  <si>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</si>
  <si>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</si>
  <si>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</si>
  <si>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</si>
  <si>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</si>
  <si>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</si>
  <si>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</si>
  <si>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</si>
  <si>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</si>
  <si>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</si>
  <si>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</si>
  <si>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</si>
  <si>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</si>
  <si>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</si>
  <si>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</si>
  <si>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</si>
  <si>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</si>
  <si>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</si>
  <si>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</si>
  <si>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</si>
  <si>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</si>
  <si>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</si>
  <si>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</si>
  <si>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</si>
  <si>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</si>
  <si>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</si>
  <si>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</si>
  <si>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</si>
  <si>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</si>
  <si>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</si>
  <si>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</si>
  <si>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</si>
  <si>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</si>
  <si>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</si>
  <si>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</si>
  <si>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</si>
  <si>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</si>
  <si>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</si>
  <si>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</si>
  <si>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</si>
  <si>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</si>
  <si>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</si>
  <si>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</si>
  <si>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</si>
  <si>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</si>
  <si>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</si>
  <si>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</si>
  <si>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</si>
  <si>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</si>
  <si>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</si>
  <si>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</si>
  <si>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</si>
  <si>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</si>
  <si>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</si>
  <si>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</si>
  <si>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</si>
  <si>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</si>
  <si>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</si>
  <si>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</si>
  <si>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</si>
  <si>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</si>
  <si>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</si>
  <si>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</si>
  <si>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</si>
  <si>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</si>
  <si>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</si>
  <si>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</si>
  <si>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</si>
  <si>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</si>
  <si>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</si>
  <si>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</si>
  <si>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</si>
  <si>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</si>
  <si>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</si>
  <si>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</si>
  <si>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</si>
  <si>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</si>
  <si>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</si>
  <si>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</si>
  <si>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</si>
  <si>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</si>
  <si>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</si>
  <si>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</si>
  <si>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</si>
  <si>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</si>
  <si>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</si>
  <si>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</si>
  <si>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</si>
  <si>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</si>
  <si>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</si>
  <si>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</si>
  <si>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</si>
  <si>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</si>
  <si>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</si>
  <si>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</si>
  <si>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</si>
  <si>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</si>
  <si>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</si>
  <si>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</si>
  <si>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</si>
  <si>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</si>
  <si>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</si>
  <si>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</si>
  <si>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</si>
  <si>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</si>
  <si>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</si>
  <si>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</si>
  <si>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</si>
  <si>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</si>
  <si>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</si>
  <si>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</si>
  <si>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</si>
  <si>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</si>
  <si>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</si>
  <si>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</si>
  <si>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</si>
  <si>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</si>
  <si>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</si>
  <si>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</si>
  <si>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</si>
  <si>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</si>
  <si>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</si>
  <si>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</si>
  <si>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</si>
  <si>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</si>
  <si>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</si>
  <si>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</si>
  <si>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</si>
  <si>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</si>
  <si>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</si>
  <si>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</si>
  <si>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</si>
  <si>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</si>
  <si>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</si>
  <si>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</si>
  <si>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</si>
  <si>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</si>
  <si>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</si>
  <si>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</si>
  <si>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</si>
  <si>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</si>
  <si>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</si>
  <si>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</si>
  <si>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</si>
  <si>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</si>
  <si>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</si>
  <si>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</si>
  <si>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</si>
  <si>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</si>
  <si>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</si>
  <si>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</si>
  <si>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</si>
  <si>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</si>
  <si>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</si>
  <si>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</si>
  <si>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</si>
  <si>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</si>
  <si>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</si>
  <si>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</si>
  <si>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</si>
  <si>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</si>
  <si>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</si>
  <si>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</si>
  <si>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</si>
  <si>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</si>
  <si>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</si>
  <si>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</si>
  <si>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</si>
  <si>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</si>
  <si>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</si>
  <si>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</si>
  <si>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</si>
  <si>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</si>
  <si>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</si>
  <si>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</si>
  <si>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</si>
  <si>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</si>
  <si>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</si>
  <si>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</si>
  <si>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</si>
  <si>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</si>
  <si>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</si>
  <si>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</si>
  <si>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</si>
  <si>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</si>
  <si>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</si>
  <si>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</si>
  <si>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</si>
  <si>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</si>
  <si>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</si>
  <si>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</si>
  <si>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</si>
  <si>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</si>
  <si>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</si>
  <si>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</si>
  <si>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</si>
  <si>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</si>
  <si>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</si>
  <si>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</si>
  <si>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</si>
  <si>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</si>
  <si>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</si>
  <si>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</si>
  <si>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</si>
  <si>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</si>
  <si>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</si>
  <si>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</si>
  <si>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</si>
  <si>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</si>
  <si>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</si>
  <si>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</si>
  <si>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</si>
  <si>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</si>
  <si>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</si>
  <si>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</si>
  <si>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</si>
  <si>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</si>
  <si>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</si>
  <si>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</si>
  <si>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</si>
  <si>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</si>
  <si>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</si>
  <si>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</si>
  <si>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</si>
  <si>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</si>
  <si>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</si>
  <si>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</si>
  <si>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</si>
  <si>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</si>
  <si>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</si>
  <si>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</si>
  <si>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</si>
  <si>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</si>
  <si>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</si>
  <si>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</si>
  <si>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</si>
  <si>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</si>
  <si>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</si>
  <si>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</si>
  <si>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</si>
  <si>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</si>
  <si>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</si>
  <si>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</si>
  <si>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</si>
  <si>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</si>
  <si>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</si>
  <si>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</si>
  <si>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</si>
  <si>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</si>
  <si>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</si>
  <si>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</si>
  <si>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</si>
  <si>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</si>
  <si>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</si>
  <si>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</si>
  <si>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</si>
  <si>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</si>
  <si>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</si>
  <si>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</si>
  <si>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</si>
  <si>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</si>
  <si>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</si>
  <si>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</si>
  <si>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</si>
  <si>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</si>
  <si>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</si>
  <si>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</si>
  <si>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</si>
  <si>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</si>
  <si>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</si>
  <si>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</si>
  <si>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</si>
  <si>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</si>
  <si>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</si>
  <si>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</si>
  <si>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</si>
  <si>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</si>
  <si>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</si>
  <si>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</si>
  <si>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</si>
  <si>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</si>
  <si>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</si>
  <si>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</si>
  <si>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</si>
  <si>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</si>
  <si>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</si>
  <si>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</si>
  <si>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</si>
  <si>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</si>
  <si>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</si>
  <si>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</si>
  <si>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</si>
  <si>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</si>
  <si>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</si>
  <si>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</si>
  <si>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</si>
  <si>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</si>
  <si>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</si>
  <si>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</si>
  <si>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</si>
  <si>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</si>
  <si>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</si>
  <si>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</si>
  <si>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</si>
  <si>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</si>
  <si>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</si>
  <si>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</si>
  <si>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</si>
  <si>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</si>
  <si>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</si>
  <si>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</si>
  <si>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</si>
  <si>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</si>
  <si>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</si>
  <si>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</si>
  <si>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</si>
  <si>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</si>
  <si>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</si>
  <si>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</si>
  <si>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</si>
  <si>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</si>
  <si>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</si>
  <si>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</si>
  <si>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</si>
  <si>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</si>
  <si>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</si>
  <si>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</si>
  <si>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</si>
  <si>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</si>
  <si>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</si>
  <si>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</si>
  <si>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</si>
  <si>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</si>
  <si>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</si>
  <si>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</si>
  <si>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</si>
  <si>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</si>
  <si>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</si>
  <si>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</si>
  <si>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</si>
  <si>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</si>
  <si>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</si>
  <si>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</si>
  <si>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</si>
  <si>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</si>
  <si>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</si>
  <si>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</si>
  <si>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</si>
  <si>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</si>
  <si>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</si>
  <si>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</si>
  <si>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</si>
  <si>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</si>
  <si>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</si>
  <si>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</si>
  <si>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</si>
  <si>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</si>
  <si>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</si>
  <si>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</si>
  <si>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</si>
  <si>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</si>
  <si>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</si>
  <si>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</si>
  <si>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</si>
  <si>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</si>
  <si>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</si>
  <si>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</si>
  <si>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</si>
  <si>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</si>
  <si>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</si>
  <si>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</si>
  <si>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</si>
  <si>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</si>
  <si>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</si>
  <si>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</si>
  <si>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</si>
  <si>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</si>
  <si>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</si>
  <si>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</si>
  <si>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</si>
  <si>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</si>
  <si>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</si>
  <si>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</si>
  <si>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</si>
  <si>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</si>
  <si>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</si>
  <si>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</si>
  <si>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</si>
  <si>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</si>
  <si>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</si>
  <si>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</si>
  <si>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</si>
  <si>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</si>
  <si>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</si>
  <si>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</si>
  <si>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</si>
  <si>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</si>
  <si>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</si>
  <si>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</si>
  <si>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</si>
  <si>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</si>
  <si>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</si>
  <si>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</si>
  <si>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</si>
  <si>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</si>
  <si>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</si>
  <si>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</si>
  <si>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</si>
  <si>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</si>
  <si>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</si>
  <si>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</si>
  <si>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</si>
  <si>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</si>
  <si>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</si>
  <si>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</si>
  <si>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</si>
  <si>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</si>
  <si>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</si>
  <si>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</si>
  <si>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</si>
  <si>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</si>
  <si>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</si>
  <si>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</si>
  <si>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</si>
  <si>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</si>
  <si>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</si>
  <si>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</si>
  <si>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</si>
  <si>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</si>
  <si>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</si>
  <si>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</si>
  <si>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</si>
  <si>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</si>
  <si>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</si>
  <si>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</si>
  <si>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</si>
  <si>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</si>
  <si>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</si>
  <si>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</si>
  <si>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</si>
  <si>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</si>
  <si>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</si>
  <si>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</si>
  <si>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</si>
  <si>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</si>
  <si>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</si>
  <si>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</si>
  <si>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</si>
  <si>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</si>
  <si>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</si>
  <si>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</si>
  <si>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</si>
  <si>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</si>
  <si>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</si>
  <si>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</si>
  <si>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</si>
  <si>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</si>
  <si>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</si>
  <si>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</si>
  <si>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</si>
  <si>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</si>
  <si>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</si>
  <si>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</si>
  <si>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</si>
  <si>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</si>
  <si>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</si>
  <si>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</si>
  <si>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</si>
  <si>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</si>
  <si>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</si>
  <si>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</si>
  <si>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</si>
  <si>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</si>
  <si>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</si>
  <si>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</si>
  <si>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</si>
  <si>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</si>
  <si>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</si>
  <si>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</si>
  <si>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</si>
  <si>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</si>
  <si>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</si>
  <si>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</si>
  <si>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</si>
  <si>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</si>
  <si>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</si>
  <si>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</si>
  <si>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</si>
  <si>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</si>
  <si>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</si>
  <si>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</si>
  <si>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</si>
  <si>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</si>
  <si>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</si>
  <si>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</si>
  <si>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</si>
  <si>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</si>
  <si>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</si>
  <si>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</si>
  <si>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</si>
  <si>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</si>
  <si>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</si>
  <si>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</si>
  <si>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</si>
  <si>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</si>
  <si>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</si>
  <si>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</si>
  <si>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</si>
  <si>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</si>
  <si>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</si>
  <si>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</si>
  <si>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</si>
  <si>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</si>
  <si>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</si>
  <si>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</si>
  <si>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</si>
  <si>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</si>
  <si>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</si>
  <si>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</si>
  <si>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</si>
  <si>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</si>
  <si>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</si>
  <si>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</si>
  <si>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</si>
  <si>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</si>
  <si>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</si>
  <si>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</si>
  <si>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</si>
  <si>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</si>
  <si>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</si>
  <si>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</si>
  <si>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</si>
  <si>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</si>
  <si>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</si>
  <si>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</si>
  <si>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</si>
  <si>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</si>
  <si>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</si>
  <si>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</si>
  <si>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</si>
  <si>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</si>
  <si>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</si>
  <si>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</si>
  <si>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</si>
  <si>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</si>
  <si>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</si>
  <si>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</si>
  <si>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</si>
  <si>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</si>
  <si>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</si>
  <si>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</si>
  <si>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</si>
  <si>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</si>
  <si>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</si>
  <si>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</si>
  <si>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</si>
  <si>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</si>
  <si>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</si>
  <si>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</si>
  <si>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</si>
  <si>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</si>
  <si>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</si>
  <si>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</si>
  <si>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</si>
  <si>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</si>
  <si>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</si>
  <si>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</si>
  <si>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</si>
  <si>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</si>
  <si>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</si>
  <si>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</si>
  <si>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</si>
  <si>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</si>
  <si>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</si>
  <si>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</si>
  <si>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</si>
  <si>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</si>
  <si>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</si>
  <si>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</si>
  <si>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</si>
  <si>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</si>
  <si>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</si>
  <si>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</si>
  <si>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</si>
  <si>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</si>
  <si>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</si>
  <si>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</si>
  <si>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</si>
  <si>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</si>
  <si>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</si>
  <si>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</si>
  <si>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</si>
  <si>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</si>
  <si>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</si>
  <si>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</si>
  <si>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</si>
  <si>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</si>
  <si>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</si>
  <si>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</si>
  <si>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</si>
  <si>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</si>
  <si>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</si>
  <si>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</si>
  <si>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</si>
  <si>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</si>
  <si>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</si>
  <si>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</si>
  <si>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</si>
  <si>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</si>
  <si>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</si>
  <si>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</si>
  <si>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</si>
  <si>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</si>
  <si>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</si>
  <si>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</si>
  <si>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</si>
  <si>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</si>
  <si>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</si>
  <si>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</si>
  <si>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</si>
  <si>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</si>
  <si>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</si>
  <si>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</si>
  <si>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</si>
  <si>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</si>
  <si>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</si>
  <si>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</si>
  <si>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</si>
  <si>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</si>
  <si>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</si>
  <si>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</si>
  <si>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</si>
  <si>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</si>
  <si>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</si>
  <si>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</si>
  <si>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</si>
  <si>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</si>
  <si>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</si>
  <si>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</si>
  <si>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</si>
  <si>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</si>
  <si>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</si>
  <si>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</si>
  <si>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</si>
  <si>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</si>
  <si>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</si>
  <si>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</si>
  <si>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</si>
  <si>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</si>
  <si>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</si>
  <si>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</si>
  <si>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</si>
  <si>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</si>
  <si>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</si>
  <si>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</si>
  <si>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</si>
  <si>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</si>
  <si>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</si>
  <si>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</si>
  <si>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</si>
  <si>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</si>
  <si>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</si>
  <si>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</si>
  <si>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</si>
  <si>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</si>
  <si>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</si>
  <si>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</si>
  <si>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</si>
  <si>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</si>
  <si>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</si>
  <si>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</si>
  <si>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</si>
  <si>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</si>
  <si>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</si>
  <si>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</si>
  <si>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</si>
  <si>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</si>
  <si>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</si>
  <si>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</si>
  <si>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</si>
  <si>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</si>
  <si>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</si>
  <si>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</si>
  <si>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</si>
  <si>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</si>
  <si>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</si>
  <si>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</si>
  <si>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</si>
  <si>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</si>
  <si>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</si>
  <si>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</si>
  <si>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</si>
  <si>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</si>
  <si>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</si>
  <si>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</si>
  <si>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</si>
  <si>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</si>
  <si>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</si>
  <si>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</si>
  <si>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</si>
  <si>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</si>
  <si>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</si>
  <si>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</si>
  <si>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</si>
  <si>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</si>
  <si>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</si>
  <si>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</si>
  <si>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</si>
  <si>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</si>
  <si>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</si>
  <si>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</si>
  <si>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</si>
  <si>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</si>
  <si>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</si>
  <si>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</si>
  <si>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</si>
  <si>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</si>
  <si>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</si>
  <si>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</si>
  <si>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</si>
  <si>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</si>
  <si>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</si>
  <si>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</si>
  <si>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</si>
  <si>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</si>
  <si>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</si>
  <si>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</si>
  <si>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</si>
  <si>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</si>
  <si>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</si>
  <si>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</si>
  <si>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</si>
  <si>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</si>
  <si>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</si>
  <si>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</si>
  <si>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</si>
  <si>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</si>
  <si>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</si>
  <si>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</si>
  <si>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</si>
  <si>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</si>
  <si>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</si>
  <si>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</si>
  <si>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</si>
  <si>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</si>
  <si>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</si>
  <si>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</si>
  <si>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</si>
  <si>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</si>
  <si>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</si>
  <si>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</si>
  <si>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</si>
  <si>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</si>
  <si>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</si>
  <si>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</si>
  <si>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</si>
  <si>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</si>
  <si>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</si>
  <si>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</si>
  <si>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</si>
  <si>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</si>
  <si>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</si>
  <si>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</si>
  <si>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</si>
  <si>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</si>
  <si>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</si>
  <si>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</si>
  <si>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</si>
  <si>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</si>
  <si>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</si>
  <si>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</si>
  <si>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</si>
  <si>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</si>
  <si>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</si>
  <si>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</si>
  <si>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</si>
  <si>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</si>
  <si>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</si>
  <si>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</si>
  <si>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</si>
  <si>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</si>
  <si>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</si>
  <si>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</si>
  <si>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</si>
  <si>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</si>
  <si>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</si>
  <si>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</si>
  <si>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</si>
  <si>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</si>
  <si>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</si>
  <si>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</si>
  <si>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</si>
  <si>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</si>
  <si>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</si>
  <si>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</si>
  <si>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</si>
  <si>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</si>
  <si>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</si>
  <si>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</si>
  <si>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</si>
  <si>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</si>
  <si>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</si>
  <si>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</si>
  <si>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</si>
  <si>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</si>
  <si>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</si>
  <si>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</si>
  <si>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</si>
  <si>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</si>
  <si>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</si>
  <si>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</si>
  <si>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</si>
  <si>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</si>
  <si>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</si>
  <si>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</si>
  <si>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</si>
  <si>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</si>
  <si>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</si>
  <si>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</si>
  <si>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</si>
  <si>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</si>
  <si>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</si>
  <si>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</si>
  <si>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</si>
  <si>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</si>
  <si>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</si>
  <si>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</si>
  <si>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</si>
  <si>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</si>
  <si>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</si>
  <si>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</si>
  <si>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</si>
  <si>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</si>
  <si>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</si>
  <si>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</si>
  <si>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</si>
  <si>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</si>
  <si>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</si>
  <si>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</si>
  <si>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</si>
  <si>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</si>
  <si>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</si>
  <si>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</si>
  <si>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</si>
  <si>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</si>
  <si>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</si>
  <si>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</si>
  <si>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</si>
  <si>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</si>
  <si>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</si>
  <si>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</si>
  <si>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</si>
  <si>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</si>
  <si>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</si>
  <si>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</si>
  <si>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</si>
  <si>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</si>
  <si>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</si>
  <si>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</si>
  <si>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</si>
  <si>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</si>
  <si>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</si>
  <si>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</si>
  <si>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</si>
  <si>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</si>
  <si>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</si>
  <si>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</si>
  <si>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</si>
  <si>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</si>
  <si>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</si>
  <si>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</si>
  <si>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</si>
  <si>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</si>
  <si>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</si>
  <si>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</si>
  <si>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</si>
  <si>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</si>
  <si>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</si>
  <si>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</si>
  <si>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</si>
  <si>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</si>
  <si>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</si>
  <si>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</si>
  <si>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</si>
  <si>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</si>
  <si>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</si>
  <si>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</si>
  <si>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</si>
  <si>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</si>
  <si>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</si>
  <si>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</si>
  <si>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</si>
  <si>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</si>
  <si>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</si>
  <si>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</si>
  <si>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</si>
  <si>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</si>
  <si>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</si>
  <si>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</si>
  <si>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</si>
  <si>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</si>
  <si>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</si>
  <si>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</si>
  <si>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</si>
  <si>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</si>
  <si>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</si>
  <si>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</si>
  <si>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</si>
  <si>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</si>
  <si>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</si>
  <si>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</si>
  <si>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</si>
  <si>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</si>
  <si>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</si>
  <si>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</si>
  <si>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</si>
  <si>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</si>
  <si>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</si>
  <si>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</si>
  <si>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</si>
  <si>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</si>
  <si>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</si>
  <si>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</si>
  <si>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</si>
  <si>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</si>
  <si>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</si>
  <si>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</si>
  <si>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</si>
  <si>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</si>
  <si>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</si>
  <si>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</si>
  <si>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</si>
  <si>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</si>
  <si>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</si>
  <si>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</si>
  <si>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</si>
  <si>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</si>
  <si>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</si>
  <si>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</si>
  <si>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</si>
  <si>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</si>
  <si>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</si>
  <si>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</si>
  <si>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</si>
  <si>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</si>
  <si>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</si>
  <si>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</si>
  <si>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</si>
  <si>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</si>
  <si>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</si>
  <si>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</si>
  <si>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</si>
  <si>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</si>
  <si>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</si>
  <si>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</si>
  <si>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</si>
  <si>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</si>
  <si>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</si>
  <si>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</si>
  <si>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</si>
  <si>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</si>
  <si>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</si>
  <si>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</si>
  <si>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</si>
  <si>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</si>
  <si>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</si>
  <si>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</si>
  <si>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</si>
  <si>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</si>
  <si>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</si>
  <si>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</si>
  <si>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</si>
  <si>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</si>
  <si>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</si>
  <si>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</si>
  <si>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</si>
  <si>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</si>
  <si>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</si>
  <si>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</si>
  <si>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</si>
  <si>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</si>
  <si>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</si>
  <si>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</si>
  <si>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</si>
  <si>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</si>
  <si>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</si>
  <si>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</si>
  <si>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</si>
  <si>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</si>
  <si>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</si>
  <si>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</si>
  <si>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</si>
  <si>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</si>
  <si>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</si>
  <si>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</si>
  <si>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</si>
  <si>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</si>
  <si>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</si>
  <si>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</si>
  <si>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</si>
  <si>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</si>
  <si>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</si>
  <si>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</si>
  <si>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</si>
  <si>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</si>
  <si>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</si>
  <si>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</si>
  <si>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</si>
  <si>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</si>
  <si>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</si>
  <si>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</si>
  <si>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</si>
  <si>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</si>
  <si>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</si>
  <si>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</si>
  <si>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</si>
  <si>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</si>
  <si>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</si>
  <si>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</si>
  <si>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</si>
  <si>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</si>
  <si>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</si>
  <si>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</si>
  <si>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</si>
  <si>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</si>
  <si>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</si>
  <si>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</si>
  <si>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</si>
  <si>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</si>
  <si>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</si>
  <si>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</si>
  <si>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</si>
  <si>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</si>
  <si>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</si>
  <si>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</si>
  <si>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</si>
  <si>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</si>
  <si>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</si>
  <si>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</si>
  <si>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</si>
  <si>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</si>
  <si>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</si>
  <si>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</si>
  <si>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</si>
  <si>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</si>
  <si>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</si>
  <si>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</si>
  <si>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</si>
  <si>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</si>
  <si>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</si>
  <si>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</si>
  <si>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</si>
  <si>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</si>
  <si>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</si>
  <si>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</si>
  <si>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</si>
  <si>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</si>
  <si>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</si>
  <si>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</si>
  <si>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</si>
  <si>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</si>
  <si>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</si>
  <si>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</si>
  <si>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</si>
  <si>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</si>
  <si>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</si>
  <si>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</si>
  <si>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</si>
  <si>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</si>
  <si>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</si>
  <si>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</si>
  <si>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</si>
  <si>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</si>
  <si>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</si>
  <si>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</si>
  <si>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</si>
  <si>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</si>
  <si>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</si>
  <si>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</si>
  <si>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</si>
  <si>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</si>
  <si>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</si>
  <si>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</si>
  <si>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</si>
  <si>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</si>
  <si>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</si>
  <si>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</si>
  <si>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</si>
  <si>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</si>
  <si>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</si>
  <si>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</si>
  <si>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</si>
  <si>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</si>
  <si>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</si>
  <si>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</si>
  <si>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</si>
  <si>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</si>
  <si>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</si>
  <si>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</si>
  <si>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</si>
  <si>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</si>
  <si>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</si>
  <si>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</si>
  <si>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</si>
  <si>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</si>
  <si>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</si>
  <si>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</si>
  <si>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</si>
  <si>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</si>
  <si>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</si>
  <si>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</si>
  <si>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</si>
  <si>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</si>
  <si>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</si>
  <si>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</si>
  <si>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</si>
  <si>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</si>
  <si>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</si>
  <si>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</si>
  <si>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</si>
  <si>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</si>
  <si>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</si>
  <si>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</si>
  <si>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</si>
  <si>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</si>
  <si>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</si>
  <si>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</si>
  <si>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</si>
  <si>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</si>
  <si>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</si>
  <si>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</si>
  <si>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</si>
  <si>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</si>
  <si>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</si>
  <si>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</si>
  <si>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</si>
  <si>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</si>
  <si>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</si>
  <si>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</si>
  <si>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</si>
  <si>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</si>
  <si>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</si>
  <si>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</si>
  <si>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</si>
  <si>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</si>
  <si>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</si>
  <si>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</si>
  <si>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</si>
  <si>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</si>
  <si>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</si>
  <si>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</si>
  <si>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</si>
  <si>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</si>
  <si>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</si>
  <si>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</si>
  <si>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</si>
  <si>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</si>
  <si>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</si>
  <si>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</si>
  <si>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</si>
  <si>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</si>
  <si>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</si>
  <si>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</si>
  <si>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</si>
  <si>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</si>
  <si>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</si>
  <si>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</si>
  <si>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</si>
  <si>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</si>
  <si>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</si>
  <si>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</si>
  <si>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</si>
  <si>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</si>
  <si>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</si>
  <si>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</si>
  <si>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</si>
  <si>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</si>
  <si>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</si>
  <si>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</si>
  <si>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</si>
  <si>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</si>
  <si>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</si>
  <si>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</si>
  <si>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</si>
  <si>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</si>
  <si>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</si>
  <si>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</si>
  <si>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</si>
  <si>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</si>
  <si>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</si>
  <si>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</si>
  <si>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</si>
  <si>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</si>
  <si>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</si>
  <si>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</si>
  <si>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</si>
  <si>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</si>
  <si>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</si>
  <si>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</si>
  <si>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</si>
  <si>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</si>
  <si>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</si>
  <si>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</si>
  <si>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</si>
  <si>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</si>
  <si>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</si>
  <si>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</si>
  <si>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</si>
  <si>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</si>
  <si>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</si>
  <si>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</si>
  <si>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</si>
  <si>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</si>
  <si>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</si>
  <si>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</si>
  <si>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</si>
  <si>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</si>
  <si>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</si>
  <si>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</si>
  <si>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</si>
  <si>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</si>
  <si>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</si>
  <si>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</si>
  <si>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</si>
  <si>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</si>
  <si>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</si>
  <si>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</si>
  <si>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</si>
  <si>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</si>
  <si>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</si>
  <si>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</si>
  <si>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</si>
  <si>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</si>
  <si>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</si>
  <si>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</si>
  <si>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</si>
  <si>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</si>
  <si>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</si>
  <si>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</si>
  <si>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</si>
  <si>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</si>
  <si>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</si>
  <si>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</si>
  <si>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</si>
  <si>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</si>
  <si>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</si>
  <si>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</si>
  <si>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</si>
  <si>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</si>
  <si>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</si>
  <si>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</si>
  <si>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</si>
  <si>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</si>
  <si>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</si>
  <si>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</si>
  <si>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</si>
  <si>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</si>
  <si>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</si>
  <si>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</si>
  <si>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</si>
  <si>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</si>
  <si>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</si>
  <si>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</si>
  <si>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</si>
  <si>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</si>
  <si>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</si>
  <si>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</si>
  <si>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</si>
  <si>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</si>
  <si>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</si>
  <si>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</si>
  <si>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</si>
  <si>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</si>
  <si>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</si>
  <si>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</si>
  <si>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</si>
  <si>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</si>
  <si>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</si>
  <si>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</si>
  <si>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</si>
  <si>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</si>
  <si>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</si>
  <si>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</si>
  <si>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</si>
  <si>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</si>
  <si>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</si>
  <si>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</si>
  <si>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</si>
  <si>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</si>
  <si>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</si>
  <si>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</si>
  <si>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</si>
  <si>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</si>
  <si>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</si>
  <si>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</si>
  <si>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</si>
  <si>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</si>
  <si>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</si>
  <si>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</si>
  <si>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</si>
  <si>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</si>
  <si>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</si>
  <si>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</si>
  <si>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</si>
  <si>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</si>
  <si>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</si>
  <si>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</si>
  <si>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</si>
  <si>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</si>
  <si>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</si>
  <si>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</si>
  <si>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</si>
  <si>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</si>
  <si>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</si>
  <si>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</si>
  <si>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</si>
  <si>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</si>
  <si>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</si>
  <si>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</si>
  <si>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</si>
  <si>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</si>
  <si>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</si>
  <si>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</si>
  <si>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</si>
  <si>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</si>
  <si>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</si>
  <si>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</si>
  <si>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</si>
  <si>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</si>
  <si>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</si>
  <si>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</si>
  <si>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</si>
  <si>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</si>
  <si>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</si>
  <si>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</si>
  <si>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</si>
  <si>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</si>
  <si>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</si>
  <si>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</si>
  <si>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</si>
  <si>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</si>
  <si>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</si>
  <si>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</si>
  <si>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</si>
  <si>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</si>
  <si>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</si>
  <si>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</si>
  <si>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</si>
  <si>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</si>
  <si>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</si>
  <si>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</si>
  <si>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</si>
  <si>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</si>
  <si>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</si>
  <si>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</si>
  <si>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</si>
  <si>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</si>
  <si>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</si>
  <si>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</si>
  <si>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</si>
  <si>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</si>
  <si>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</si>
  <si>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</si>
  <si>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</si>
  <si>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</si>
  <si>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</si>
  <si>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</si>
  <si>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</si>
  <si>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</si>
  <si>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</si>
  <si>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</si>
  <si>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</si>
  <si>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</si>
  <si>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</si>
  <si>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</si>
  <si>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</si>
  <si>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</si>
  <si>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</si>
  <si>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</si>
  <si>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</si>
  <si>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</si>
  <si>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</si>
  <si>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</si>
  <si>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</si>
  <si>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</si>
  <si>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</si>
  <si>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</si>
  <si>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</si>
  <si>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</si>
  <si>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</si>
  <si>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</si>
  <si>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</si>
  <si>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</si>
  <si>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</si>
  <si>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</si>
  <si>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</si>
  <si>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</si>
  <si>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</si>
  <si>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</si>
  <si>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</si>
  <si>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</si>
  <si>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</si>
  <si>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</si>
  <si>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</si>
  <si>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</si>
  <si>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</si>
  <si>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</si>
  <si>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</si>
  <si>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</si>
  <si>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</si>
  <si>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</si>
  <si>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</si>
  <si>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</si>
  <si>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</si>
  <si>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</si>
  <si>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</si>
  <si>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</si>
  <si>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</si>
  <si>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</si>
  <si>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</si>
  <si>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</si>
  <si>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</si>
  <si>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</si>
  <si>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</si>
  <si>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</si>
  <si>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</si>
  <si>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</si>
  <si>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</si>
  <si>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</si>
  <si>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</si>
  <si>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</si>
  <si>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</si>
  <si>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</si>
  <si>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</si>
  <si>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</si>
  <si>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</si>
  <si>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</si>
  <si>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</si>
  <si>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</si>
  <si>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</si>
  <si>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</si>
  <si>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</si>
  <si>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</si>
  <si>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</si>
  <si>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</si>
  <si>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</si>
  <si>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</si>
  <si>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</si>
  <si>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</si>
  <si>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</si>
  <si>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</si>
  <si>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</si>
  <si>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</si>
  <si>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</si>
  <si>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</si>
  <si>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</si>
  <si>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</si>
  <si>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</si>
  <si>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</si>
  <si>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</si>
  <si>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</si>
  <si>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</si>
  <si>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</si>
  <si>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</si>
  <si>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</si>
  <si>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</si>
  <si>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</si>
  <si>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</si>
  <si>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</si>
  <si>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</si>
  <si>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</si>
  <si>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</si>
  <si>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</si>
  <si>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</si>
  <si>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</si>
  <si>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</si>
  <si>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</si>
  <si>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</si>
  <si>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</si>
  <si>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</si>
  <si>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</si>
  <si>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</si>
  <si>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</si>
  <si>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</si>
  <si>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</si>
  <si>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</si>
  <si>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</si>
  <si>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</si>
  <si>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</si>
  <si>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</si>
  <si>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</si>
  <si>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</si>
  <si>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</si>
  <si>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</si>
  <si>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</si>
  <si>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</si>
  <si>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</si>
  <si>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</si>
  <si>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</si>
  <si>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</si>
  <si>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</si>
  <si>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</si>
  <si>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</si>
  <si>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</si>
  <si>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</si>
  <si>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</si>
  <si>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</si>
  <si>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</si>
  <si>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</si>
  <si>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</si>
  <si>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</si>
  <si>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</si>
  <si>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</si>
  <si>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</si>
  <si>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</si>
  <si>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</si>
  <si>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</si>
  <si>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</si>
  <si>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</si>
  <si>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</si>
  <si>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</si>
  <si>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</si>
  <si>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</si>
  <si>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</si>
  <si>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</si>
  <si>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</si>
  <si>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</si>
  <si>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</si>
  <si>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</si>
  <si>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</si>
  <si>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</si>
  <si>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</si>
  <si>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</si>
  <si>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</si>
  <si>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</si>
  <si>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</si>
  <si>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</si>
  <si>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</si>
  <si>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</si>
  <si>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</si>
  <si>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</si>
  <si>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</si>
  <si>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</si>
  <si>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</si>
  <si>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</si>
  <si>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</si>
  <si>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</si>
  <si>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</si>
  <si>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</si>
  <si>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</si>
  <si>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</si>
  <si>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</si>
  <si>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</si>
  <si>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</si>
  <si>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</si>
  <si>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</si>
  <si>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</si>
  <si>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</si>
  <si>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</si>
  <si>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</si>
  <si>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</si>
  <si>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</si>
  <si>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</si>
  <si>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</si>
  <si>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</si>
  <si>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</si>
  <si>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</si>
  <si>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</si>
  <si>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</si>
  <si>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</si>
  <si>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大兴区新源大街25号院1号楼、2号楼、13号楼和28幢抵押物清单</t>
    <phoneticPr fontId="143"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</si>
  <si>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</si>
  <si>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</si>
  <si>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</si>
  <si>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</si>
  <si>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</si>
  <si>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</si>
  <si>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</si>
  <si>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</si>
  <si>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</si>
  <si>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</si>
  <si>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</si>
  <si>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</si>
  <si>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</si>
  <si>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</si>
  <si>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</si>
  <si>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</si>
  <si>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</si>
  <si>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</si>
  <si>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</si>
  <si>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</si>
  <si>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</si>
  <si>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</si>
  <si>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</si>
  <si>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</si>
  <si>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</si>
  <si>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</si>
  <si>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</si>
  <si>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</si>
  <si>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</si>
  <si>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</si>
  <si>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</si>
  <si>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</si>
  <si>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</si>
  <si>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</si>
  <si>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</si>
  <si>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</si>
  <si>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</si>
  <si>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</si>
  <si>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</si>
  <si>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</si>
  <si>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</si>
  <si>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</si>
  <si>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</si>
  <si>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</si>
  <si>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</si>
  <si>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</si>
  <si>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</si>
  <si>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</si>
  <si>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</si>
  <si>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</si>
  <si>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</si>
  <si>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</si>
  <si>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</si>
  <si>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</si>
  <si>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</si>
  <si>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</si>
  <si>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</si>
  <si>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</si>
  <si>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</si>
  <si>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</si>
  <si>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</si>
  <si>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</si>
  <si>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</si>
  <si>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</si>
  <si>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</si>
  <si>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</si>
  <si>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</si>
  <si>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</si>
  <si>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</si>
  <si>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</si>
  <si>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</si>
  <si>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</si>
  <si>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</si>
  <si>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</si>
  <si>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</si>
  <si>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</si>
  <si>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</si>
  <si>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</si>
  <si>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</si>
  <si>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</si>
  <si>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</si>
  <si>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</si>
  <si>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</si>
  <si>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</si>
  <si>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</si>
  <si>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</si>
  <si>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</si>
  <si>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</si>
  <si>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</si>
  <si>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</si>
  <si>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</si>
  <si>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</si>
  <si>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</si>
  <si>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</si>
  <si>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</si>
  <si>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</si>
  <si>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3" type="noConversion"/>
  </si>
  <si>
    <t>-</t>
    <phoneticPr fontId="143" type="noConversion"/>
  </si>
  <si>
    <t>-</t>
    <phoneticPr fontId="143"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</si>
  <si>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</si>
  <si>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</si>
  <si>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</si>
  <si>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</si>
  <si>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</si>
  <si>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</si>
  <si>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3" type="noConversion"/>
  </si>
  <si>
    <t>-</t>
    <phoneticPr fontId="143" type="noConversion"/>
  </si>
  <si>
    <t>25幢</t>
  </si>
  <si>
    <t>合计</t>
    <phoneticPr fontId="143" type="noConversion"/>
  </si>
  <si>
    <t>-</t>
    <phoneticPr fontId="143" type="noConversion"/>
  </si>
  <si>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</si>
  <si>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</si>
  <si>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</si>
  <si>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</si>
  <si>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</si>
  <si>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</si>
  <si>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</si>
  <si>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</si>
  <si>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</si>
  <si>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</si>
  <si>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</si>
  <si>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</si>
  <si>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</si>
  <si>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</si>
  <si>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</si>
  <si>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</si>
  <si>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</si>
  <si>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</si>
  <si>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</si>
  <si>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</si>
  <si>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</si>
  <si>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</si>
  <si>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</si>
  <si>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</si>
  <si>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</si>
  <si>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</si>
  <si>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</si>
  <si>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</si>
  <si>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</si>
  <si>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</si>
  <si>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</si>
  <si>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</si>
  <si>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</si>
  <si>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</si>
  <si>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</si>
  <si>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</si>
  <si>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</si>
  <si>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</si>
  <si>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</si>
  <si>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</si>
  <si>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</si>
  <si>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</si>
  <si>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</si>
  <si>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</si>
  <si>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</si>
  <si>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</si>
  <si>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</si>
  <si>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</si>
  <si>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</si>
  <si>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</si>
  <si>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</si>
  <si>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</si>
  <si>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</si>
  <si>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</si>
  <si>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</si>
  <si>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</si>
  <si>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</si>
  <si>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</si>
  <si>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</si>
  <si>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</si>
  <si>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</si>
  <si>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</si>
  <si>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</si>
  <si>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</si>
  <si>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</si>
  <si>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</si>
  <si>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</si>
  <si>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</si>
  <si>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</si>
  <si>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</si>
  <si>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</si>
  <si>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</si>
  <si>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</si>
  <si>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</si>
  <si>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</si>
  <si>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</si>
  <si>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</si>
  <si>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</si>
  <si>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</si>
  <si>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</si>
  <si>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</si>
  <si>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</si>
  <si>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</si>
  <si>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</si>
  <si>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</si>
  <si>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</si>
  <si>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</si>
  <si>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</si>
  <si>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</si>
  <si>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</si>
  <si>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</si>
  <si>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</si>
  <si>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</si>
  <si>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</si>
  <si>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</si>
  <si>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</si>
  <si>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</si>
  <si>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</si>
  <si>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</si>
  <si>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</si>
  <si>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</si>
  <si>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</si>
  <si>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</si>
  <si>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</si>
  <si>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</si>
  <si>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</si>
  <si>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</si>
  <si>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</si>
  <si>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</si>
  <si>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</si>
  <si>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</si>
  <si>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</si>
  <si>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</si>
  <si>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</si>
  <si>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</si>
  <si>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</si>
  <si>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</si>
  <si>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</si>
  <si>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</si>
  <si>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</si>
  <si>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</si>
  <si>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</si>
  <si>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</si>
  <si>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</si>
  <si>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</si>
  <si>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</si>
  <si>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</si>
  <si>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</si>
  <si>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</si>
  <si>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</si>
  <si>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</si>
  <si>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</si>
  <si>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</si>
  <si>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</si>
  <si>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</si>
  <si>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</si>
  <si>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</si>
  <si>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</si>
  <si>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</si>
  <si>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</si>
  <si>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</si>
  <si>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</si>
  <si>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</si>
  <si>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</si>
  <si>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</si>
  <si>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</si>
  <si>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</si>
  <si>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</si>
  <si>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</si>
  <si>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</si>
  <si>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</si>
  <si>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</si>
  <si>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</si>
  <si>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</si>
  <si>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</si>
  <si>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</si>
  <si>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</si>
  <si>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</si>
  <si>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</si>
  <si>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</si>
  <si>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</si>
  <si>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</si>
  <si>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</si>
  <si>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</si>
  <si>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</si>
  <si>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</si>
  <si>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</si>
  <si>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</si>
  <si>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</si>
  <si>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</si>
  <si>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</si>
  <si>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</si>
  <si>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</si>
  <si>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</si>
  <si>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</si>
  <si>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</si>
  <si>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</si>
  <si>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</si>
  <si>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</si>
  <si>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</si>
  <si>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</si>
  <si>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</si>
  <si>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</si>
  <si>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</si>
  <si>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</si>
  <si>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</si>
  <si>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</si>
  <si>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</si>
  <si>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</si>
  <si>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</si>
  <si>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</si>
  <si>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</si>
  <si>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</si>
  <si>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</si>
  <si>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</si>
  <si>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</si>
  <si>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</si>
  <si>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</si>
  <si>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</si>
  <si>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</si>
  <si>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</si>
  <si>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</si>
  <si>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</si>
  <si>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</si>
  <si>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</si>
  <si>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</si>
  <si>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</si>
  <si>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</si>
  <si>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</si>
  <si>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</si>
  <si>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</si>
  <si>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</si>
  <si>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</si>
  <si>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</si>
  <si>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</si>
  <si>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</si>
  <si>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</si>
  <si>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</si>
  <si>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</si>
  <si>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</si>
  <si>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</si>
  <si>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</si>
  <si>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</si>
  <si>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</si>
  <si>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</si>
  <si>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</si>
  <si>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</si>
  <si>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</si>
  <si>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</si>
  <si>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</si>
  <si>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</si>
  <si>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</si>
  <si>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</si>
  <si>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</si>
  <si>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</si>
  <si>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</si>
  <si>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</si>
  <si>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</si>
  <si>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</si>
  <si>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</si>
  <si>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</si>
  <si>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</si>
  <si>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</si>
  <si>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</si>
  <si>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</si>
  <si>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</si>
  <si>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</si>
  <si>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</si>
  <si>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</si>
  <si>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</si>
  <si>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</si>
  <si>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</si>
  <si>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</si>
  <si>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</si>
  <si>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</si>
  <si>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</si>
  <si>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</si>
  <si>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</si>
  <si>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</si>
  <si>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</si>
  <si>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</si>
  <si>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</si>
  <si>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单价</t>
    <phoneticPr fontId="143" type="noConversion"/>
  </si>
  <si>
    <t>总价</t>
    <phoneticPr fontId="143" type="noConversion"/>
  </si>
  <si>
    <t>——</t>
    <phoneticPr fontId="143" type="noConversion"/>
  </si>
  <si>
    <t>——</t>
    <phoneticPr fontId="143" type="noConversion"/>
  </si>
  <si>
    <t>评估值</t>
  </si>
  <si>
    <t>评估值</t>
    <phoneticPr fontId="143" type="noConversion"/>
  </si>
  <si>
    <t>办公</t>
    <phoneticPr fontId="143" type="noConversion"/>
  </si>
  <si>
    <t>商业</t>
    <phoneticPr fontId="143" type="noConversion"/>
  </si>
  <si>
    <t>车库</t>
    <phoneticPr fontId="143" type="noConversion"/>
  </si>
  <si>
    <t>总评估值</t>
    <phoneticPr fontId="143" type="noConversion"/>
  </si>
  <si>
    <t>去掉最后一套</t>
    <phoneticPr fontId="143" type="noConversion"/>
  </si>
  <si>
    <t>合计</t>
    <phoneticPr fontId="143" type="noConversion"/>
  </si>
  <si>
    <t>-</t>
    <phoneticPr fontId="143" type="noConversion"/>
  </si>
  <si>
    <t>=</t>
    <phoneticPr fontId="143" type="noConversion"/>
  </si>
  <si>
    <t>商业</t>
    <phoneticPr fontId="143" type="noConversion"/>
  </si>
  <si>
    <t>一层商业单价</t>
    <phoneticPr fontId="143" type="noConversion"/>
  </si>
  <si>
    <t>地下商业单价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</si>
</sst>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00" fillId="0" borderId="1" xfId="0" applyFont="1" applyBorder="1" applyAlignment="1">
      <alignment horizontal="center"/>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0" fontId="100" fillId="5"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13" fillId="0" borderId="1" xfId="0" applyFont="1" applyBorder="1" applyAlignment="1">
      <alignment horizontal="center"/>
    </xf>
    <xf numFmtId="0" fontId="100" fillId="5" borderId="1" xfId="0" applyFont="1" applyFill="1" applyBorder="1" applyAlignment="1">
      <alignment horizontal="center"/>
    </xf>
    <xf numFmtId="0" fontId="119" fillId="5" borderId="1" xfId="0" applyFont="1" applyFill="1" applyBorder="1" applyAlignment="1">
      <alignment horizontal="center"/>
    </xf>
    <xf numFmtId="0" fontId="100" fillId="17" borderId="1" xfId="0" applyFont="1" applyFill="1" applyBorder="1" applyAlignment="1">
      <alignment horizontal="center"/>
    </xf>
    <xf numFmtId="0" fontId="100" fillId="17" borderId="1" xfId="3" applyNumberFormat="1" applyFont="1" applyFill="1" applyBorder="1" applyAlignment="1">
      <alignment horizontal="center" vertical="center" wrapText="1"/>
    </xf>
    <xf numFmtId="0" fontId="99" fillId="0" borderId="1" xfId="3" applyBorder="1" applyAlignment="1">
      <alignment horizontal="center" vertical="center"/>
    </xf>
    <xf numFmtId="176" fontId="100" fillId="0" borderId="15" xfId="0" applyNumberFormat="1" applyFont="1" applyFill="1" applyBorder="1" applyAlignment="1">
      <alignment horizontal="center"/>
    </xf>
    <xf numFmtId="0" fontId="99" fillId="0" borderId="1" xfId="0" applyFont="1" applyBorder="1" applyAlignment="1">
      <alignment horizontal="center" vertical="center"/>
    </xf>
    <xf numFmtId="176"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99" fillId="0" borderId="1" xfId="3" applyFill="1" applyBorder="1" applyAlignment="1">
      <alignment horizontal="center" vertical="center"/>
    </xf>
    <xf numFmtId="0" fontId="100" fillId="5" borderId="1" xfId="3" applyFont="1" applyFill="1" applyBorder="1" applyAlignment="1">
      <alignment horizontal="center" vertical="center"/>
    </xf>
    <xf numFmtId="49" fontId="98" fillId="0" borderId="1" xfId="3" applyNumberFormat="1" applyFont="1" applyFill="1" applyBorder="1" applyAlignment="1" applyProtection="1">
      <alignment horizontal="center" vertical="center" shrinkToFit="1"/>
    </xf>
    <xf numFmtId="0" fontId="99" fillId="0" borderId="1" xfId="3" applyNumberFormat="1" applyFont="1" applyFill="1" applyBorder="1" applyAlignment="1">
      <alignment horizontal="center" vertical="center" wrapText="1"/>
    </xf>
    <xf numFmtId="197" fontId="19" fillId="0" borderId="1" xfId="0" applyNumberFormat="1" applyFont="1" applyFill="1" applyBorder="1" applyAlignment="1" applyProtection="1">
      <alignment horizontal="center" vertical="center" shrinkToFi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99" fillId="0" borderId="1" xfId="0" applyFont="1" applyFill="1" applyBorder="1" applyAlignment="1">
      <alignment horizont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99" fillId="0" borderId="1" xfId="0" applyFont="1" applyBorder="1" applyAlignment="1"/>
    <xf numFmtId="0" fontId="0" fillId="9" borderId="0" xfId="0" applyFill="1" applyAlignment="1"/>
    <xf numFmtId="0" fontId="99" fillId="9" borderId="1" xfId="0" applyFont="1" applyFill="1" applyBorder="1" applyAlignment="1">
      <alignment horizontal="center" vertical="center"/>
    </xf>
    <xf numFmtId="179" fontId="19"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0" borderId="1" xfId="0" applyFont="1" applyFill="1" applyBorder="1" applyAlignment="1">
      <alignment horizontal="center" vertical="center"/>
    </xf>
    <xf numFmtId="0" fontId="99" fillId="0" borderId="1" xfId="0" applyFont="1" applyFill="1" applyBorder="1" applyAlignment="1"/>
    <xf numFmtId="0" fontId="113"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0" fillId="18" borderId="1" xfId="0" applyFill="1" applyBorder="1" applyAlignment="1">
      <alignment horizontal="center" vertical="center"/>
    </xf>
    <xf numFmtId="0" fontId="19" fillId="18" borderId="1" xfId="0" applyNumberFormat="1" applyFont="1" applyFill="1" applyBorder="1" applyAlignment="1" applyProtection="1">
      <alignment horizontal="center" vertical="center" shrinkToFit="1"/>
    </xf>
    <xf numFmtId="0" fontId="0" fillId="18" borderId="1" xfId="0" applyFill="1" applyBorder="1" applyAlignment="1"/>
    <xf numFmtId="0" fontId="0" fillId="18" borderId="0" xfId="0" applyFill="1" applyAlignment="1"/>
    <xf numFmtId="0" fontId="99" fillId="18" borderId="1" xfId="0" applyFont="1" applyFill="1" applyBorder="1" applyAlignment="1">
      <alignment horizontal="center" vertical="center"/>
    </xf>
    <xf numFmtId="0" fontId="47" fillId="18" borderId="23" xfId="0" applyFont="1" applyFill="1" applyBorder="1" applyAlignment="1" applyProtection="1">
      <alignment vertical="center"/>
      <protection locked="0"/>
    </xf>
    <xf numFmtId="17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99"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3" applyFont="1" applyFill="1" applyBorder="1" applyAlignment="1">
      <alignment horizontal="center" vertical="center"/>
    </xf>
    <xf numFmtId="0" fontId="99" fillId="7" borderId="1" xfId="0" applyFont="1" applyFill="1" applyBorder="1" applyAlignment="1">
      <alignment horizontal="center" vertical="center"/>
    </xf>
    <xf numFmtId="0" fontId="0" fillId="0" borderId="13" xfId="0" applyBorder="1" applyAlignment="1">
      <alignment horizontal="center" vertical="center"/>
    </xf>
    <xf numFmtId="0" fontId="0" fillId="0" borderId="13" xfId="3" applyFont="1" applyBorder="1" applyAlignment="1">
      <alignment horizontal="center" vertical="center"/>
    </xf>
    <xf numFmtId="0" fontId="100" fillId="5" borderId="1" xfId="0" applyFont="1" applyFill="1" applyBorder="1" applyAlignment="1">
      <alignment horizontal="center"/>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Fill="1" applyBorder="1" applyAlignment="1">
      <alignment horizontal="center" vertical="center"/>
    </xf>
    <xf numFmtId="0" fontId="100" fillId="0" borderId="1" xfId="0" applyFont="1" applyBorder="1" applyAlignment="1">
      <alignment horizontal="center"/>
    </xf>
    <xf numFmtId="0" fontId="0" fillId="0" borderId="13" xfId="0" applyFill="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 xfId="3" applyFont="1" applyFill="1" applyBorder="1" applyAlignment="1">
      <alignment horizontal="center" vertical="center"/>
    </xf>
    <xf numFmtId="0" fontId="100" fillId="5" borderId="54"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估价对象为北京市大兴区黄村镇房地产，为所有。根据《国有土地使用证》，估价对象（分摊）出让国有建设用地使用权面积为2729.33平方米，建筑面积为16965.74平方米。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估价对象为北京市大兴区黄村镇房地产,属开发建设的，该项目尚在开发建设中。根据《国有土地使用证》，估价对象（分摊）出让国有建设用地使用权面积为2729.33平方米，规划建筑面积为16965.74平方米。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2018年3月23日（评估专业人员实地查勘之日）</v>
      </c>
    </row>
    <row r="13" spans="1:2" s="1589" customFormat="1">
      <c r="A13" s="1587" t="s">
        <v>1227</v>
      </c>
      <c r="B13" s="1588" t="str">
        <f>'预评函-1'!A18</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57078</v>
      </c>
    </row>
    <row r="21" spans="1:2" s="1589" customFormat="1">
      <c r="A21" s="1587" t="s">
        <v>1235</v>
      </c>
      <c r="B21" s="1588">
        <f ca="1">'预评函-2'!D7</f>
        <v>43650</v>
      </c>
    </row>
    <row r="22" spans="1:2" s="1589" customFormat="1">
      <c r="A22" s="1587" t="s">
        <v>1236</v>
      </c>
      <c r="B22" s="1588" t="str">
        <f ca="1">'预评函-2'!D6</f>
        <v>伍亿柒仟零柒拾捌万元整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57078</v>
      </c>
    </row>
    <row r="35" spans="1:2" s="1589" customFormat="1">
      <c r="A35" s="1587" t="s">
        <v>1275</v>
      </c>
      <c r="B35" s="1588">
        <f ca="1">'预评函-2'!D18</f>
        <v>33643</v>
      </c>
    </row>
    <row r="36" spans="1:2" s="1589" customFormat="1">
      <c r="A36" s="1587" t="s">
        <v>1242</v>
      </c>
      <c r="B36" s="1588" t="str">
        <f ca="1">'预评函-2'!D17</f>
        <v>伍亿柒仟零柒拾捌万元整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16965.740000000005</v>
      </c>
    </row>
    <row r="44" spans="1:2" s="1589" customFormat="1">
      <c r="A44" s="1587" t="s">
        <v>1273</v>
      </c>
      <c r="B44" s="1588" t="str">
        <f>'预评函-3'!C2</f>
        <v>(分摊)土地面积</v>
      </c>
    </row>
    <row r="45" spans="1:2" s="1589" customFormat="1">
      <c r="A45" s="1587" t="s">
        <v>1245</v>
      </c>
      <c r="B45" s="1588">
        <f>'预评函-3'!C4</f>
        <v>2729.33</v>
      </c>
    </row>
    <row r="46" spans="1:2" s="1589" customFormat="1">
      <c r="A46" s="1587" t="s">
        <v>1271</v>
      </c>
      <c r="B46" s="1588" t="str">
        <f>'预评函-3'!D2</f>
        <v>出让国有建设用地使用权价值</v>
      </c>
    </row>
    <row r="47" spans="1:2" s="1589" customFormat="1">
      <c r="A47" s="1587" t="s">
        <v>1246</v>
      </c>
      <c r="B47" s="1588">
        <f ca="1">'预评函-3'!D4</f>
        <v>49087</v>
      </c>
    </row>
    <row r="48" spans="1:2" s="1589" customFormat="1">
      <c r="A48" s="1587" t="s">
        <v>1247</v>
      </c>
      <c r="B48" s="1588">
        <f ca="1">'预评函-3'!E4</f>
        <v>37539</v>
      </c>
    </row>
    <row r="49" spans="1:2" s="1589" customFormat="1">
      <c r="A49" s="1587" t="s">
        <v>1248</v>
      </c>
      <c r="B49" s="1588" t="str">
        <f ca="1">'预评函-3'!D5</f>
        <v>肆亿玖仟零捌拾柒万元整</v>
      </c>
    </row>
    <row r="50" spans="1:2" s="1589" customFormat="1">
      <c r="A50" s="1587" t="s">
        <v>1272</v>
      </c>
      <c r="B50" s="1588" t="str">
        <f>'预评函-3'!F2</f>
        <v>在建建筑物价值</v>
      </c>
    </row>
    <row r="51" spans="1:2" s="1589" customFormat="1">
      <c r="A51" s="1587" t="s">
        <v>1249</v>
      </c>
      <c r="B51" s="1588">
        <f ca="1">'预评函-3'!F4</f>
        <v>7991</v>
      </c>
    </row>
    <row r="52" spans="1:2" s="1589" customFormat="1">
      <c r="A52" s="1587" t="s">
        <v>1250</v>
      </c>
      <c r="B52" s="1588">
        <f ca="1">'预评函-3'!G4</f>
        <v>6111</v>
      </c>
    </row>
    <row r="53" spans="1:2" s="1589" customFormat="1">
      <c r="A53" s="1587" t="s">
        <v>1278</v>
      </c>
      <c r="B53" s="1588" t="str">
        <f ca="1">'预评函-3'!F5</f>
        <v>柒仟玖佰玖拾壹万元整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3420</v>
      </c>
      <c r="C17" s="2011"/>
    </row>
    <row r="18" spans="1:3">
      <c r="A18" s="2010" t="s">
        <v>1767</v>
      </c>
      <c r="B18" s="2010" t="s">
        <v>3422</v>
      </c>
      <c r="C18" s="2011"/>
    </row>
    <row r="19" spans="1:3">
      <c r="A19" s="2010" t="s">
        <v>1768</v>
      </c>
      <c r="B19" s="2010"/>
      <c r="C19" s="2011"/>
    </row>
    <row r="20" spans="1:3">
      <c r="A20" s="2010" t="s">
        <v>1769</v>
      </c>
      <c r="B20" s="2010" t="s">
        <v>3426</v>
      </c>
      <c r="C20" s="2011"/>
    </row>
    <row r="21" spans="1:3">
      <c r="A21" s="2010" t="s">
        <v>1770</v>
      </c>
      <c r="B21" s="2010" t="s">
        <v>3428</v>
      </c>
      <c r="C21" s="2011"/>
    </row>
    <row r="22" spans="1:3">
      <c r="A22" s="2010" t="s">
        <v>1771</v>
      </c>
      <c r="B22" s="2010" t="s">
        <v>3430</v>
      </c>
      <c r="C22" s="2011"/>
    </row>
    <row r="23" spans="1:3">
      <c r="A23" s="2010" t="s">
        <v>1772</v>
      </c>
      <c r="B23" s="2010" t="s">
        <v>3424</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0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07"/>
      <c r="B54" s="2018" t="s">
        <v>864</v>
      </c>
      <c r="C54" s="2015" t="s">
        <v>1281</v>
      </c>
    </row>
    <row r="55" spans="1:4">
      <c r="A55" s="3107"/>
      <c r="B55" s="2018" t="s">
        <v>865</v>
      </c>
      <c r="C55" s="2015" t="s">
        <v>1282</v>
      </c>
    </row>
    <row r="56" spans="1:4">
      <c r="A56" s="3107"/>
      <c r="B56" s="2018" t="s">
        <v>866</v>
      </c>
      <c r="C56" s="2015" t="s">
        <v>1286</v>
      </c>
    </row>
    <row r="57" spans="1:4">
      <c r="A57" s="310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116" t="str">
        <f>IF(B10="北京市","北京市",C10)&amp;F10&amp;IF('结果表（办公）'!G1="在建","出让国有建设用地使用权及在建建筑物",IF('结果表（办公）'!G1="土地","出让国有建设用地使用权",))&amp;B9&amp;"预评估"</f>
        <v>北京市大兴区黄村镇房地产抵押价值预评估</v>
      </c>
      <c r="C1" s="3117"/>
      <c r="D1" s="3117"/>
      <c r="E1" s="3117"/>
      <c r="F1" s="3117"/>
      <c r="G1" s="3117"/>
      <c r="H1" s="3117"/>
      <c r="I1" s="3118"/>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43182</v>
      </c>
      <c r="C3" s="2033" t="s">
        <v>1779</v>
      </c>
      <c r="D3" s="2032">
        <f>B3</f>
        <v>43182</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3438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119"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120"/>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36.19</v>
      </c>
      <c r="F15" s="1045">
        <f>IF(B12="出让",IF(F13="","",ROUNDDOWN(MIN((F13-$D$3)/365,F14),2)),F14)</f>
        <v>46.2</v>
      </c>
      <c r="G15" s="1045">
        <f>IF(B12="出让",IF(G13="","",ROUNDDOWN(MIN((G13-$D$3)/365,G14),2)),G14)</f>
        <v>46.2</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26" t="s">
        <v>3064</v>
      </c>
      <c r="C16" s="3127"/>
      <c r="D16" s="3128"/>
      <c r="E16" s="2078" t="s">
        <v>1802</v>
      </c>
      <c r="F16" s="3129"/>
      <c r="G16" s="3130"/>
      <c r="H16" s="3130"/>
      <c r="I16" s="3131"/>
      <c r="J16" s="2025"/>
      <c r="K16" s="2075"/>
      <c r="L16" s="2076"/>
      <c r="M16" s="2076"/>
      <c r="N16" s="2077"/>
      <c r="O16" s="2076"/>
      <c r="P16" s="2077"/>
      <c r="Q16" s="2025"/>
      <c r="R16" s="2025"/>
    </row>
    <row r="17" spans="1:22" ht="18" customHeight="1">
      <c r="A17" s="2079" t="s">
        <v>1803</v>
      </c>
      <c r="B17" s="2031" t="s">
        <v>1804</v>
      </c>
      <c r="C17" s="1050">
        <f>'数据-汇总表'!E3</f>
        <v>16965.740000000005</v>
      </c>
      <c r="D17" s="2080" t="s">
        <v>1805</v>
      </c>
      <c r="E17" s="3132" t="s">
        <v>3065</v>
      </c>
      <c r="F17" s="3133"/>
      <c r="G17" s="3133"/>
      <c r="H17" s="3133"/>
      <c r="I17" s="3134"/>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2729.33</v>
      </c>
      <c r="D18" s="2083" t="s">
        <v>1805</v>
      </c>
      <c r="E18" s="3135" t="s">
        <v>3066</v>
      </c>
      <c r="F18" s="3136"/>
      <c r="G18" s="3136"/>
      <c r="H18" s="3136"/>
      <c r="I18" s="3137"/>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122" t="s">
        <v>1812</v>
      </c>
      <c r="C20" s="3123"/>
      <c r="D20" s="3124" t="s">
        <v>1813</v>
      </c>
      <c r="E20" s="3125"/>
      <c r="F20" s="2090" t="s">
        <v>1814</v>
      </c>
      <c r="G20" s="2038"/>
      <c r="H20" s="2038"/>
      <c r="I20" s="2038"/>
      <c r="J20" s="2038"/>
      <c r="K20" s="3121"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1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12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09"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09"/>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09"/>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10"/>
      <c r="B30" s="2031" t="s">
        <v>1831</v>
      </c>
      <c r="C30" s="3111"/>
      <c r="D30" s="3112"/>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13"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14"/>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14"/>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08" t="s">
        <v>1841</v>
      </c>
      <c r="T34" s="2127" t="str">
        <f>NUMBERSTRING(7-K34,1)&amp;"通"</f>
        <v>七通</v>
      </c>
      <c r="U34" s="2025"/>
      <c r="V34" s="2025"/>
    </row>
    <row r="35" spans="1:22" ht="18" customHeight="1">
      <c r="A35" s="2128"/>
      <c r="B35" s="3115" t="s">
        <v>1842</v>
      </c>
      <c r="C35" s="3115"/>
      <c r="D35" s="3115"/>
      <c r="E35" s="3115"/>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08"/>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95" t="s">
        <v>528</v>
      </c>
      <c r="C37" s="2995"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96" t="s">
        <v>3329</v>
      </c>
      <c r="C38" s="2996" t="s">
        <v>3329</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Q1" sqref="Q1:AB104857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000">
        <f>905.22+969.58+384.65+224.88+245</f>
        <v>2729.3300000000004</v>
      </c>
      <c r="B3" s="13">
        <f>IF(C3="否",G5-AT5,G5)</f>
        <v>16965.740000000005</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16965.740000000005</v>
      </c>
      <c r="H5" s="15">
        <f t="shared" ref="H5:AT5" si="0">SUM(H13:H656)</f>
        <v>16965.740000000005</v>
      </c>
      <c r="I5" s="15">
        <f t="shared" si="0"/>
        <v>13076.410000000002</v>
      </c>
      <c r="J5" s="15">
        <f t="shared" si="0"/>
        <v>0</v>
      </c>
      <c r="K5" s="15">
        <f t="shared" si="0"/>
        <v>596.72999999999979</v>
      </c>
      <c r="L5" s="15">
        <f t="shared" si="0"/>
        <v>0</v>
      </c>
      <c r="M5" s="15">
        <f t="shared" si="0"/>
        <v>3026.9400000000051</v>
      </c>
      <c r="N5" s="15">
        <f t="shared" si="0"/>
        <v>0</v>
      </c>
      <c r="O5" s="15">
        <f t="shared" si="0"/>
        <v>265.66000000000003</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16965.740000000005</v>
      </c>
      <c r="BA5" s="17">
        <f t="shared" si="1"/>
        <v>16965.740000000005</v>
      </c>
      <c r="BB5" s="17">
        <f t="shared" si="1"/>
        <v>13076.410000000002</v>
      </c>
      <c r="BC5" s="17">
        <f t="shared" si="1"/>
        <v>596.72999999999979</v>
      </c>
      <c r="BD5" s="17">
        <f t="shared" si="1"/>
        <v>3026.9400000000051</v>
      </c>
      <c r="BE5" s="17">
        <f t="shared" si="1"/>
        <v>265.66000000000003</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2729.3299999999995</v>
      </c>
      <c r="F6" s="15" t="s">
        <v>1</v>
      </c>
      <c r="G6" s="15" t="s">
        <v>2</v>
      </c>
      <c r="H6" s="19">
        <f>SUMIF(I$12:AB$12,"总值",I6:AB6)</f>
        <v>2729.3299999999995</v>
      </c>
      <c r="I6" s="15">
        <f t="shared" ref="I6:AB6" si="2">ROUND($A$3*I5/$B$3,2)</f>
        <v>2103.64</v>
      </c>
      <c r="J6" s="15">
        <f t="shared" si="2"/>
        <v>0</v>
      </c>
      <c r="K6" s="15">
        <f t="shared" si="2"/>
        <v>96</v>
      </c>
      <c r="L6" s="15">
        <f t="shared" si="2"/>
        <v>0</v>
      </c>
      <c r="M6" s="15">
        <f t="shared" si="2"/>
        <v>486.95</v>
      </c>
      <c r="N6" s="15">
        <f t="shared" si="2"/>
        <v>0</v>
      </c>
      <c r="O6" s="15">
        <f t="shared" si="2"/>
        <v>42.74</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2729.33</v>
      </c>
      <c r="AZ6" s="15" t="s">
        <v>3</v>
      </c>
      <c r="BA6" s="15">
        <f>ROUND($AY$6*BA5/$AZ$5,2)</f>
        <v>2729.33</v>
      </c>
      <c r="BB6" s="15">
        <f>ROUND($AY$6*BB5/$AZ$5,2)</f>
        <v>2103.64</v>
      </c>
      <c r="BC6" s="15">
        <f t="shared" ref="BC6:BH6" si="4">ROUND($AY$6*BC5/$AZ$5,2)</f>
        <v>96</v>
      </c>
      <c r="BD6" s="15">
        <f t="shared" si="4"/>
        <v>486.95</v>
      </c>
      <c r="BE6" s="15">
        <f t="shared" si="4"/>
        <v>42.74</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t="s">
        <v>3044</v>
      </c>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3358</v>
      </c>
      <c r="N10" s="977"/>
      <c r="O10" s="2190" t="s">
        <v>1377</v>
      </c>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t="str">
        <f>O9</f>
        <v>地上</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t="s">
        <v>3069</v>
      </c>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t="str">
        <f>O10</f>
        <v>商业</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t="str">
        <f>O11</f>
        <v>底商</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2729.33</v>
      </c>
      <c r="F13" s="31"/>
      <c r="G13" s="32">
        <f>H13+AC13+AT13</f>
        <v>16965.740000000005</v>
      </c>
      <c r="H13" s="19">
        <f>SUMIF(I$12:AB$12,"总值",I13:AB13)</f>
        <v>16965.740000000005</v>
      </c>
      <c r="I13" s="2207">
        <f>面积表!I4</f>
        <v>13076.410000000002</v>
      </c>
      <c r="J13" s="2207"/>
      <c r="K13" s="2207">
        <f>面积表!J4-O13</f>
        <v>596.72999999999979</v>
      </c>
      <c r="L13" s="2207"/>
      <c r="M13" s="2207">
        <f>面积表!K4</f>
        <v>3026.9400000000051</v>
      </c>
      <c r="N13" s="2207"/>
      <c r="O13" s="2207">
        <f>面积表!C429+面积表!C430+面积表!C431+面积表!C432+面积表!C433+面积表!C434+面积表!C435+面积表!C436</f>
        <v>265.66000000000003</v>
      </c>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2729.33</v>
      </c>
      <c r="AZ13" s="15">
        <f>BA13+BL13</f>
        <v>16965.740000000005</v>
      </c>
      <c r="BA13" s="15">
        <f>SUM(BB13:BK13)</f>
        <v>16965.740000000005</v>
      </c>
      <c r="BB13" s="15">
        <f>IF($D13="是",I13-J13,0)</f>
        <v>13076.410000000002</v>
      </c>
      <c r="BC13" s="15">
        <f>IF($D13="是",K13-L13,0)</f>
        <v>596.72999999999979</v>
      </c>
      <c r="BD13" s="15">
        <f>IF($D13="是",M13-N13,0)</f>
        <v>3026.9400000000051</v>
      </c>
      <c r="BE13" s="15">
        <f>IF($D13="是",O13-P13,0)</f>
        <v>265.66000000000003</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A13" zoomScale="90" zoomScaleNormal="100" zoomScaleSheetLayoutView="90" workbookViewId="0">
      <selection activeCell="E8" sqref="E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49" t="s">
        <v>1938</v>
      </c>
      <c r="B2" s="3149"/>
      <c r="C2" s="3149"/>
      <c r="D2" s="963" t="s">
        <v>1914</v>
      </c>
      <c r="E2" s="2220" t="s">
        <v>1915</v>
      </c>
      <c r="F2" s="1388"/>
      <c r="G2" s="2221"/>
      <c r="H2" s="2222"/>
      <c r="I2" s="2223" t="s">
        <v>1939</v>
      </c>
      <c r="J2" s="1388"/>
      <c r="K2" s="1388"/>
      <c r="L2" s="1388"/>
      <c r="M2" s="1388"/>
      <c r="N2" s="1423"/>
      <c r="O2" s="1388"/>
      <c r="P2" s="1388"/>
    </row>
    <row r="3" spans="1:16" ht="15.75" thickBot="1">
      <c r="A3" s="3150" t="s">
        <v>1912</v>
      </c>
      <c r="B3" s="3150"/>
      <c r="C3" s="3150"/>
      <c r="D3" s="45">
        <f>'数据-基础表'!AY6</f>
        <v>2729.33</v>
      </c>
      <c r="E3" s="45">
        <f>'数据-基础表'!AZ5</f>
        <v>16965.740000000005</v>
      </c>
      <c r="F3" s="1388"/>
      <c r="G3" s="1395"/>
      <c r="H3" s="1243" t="s">
        <v>1913</v>
      </c>
      <c r="I3" s="54">
        <f>ROUND('数据-基础表'!B3/'数据-基础表'!A3,2)</f>
        <v>6.22</v>
      </c>
      <c r="J3" s="1388"/>
      <c r="K3" s="1388"/>
      <c r="L3" s="1388"/>
      <c r="M3" s="1388"/>
      <c r="N3" s="1423"/>
      <c r="O3" s="1388"/>
      <c r="P3" s="1388"/>
    </row>
    <row r="4" spans="1:16" ht="15">
      <c r="A4" s="3151"/>
      <c r="B4" s="3152"/>
      <c r="C4" s="3153"/>
      <c r="D4" s="2224" t="s">
        <v>1914</v>
      </c>
      <c r="E4" s="2225" t="s">
        <v>1915</v>
      </c>
      <c r="F4" s="1388"/>
      <c r="G4" s="2226" t="s">
        <v>1940</v>
      </c>
      <c r="H4" s="1243" t="s">
        <v>1920</v>
      </c>
      <c r="I4" s="54">
        <f>ROUND(SUMIF('数据-基础表'!I9:AS9,"地上",'数据-基础表'!I5:AS5)/'数据-基础表'!A3,2)</f>
        <v>4.8899999999999997</v>
      </c>
      <c r="J4" s="1388"/>
      <c r="K4" s="1388"/>
      <c r="L4" s="1388"/>
      <c r="M4" s="1388"/>
      <c r="N4" s="1423"/>
      <c r="O4" s="1388"/>
      <c r="P4" s="1388"/>
    </row>
    <row r="5" spans="1:16">
      <c r="A5" s="46" t="s">
        <v>1916</v>
      </c>
      <c r="B5" s="3154" t="s">
        <v>1917</v>
      </c>
      <c r="C5" s="3154"/>
      <c r="D5" s="47">
        <f>ROUND($D$3*E5/$E$3,2)</f>
        <v>0</v>
      </c>
      <c r="E5" s="48">
        <f>SUMIF('数据-基础表'!$11:$11,"住宅",'数据-基础表'!$5:$5)</f>
        <v>0</v>
      </c>
      <c r="F5" s="1388"/>
      <c r="G5" s="1395"/>
      <c r="H5" s="1243" t="s">
        <v>1913</v>
      </c>
      <c r="I5" s="54">
        <f>ROUND(E31/D31,2)</f>
        <v>6.22</v>
      </c>
      <c r="J5" s="1388"/>
      <c r="K5" s="1388"/>
      <c r="L5" s="1388"/>
      <c r="M5" s="1388"/>
      <c r="N5" s="1388"/>
      <c r="O5" s="1388"/>
      <c r="P5" s="1388"/>
    </row>
    <row r="6" spans="1:16" ht="15" thickBot="1">
      <c r="A6" s="2227"/>
      <c r="B6" s="3154" t="s">
        <v>1918</v>
      </c>
      <c r="C6" s="3154"/>
      <c r="D6" s="47">
        <f>ROUND($D$3*E6/$E$3,2)</f>
        <v>2729.33</v>
      </c>
      <c r="E6" s="48">
        <f>E3-E5</f>
        <v>16965.740000000005</v>
      </c>
      <c r="F6" s="1388"/>
      <c r="G6" s="2228" t="s">
        <v>1919</v>
      </c>
      <c r="H6" s="1395" t="s">
        <v>1920</v>
      </c>
      <c r="I6" s="935">
        <f>ROUND(F31/D31,2)</f>
        <v>4.8899999999999997</v>
      </c>
      <c r="J6" s="1388"/>
      <c r="K6" s="1388"/>
      <c r="L6" s="1388"/>
      <c r="M6" s="1388"/>
      <c r="N6" s="1388"/>
      <c r="O6" s="1388"/>
      <c r="P6" s="1388"/>
    </row>
    <row r="7" spans="1:16" ht="15">
      <c r="A7" s="3146"/>
      <c r="B7" s="3147"/>
      <c r="C7" s="3148"/>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2146.38</v>
      </c>
      <c r="E8" s="50">
        <f>SUMIF('数据-基础表'!BB10:BK10,"地上",'数据-基础表'!BB5:BK5)</f>
        <v>13342.070000000002</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96</v>
      </c>
      <c r="E10" s="50">
        <f>SUMPRODUCT(('数据-基础表'!BB10:BK10="地下")*('数据-基础表'!BB11:BK11="商业")*('数据-基础表'!BB5:BK5))</f>
        <v>596.72999999999979</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486.95</v>
      </c>
      <c r="E15" s="50">
        <f>SUMPRODUCT(('数据-基础表'!BB10:BK10="地下")*('数据-基础表'!BB11:BK11="车库—办公")*('数据-基础表'!BB5:BK5))</f>
        <v>3026.9400000000051</v>
      </c>
      <c r="F15" s="1388"/>
      <c r="G15" s="2230"/>
      <c r="H15" s="2230"/>
      <c r="I15" s="1388"/>
      <c r="J15" s="1388"/>
      <c r="K15" s="1388"/>
      <c r="L15" s="1388"/>
      <c r="M15" s="1388"/>
      <c r="N15" s="1388"/>
      <c r="O15" s="1388"/>
      <c r="P15" s="1388"/>
    </row>
    <row r="16" spans="1:16" ht="15.75" thickBot="1">
      <c r="A16" s="2227"/>
      <c r="B16" s="2232"/>
      <c r="C16" s="49" t="s">
        <v>1930</v>
      </c>
      <c r="D16" s="49">
        <f>SUM(D8:D15)</f>
        <v>2729.33</v>
      </c>
      <c r="E16" s="52">
        <f>SUM(E8:E15)</f>
        <v>16965.740000000005</v>
      </c>
      <c r="F16" s="1388"/>
      <c r="G16" s="2230"/>
      <c r="H16" s="2233" t="s">
        <v>1942</v>
      </c>
      <c r="I16" s="2234"/>
      <c r="J16" s="1388"/>
      <c r="K16" s="3143" t="s">
        <v>1942</v>
      </c>
      <c r="L16" s="3144"/>
      <c r="M16" s="3144"/>
      <c r="N16" s="3144"/>
      <c r="O16" s="3144"/>
      <c r="P16" s="3145"/>
    </row>
    <row r="17" spans="1:19" ht="15">
      <c r="A17" s="2235" t="s">
        <v>1943</v>
      </c>
      <c r="B17" s="2236" t="s">
        <v>1944</v>
      </c>
      <c r="C17" s="2237" t="s">
        <v>1945</v>
      </c>
      <c r="D17" s="2238" t="s">
        <v>1933</v>
      </c>
      <c r="E17" s="2239" t="s">
        <v>1934</v>
      </c>
      <c r="F17" s="2240"/>
      <c r="G17" s="2241"/>
      <c r="H17" s="2242" t="s">
        <v>1946</v>
      </c>
      <c r="I17" s="2243" t="s">
        <v>1931</v>
      </c>
      <c r="J17" s="1388"/>
      <c r="K17" s="3140" t="s">
        <v>1947</v>
      </c>
      <c r="L17" s="3141"/>
      <c r="M17" s="3142"/>
      <c r="N17" s="3140" t="s">
        <v>1948</v>
      </c>
      <c r="O17" s="3141"/>
      <c r="P17" s="3142"/>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3327</v>
      </c>
      <c r="D19" s="47">
        <f>ROUND($D$3*E19/$E$3,2)</f>
        <v>2103.64</v>
      </c>
      <c r="E19" s="55">
        <f t="shared" ref="E19:E26" si="1">SUM(F19:G19)</f>
        <v>13076.410000000002</v>
      </c>
      <c r="F19" s="56">
        <f>'数据-基础表'!I13</f>
        <v>13076.410000000002</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2103.64</v>
      </c>
      <c r="S19" s="1244">
        <f t="shared" si="5"/>
        <v>13076.410000000002</v>
      </c>
    </row>
    <row r="20" spans="1:19">
      <c r="A20" s="2255"/>
      <c r="B20" s="49" t="s">
        <v>1960</v>
      </c>
      <c r="C20" s="2933" t="s">
        <v>3328</v>
      </c>
      <c r="D20" s="47">
        <f t="shared" ref="D20:D26" si="6">ROUND($D$3*E20/$E$3,2)</f>
        <v>138.74</v>
      </c>
      <c r="E20" s="55">
        <f t="shared" si="1"/>
        <v>862.38999999999987</v>
      </c>
      <c r="F20" s="56">
        <f>'数据-基础表'!O13</f>
        <v>265.66000000000003</v>
      </c>
      <c r="G20" s="57">
        <f>'数据-基础表'!K13</f>
        <v>596.72999999999979</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138.74</v>
      </c>
      <c r="S20" s="1244">
        <f t="shared" si="5"/>
        <v>862.38999999999987</v>
      </c>
    </row>
    <row r="21" spans="1:19">
      <c r="A21" s="2255"/>
      <c r="B21" s="49" t="s">
        <v>1960</v>
      </c>
      <c r="C21" s="2933" t="s">
        <v>3443</v>
      </c>
      <c r="D21" s="47">
        <f t="shared" si="6"/>
        <v>486.95</v>
      </c>
      <c r="E21" s="55">
        <f t="shared" si="1"/>
        <v>3026.9400000000051</v>
      </c>
      <c r="F21" s="56"/>
      <c r="G21" s="57">
        <f>'数据-基础表'!M13</f>
        <v>3026.9400000000051</v>
      </c>
      <c r="H21" s="722">
        <f t="shared" si="7"/>
        <v>0</v>
      </c>
      <c r="I21" s="50">
        <f t="shared" si="2"/>
        <v>0</v>
      </c>
      <c r="J21" s="1388"/>
      <c r="K21" s="1387">
        <f t="shared" si="3"/>
        <v>0</v>
      </c>
      <c r="L21" s="1243">
        <f t="shared" si="4"/>
        <v>0</v>
      </c>
      <c r="M21" s="1399">
        <f t="shared" si="8"/>
        <v>0</v>
      </c>
      <c r="N21" s="2253"/>
      <c r="O21" s="2254"/>
      <c r="P21" s="1399">
        <f t="shared" si="9"/>
        <v>0</v>
      </c>
      <c r="R21" s="1243">
        <f t="shared" si="5"/>
        <v>486.95</v>
      </c>
      <c r="S21" s="1244">
        <f t="shared" si="5"/>
        <v>3026.9400000000051</v>
      </c>
    </row>
    <row r="22" spans="1:19">
      <c r="A22" s="2255"/>
      <c r="B22" s="49" t="s">
        <v>1960</v>
      </c>
      <c r="C22" s="3036"/>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2729.33</v>
      </c>
      <c r="E27" s="1390">
        <f>IF(SUM(E19:E26)='数据-基础表'!BA5,SUM(E19:E26),IF(F27="地上面积有误","面积有误","地下面积有误"))</f>
        <v>16965.740000000005</v>
      </c>
      <c r="F27" s="1389">
        <f>IF(SUM(F19:F26)=E8,SUM(F19:F26),"地上面积有误")</f>
        <v>13342.070000000002</v>
      </c>
      <c r="G27" s="1391">
        <f>SUM(G19:G26)</f>
        <v>3623.6700000000046</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2729.33</v>
      </c>
      <c r="S27" s="1243">
        <f>IF(SUM(S19:S26)=$E$3,SUM(S19:S26),SUM(S19:S26)&amp;"误差"&amp;ROUND(SUM(S19:S26)-E3,2))</f>
        <v>16965.740000000005</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2729.33</v>
      </c>
      <c r="E31" s="728">
        <f>E27+E30</f>
        <v>16965.740000000005</v>
      </c>
      <c r="F31" s="729">
        <f>F27+F30</f>
        <v>13342.070000000002</v>
      </c>
      <c r="G31" s="730">
        <f>G27+G30</f>
        <v>3623.6700000000046</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43182</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46.2</v>
      </c>
      <c r="G6" s="72">
        <f>IF(ISERROR(ROUND(POWER(1+H6,D6-F6)*(POWER(1+H6,F6)-1)/(POWER(1+H6,D6)-1),3)),0,ROUND(POWER(1+H6,D6-F6)*(POWER(1+H6,F6)-1)/(POWER(1+H6,D6)-1),3))</f>
        <v>0.98099999999999998</v>
      </c>
      <c r="H6" s="801">
        <v>0.05</v>
      </c>
      <c r="I6" s="801">
        <v>5.5E-2</v>
      </c>
      <c r="J6" s="73">
        <v>8.5000000000000006E-2</v>
      </c>
      <c r="K6" s="1247">
        <f>SUMIF('数据-汇总表'!C$19:C$33,A6,'数据-汇总表'!E$19:E$33)</f>
        <v>13076.410000000002</v>
      </c>
      <c r="L6" s="802">
        <v>4000</v>
      </c>
      <c r="M6" s="74">
        <f t="shared" ref="M6:M14" si="0">ROUND(K6*L6/10000,0)</f>
        <v>5231</v>
      </c>
      <c r="N6" s="800">
        <f>ROUND(1-(2018-2017)/60,2)</f>
        <v>0.98</v>
      </c>
      <c r="O6" s="74" t="str">
        <f>IF($N$5="成新度","——",ROUND(M6*N6,0))</f>
        <v>——</v>
      </c>
      <c r="P6" s="75" t="str">
        <f>IF($N$5="成新度","——",M6-O6)</f>
        <v>——</v>
      </c>
      <c r="Q6" s="803">
        <v>0.2</v>
      </c>
      <c r="R6" s="76">
        <f ca="1">SUMIF('数据-汇总表'!C$19:C$33,A6,'数据-汇总表'!R$19:R$27)</f>
        <v>2103.64</v>
      </c>
      <c r="S6" s="53">
        <f>IF('数据-汇总表'!$I$17="按面积比例",SUMIF('数据-汇总表'!C$19:C$33,A6,'数据-汇总表'!K$19:K$33),SUMIF('数据-汇总表'!C$19:C$33,A6,'数据-汇总表'!N$19:N$33))</f>
        <v>0</v>
      </c>
      <c r="T6" s="1439">
        <f>ROUND($L$14*S6/10000,0)</f>
        <v>0</v>
      </c>
      <c r="U6" s="77">
        <f>'比较法-办公'!B3</f>
        <v>6</v>
      </c>
      <c r="V6" s="78">
        <v>0.03</v>
      </c>
      <c r="W6" s="3037">
        <v>0.1</v>
      </c>
      <c r="X6" s="1257"/>
      <c r="Y6" s="79">
        <v>0.98</v>
      </c>
      <c r="Z6" s="80"/>
      <c r="AA6" s="73"/>
      <c r="AB6" s="73"/>
      <c r="AC6" s="1257"/>
      <c r="AD6" s="81"/>
      <c r="AE6" s="1258">
        <f ca="1">IF(AN6="",0,SUMIF(INDIRECT("'"&amp;AN6&amp;"'"&amp;"!E:E"),$AE$5,INDIRECT("'"&amp;AN6&amp;"'"&amp;"!F:F")))</f>
        <v>46.2</v>
      </c>
      <c r="AF6" s="1800"/>
      <c r="AG6" s="146">
        <f>IF(AF6="",0,AE6-AF6)</f>
        <v>0</v>
      </c>
      <c r="AH6" s="82"/>
      <c r="AI6" s="84">
        <v>365</v>
      </c>
      <c r="AJ6" s="85"/>
      <c r="AK6" s="86">
        <v>0.02</v>
      </c>
      <c r="AL6" s="87">
        <v>2E-3</v>
      </c>
      <c r="AM6" s="88">
        <v>0.02</v>
      </c>
      <c r="AN6" s="2301" t="s">
        <v>3419</v>
      </c>
      <c r="AO6" s="54">
        <f ca="1">SUMIF(INDIRECT("'"&amp;AN6&amp;"'"&amp;"!A:A"),"总价",INDIRECT("'"&amp;AN6&amp;"'"&amp;"!B:B"))</f>
        <v>57633</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36.19</v>
      </c>
      <c r="G7" s="72">
        <f t="shared" ref="G7:G11" si="2">IF(ISERROR(ROUND(POWER(1+H7,D7-F7)*(POWER(1+H7,F7)-1)/(POWER(1+H7,D7)-1),3)),0,ROUND(POWER(1+H7,D7-F7)*(POWER(1+H7,F7)-1)/(POWER(1+H7,D7)-1),3))</f>
        <v>0.97299999999999998</v>
      </c>
      <c r="H7" s="801">
        <v>0.06</v>
      </c>
      <c r="I7" s="801">
        <v>6.5000000000000002E-2</v>
      </c>
      <c r="J7" s="73">
        <v>8.5000000000000006E-2</v>
      </c>
      <c r="K7" s="1247">
        <f>SUMIF('数据-汇总表'!C$19:C$33,A7,'数据-汇总表'!E$19:E$33)</f>
        <v>862.38999999999987</v>
      </c>
      <c r="L7" s="802">
        <v>3500</v>
      </c>
      <c r="M7" s="74">
        <f t="shared" si="0"/>
        <v>302</v>
      </c>
      <c r="N7" s="800">
        <f>N6</f>
        <v>0.98</v>
      </c>
      <c r="O7" s="74" t="str">
        <f t="shared" ref="O7:O14" si="3">IF($N$5="成新度","——",ROUND(M7*N7,0))</f>
        <v>——</v>
      </c>
      <c r="P7" s="75" t="str">
        <f t="shared" ref="P7:P14" si="4">IF($N$5="成新度","——",M7-O7)</f>
        <v>——</v>
      </c>
      <c r="Q7" s="803">
        <v>0.2</v>
      </c>
      <c r="R7" s="76">
        <f ca="1">SUMIF('数据-汇总表'!C$19:C$33,A7,'数据-汇总表'!R$19:R$27)</f>
        <v>138.74</v>
      </c>
      <c r="S7" s="53">
        <f>IF('数据-汇总表'!$I$17="按面积比例",SUMIF('数据-汇总表'!C$19:C$33,A7,'数据-汇总表'!K$19:K$33),SUMIF('数据-汇总表'!C$19:C$33,A7,'数据-汇总表'!N$19:N$33))</f>
        <v>0</v>
      </c>
      <c r="T7" s="1439">
        <f t="shared" ref="T7:T13" si="5">ROUND($L$14*S7/10000,0)</f>
        <v>0</v>
      </c>
      <c r="U7" s="3062">
        <v>4.5</v>
      </c>
      <c r="V7" s="78">
        <v>0.03</v>
      </c>
      <c r="W7" s="78">
        <v>0.1</v>
      </c>
      <c r="X7" s="1257"/>
      <c r="Y7" s="79">
        <v>0.98</v>
      </c>
      <c r="Z7" s="80"/>
      <c r="AA7" s="73"/>
      <c r="AB7" s="73"/>
      <c r="AC7" s="1257"/>
      <c r="AD7" s="81"/>
      <c r="AE7" s="1258">
        <f t="shared" ref="AE7:AE13" ca="1" si="6">IF(AN7="",0,SUMIF(INDIRECT("'"&amp;AN7&amp;"'"&amp;"!E:E"),$AE$5,INDIRECT("'"&amp;AN7&amp;"'"&amp;"!F:F")))</f>
        <v>36.19</v>
      </c>
      <c r="AF7" s="1800"/>
      <c r="AG7" s="146">
        <f t="shared" ref="AG7:AG13" si="7">IF(AF7="",0,AE7-AF7)</f>
        <v>0</v>
      </c>
      <c r="AH7" s="82"/>
      <c r="AI7" s="84">
        <v>365</v>
      </c>
      <c r="AJ7" s="85"/>
      <c r="AK7" s="86">
        <v>0.02</v>
      </c>
      <c r="AL7" s="87">
        <v>2E-3</v>
      </c>
      <c r="AM7" s="88">
        <v>0.02</v>
      </c>
      <c r="AN7" s="2301" t="s">
        <v>3421</v>
      </c>
      <c r="AO7" s="54">
        <f t="shared" ref="AO7:AO13" ca="1" si="8">SUMIF(INDIRECT("'"&amp;AN7&amp;"'"&amp;"!A:A"),"总价",INDIRECT("'"&amp;AN7&amp;"'"&amp;"!B:B"))</f>
        <v>2093</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46.2</v>
      </c>
      <c r="G8" s="72">
        <f t="shared" si="2"/>
        <v>0.97699999999999998</v>
      </c>
      <c r="H8" s="801">
        <v>4.4999999999999998E-2</v>
      </c>
      <c r="I8" s="801">
        <v>0.05</v>
      </c>
      <c r="J8" s="73">
        <v>8.5000000000000006E-2</v>
      </c>
      <c r="K8" s="1247">
        <f>SUMIF('数据-汇总表'!C$19:C$33,A8,'数据-汇总表'!E$19:E$33)</f>
        <v>3026.9400000000051</v>
      </c>
      <c r="L8" s="802">
        <v>2500</v>
      </c>
      <c r="M8" s="74">
        <f>ROUND(K8*L8/10000,0)</f>
        <v>757</v>
      </c>
      <c r="N8" s="800">
        <f>N6</f>
        <v>0.98</v>
      </c>
      <c r="O8" s="74" t="str">
        <f t="shared" si="3"/>
        <v>——</v>
      </c>
      <c r="P8" s="75" t="str">
        <f t="shared" si="4"/>
        <v>——</v>
      </c>
      <c r="Q8" s="803">
        <v>0.1</v>
      </c>
      <c r="R8" s="76">
        <f ca="1">SUMIF('数据-汇总表'!C$19:C$33,A8,'数据-汇总表'!R$19:R$27)</f>
        <v>486.95</v>
      </c>
      <c r="S8" s="53">
        <f>IF('数据-汇总表'!$I$17="按面积比例",SUMIF('数据-汇总表'!C$19:C$33,A8,'数据-汇总表'!K$19:K$33),SUMIF('数据-汇总表'!C$19:C$33,A8,'数据-汇总表'!N$19:N$33))</f>
        <v>0</v>
      </c>
      <c r="T8" s="1439">
        <f t="shared" si="5"/>
        <v>0</v>
      </c>
      <c r="U8" s="3016">
        <f>面积表!I11</f>
        <v>1.5</v>
      </c>
      <c r="V8" s="804">
        <v>0.02</v>
      </c>
      <c r="W8" s="804">
        <v>0.05</v>
      </c>
      <c r="X8" s="1257"/>
      <c r="Y8" s="79">
        <v>0.98</v>
      </c>
      <c r="Z8" s="80"/>
      <c r="AA8" s="73"/>
      <c r="AB8" s="73"/>
      <c r="AC8" s="1257"/>
      <c r="AD8" s="81"/>
      <c r="AE8" s="1258">
        <f t="shared" ca="1" si="6"/>
        <v>46.2</v>
      </c>
      <c r="AF8" s="1800"/>
      <c r="AG8" s="146">
        <f t="shared" si="7"/>
        <v>0</v>
      </c>
      <c r="AH8" s="3017"/>
      <c r="AI8" s="3018">
        <v>365</v>
      </c>
      <c r="AJ8" s="85"/>
      <c r="AK8" s="86">
        <v>0.02</v>
      </c>
      <c r="AL8" s="87">
        <v>2E-3</v>
      </c>
      <c r="AM8" s="88">
        <v>0.02</v>
      </c>
      <c r="AN8" s="2301" t="s">
        <v>3423</v>
      </c>
      <c r="AO8" s="54">
        <f t="shared" ca="1" si="8"/>
        <v>2763</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0.98</v>
      </c>
      <c r="H16" s="98">
        <f>ROUND(SUMPRODUCT(H6:H13,K6:K13)/SUMPRODUCT((H6:H13&gt;0)*(K6:K13)),3)</f>
        <v>0.05</v>
      </c>
      <c r="I16" s="99"/>
      <c r="J16" s="99"/>
      <c r="K16" s="100">
        <f>SUM(K6:K15)</f>
        <v>16965.740000000005</v>
      </c>
      <c r="L16" s="101">
        <f>ROUND(M16*10000/SUM(K6:K14),0)</f>
        <v>3707</v>
      </c>
      <c r="M16" s="101">
        <f>SUM(M6:M14)</f>
        <v>6290</v>
      </c>
      <c r="N16" s="102">
        <f>ROUND(SUMPRODUCT(M6:M14,N6:N14)/M16,3)</f>
        <v>0.98</v>
      </c>
      <c r="O16" s="101">
        <f>SUM(O6:O14)</f>
        <v>0</v>
      </c>
      <c r="P16" s="101">
        <f>SUM(P6:P14)</f>
        <v>0</v>
      </c>
      <c r="Q16" s="103">
        <f>ROUND(SUMPRODUCT(Q6:Q13,K6:K13)/SUMPRODUCT((Q6:Q13&gt;0)*(K6:K13)),2)</f>
        <v>0.18</v>
      </c>
      <c r="R16" s="1251">
        <f ca="1">SUM(R6:R13)</f>
        <v>2729.33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55" t="s">
        <v>2083</v>
      </c>
      <c r="B1" s="3156"/>
      <c r="C1" s="3156"/>
      <c r="D1" s="3156"/>
      <c r="E1" s="3156"/>
      <c r="F1" s="3156"/>
      <c r="G1" s="315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3003" t="s">
        <v>3359</v>
      </c>
      <c r="D4" s="2363"/>
      <c r="E4" s="2366"/>
      <c r="F4" s="41" t="s">
        <v>2091</v>
      </c>
      <c r="G4" s="2367" t="s">
        <v>2092</v>
      </c>
      <c r="H4" s="2360"/>
      <c r="I4" s="2360"/>
      <c r="J4" s="2360"/>
      <c r="K4" s="2360"/>
      <c r="L4" s="2360"/>
      <c r="M4" s="2360"/>
      <c r="N4" s="2360"/>
      <c r="O4" s="2360"/>
      <c r="P4" s="2360"/>
      <c r="Q4" s="2360"/>
      <c r="R4" s="2360"/>
    </row>
    <row r="5" spans="1:29" ht="54">
      <c r="A5" s="430"/>
      <c r="B5" s="1791" t="s">
        <v>2093</v>
      </c>
      <c r="C5" s="3003" t="s">
        <v>3360</v>
      </c>
      <c r="D5" s="2363"/>
      <c r="E5" s="2366"/>
      <c r="F5" s="1791" t="s">
        <v>2094</v>
      </c>
      <c r="G5" s="2367" t="s">
        <v>2095</v>
      </c>
      <c r="H5" s="2360"/>
      <c r="I5" s="2360"/>
      <c r="J5" s="2360"/>
      <c r="K5" s="2360"/>
      <c r="L5" s="2360"/>
      <c r="M5" s="2360"/>
      <c r="N5" s="2360"/>
      <c r="O5" s="2360"/>
      <c r="P5" s="2360"/>
      <c r="Q5" s="2360"/>
      <c r="R5" s="2360"/>
    </row>
    <row r="6" spans="1:29" ht="135">
      <c r="A6" s="430"/>
      <c r="B6" s="1791" t="s">
        <v>2096</v>
      </c>
      <c r="C6" s="3004" t="s">
        <v>3361</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3004" t="s">
        <v>3362</v>
      </c>
      <c r="D7" s="2368"/>
      <c r="E7" s="2369"/>
      <c r="F7" s="2370" t="s">
        <v>2099</v>
      </c>
      <c r="G7" s="2371" t="s">
        <v>2100</v>
      </c>
      <c r="H7" s="2360"/>
      <c r="I7" s="2360"/>
      <c r="J7" s="2360"/>
      <c r="K7" s="2360"/>
      <c r="L7" s="2360"/>
      <c r="M7" s="2360"/>
      <c r="N7" s="2360"/>
      <c r="O7" s="2360"/>
      <c r="P7" s="2360"/>
      <c r="Q7" s="2360"/>
      <c r="R7" s="2360"/>
    </row>
    <row r="8" spans="1:29" ht="27">
      <c r="A8" s="430"/>
      <c r="B8" s="1791" t="s">
        <v>2097</v>
      </c>
      <c r="C8" s="3004" t="s">
        <v>3363</v>
      </c>
      <c r="D8" s="2368"/>
      <c r="E8" s="2368"/>
      <c r="F8" s="1129"/>
      <c r="G8" s="1129"/>
      <c r="H8" s="2360"/>
      <c r="I8" s="2360"/>
      <c r="J8" s="2360"/>
      <c r="K8" s="2360"/>
      <c r="L8" s="2360"/>
      <c r="M8" s="2360"/>
      <c r="N8" s="2360"/>
      <c r="O8" s="2360"/>
      <c r="P8" s="2360"/>
      <c r="Q8" s="2360"/>
      <c r="R8" s="2360"/>
    </row>
    <row r="9" spans="1:29" ht="81">
      <c r="A9" s="430"/>
      <c r="B9" s="1791" t="s">
        <v>2101</v>
      </c>
      <c r="C9" s="3003" t="s">
        <v>3364</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3005" t="s">
        <v>3365</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3336</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34" customWidth="1"/>
    <col min="2" max="9" width="15.75" style="1734" customWidth="1"/>
    <col min="10" max="16384" width="9" style="1734"/>
  </cols>
  <sheetData>
    <row r="1" spans="1:10" ht="16.5">
      <c r="A1" s="1739" t="s">
        <v>1365</v>
      </c>
      <c r="B1" s="1739">
        <f>SUM(B14:B23)</f>
        <v>16965.740000000005</v>
      </c>
      <c r="C1" s="1738"/>
      <c r="D1" s="1738"/>
      <c r="E1" s="1738"/>
      <c r="F1" s="1738"/>
      <c r="G1" s="1736"/>
    </row>
    <row r="2" spans="1:10" ht="16.5">
      <c r="A2" s="1739" t="s">
        <v>1353</v>
      </c>
      <c r="B2" s="1739">
        <f>SUM(C14:C23)</f>
        <v>2729.33</v>
      </c>
      <c r="C2" s="1738"/>
      <c r="D2" s="1738"/>
      <c r="E2" s="1738"/>
      <c r="F2" s="1738"/>
      <c r="G2" s="1736"/>
    </row>
    <row r="3" spans="1:10" ht="16.5">
      <c r="A3" s="1739" t="s">
        <v>1362</v>
      </c>
      <c r="B3" s="1740">
        <f>项目基本情况!D3</f>
        <v>43182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61292</v>
      </c>
      <c r="C5" s="1739">
        <f ca="1">ROUND(B5*10000/$B$1,0)</f>
        <v>36127</v>
      </c>
      <c r="D5" s="1739">
        <f ca="1">ROUND(B5*10000/$B$2,0)</f>
        <v>224568</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57078</v>
      </c>
      <c r="C7" s="1739">
        <f ca="1">ROUND(B7*10000/$B$1,0)</f>
        <v>33643</v>
      </c>
      <c r="D7" s="1739">
        <f ca="1">ROUND(B7*10000/$B$2,0)</f>
        <v>209128</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13076.410000000002</v>
      </c>
      <c r="C14" s="1737">
        <f>'结果表（办公）'!C118</f>
        <v>2103.64</v>
      </c>
      <c r="D14" s="1737">
        <f ca="1">'结果表（办公）'!H118</f>
        <v>57078</v>
      </c>
      <c r="E14" s="1737">
        <f ca="1">ROUND(D14*10000/B14,0)</f>
        <v>43650</v>
      </c>
      <c r="F14" s="1737">
        <f ca="1">ROUND(D14*10000/C14,0)</f>
        <v>271330</v>
      </c>
      <c r="G14" s="1737" t="str">
        <f>'结果表（办公）'!D122</f>
        <v>——</v>
      </c>
      <c r="H14" s="1737">
        <f ca="1">'结果表（办公）'!D124</f>
        <v>57078</v>
      </c>
      <c r="I14" s="1737" t="str">
        <f>'结果表（办公）'!D126</f>
        <v>——</v>
      </c>
      <c r="J14" s="1736"/>
    </row>
    <row r="15" spans="1:10" ht="16.5">
      <c r="A15" s="1735" t="s">
        <v>1349</v>
      </c>
      <c r="B15" s="1742">
        <f>'数据-汇总表'!E20</f>
        <v>862.38999999999987</v>
      </c>
      <c r="C15" s="1742">
        <f>'数据-汇总表'!D20</f>
        <v>138.74</v>
      </c>
      <c r="D15" s="1742">
        <f ca="1">'结果表（商业）'!G19</f>
        <v>1969</v>
      </c>
      <c r="E15" s="1737">
        <f t="shared" ref="E15:E23" ca="1" si="0">ROUND(D15*10000/B15,0)</f>
        <v>22832</v>
      </c>
      <c r="F15" s="1737">
        <f t="shared" ref="F15:F23" ca="1" si="1">ROUND(D15*10000/C15,0)</f>
        <v>141920</v>
      </c>
      <c r="G15" s="1743"/>
      <c r="H15" s="1743"/>
      <c r="I15" s="1742"/>
      <c r="J15" s="1736"/>
    </row>
    <row r="16" spans="1:10" ht="16.5">
      <c r="A16" s="1735" t="s">
        <v>1348</v>
      </c>
      <c r="B16" s="1742">
        <f>'数据-汇总表'!G21</f>
        <v>3026.9400000000051</v>
      </c>
      <c r="C16" s="1742">
        <f>'数据-汇总表'!D21</f>
        <v>486.95</v>
      </c>
      <c r="D16" s="1742">
        <f ca="1">'结果表（地下车库）'!G19</f>
        <v>2245</v>
      </c>
      <c r="E16" s="1737">
        <f t="shared" ca="1" si="0"/>
        <v>7417</v>
      </c>
      <c r="F16" s="1737">
        <f t="shared" ca="1" si="1"/>
        <v>46103</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24" sqref="D124:I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3366</v>
      </c>
      <c r="D1" s="2409"/>
      <c r="E1" s="2409"/>
      <c r="F1" s="2411" t="s">
        <v>2117</v>
      </c>
      <c r="G1" s="2063" t="s">
        <v>3436</v>
      </c>
      <c r="H1" s="2412" t="str">
        <f>IF(G1="现房","——","估价对象范围")</f>
        <v>——</v>
      </c>
      <c r="I1" s="2413"/>
    </row>
    <row r="2" spans="1:12" ht="21.75" customHeight="1" thickBot="1">
      <c r="A2" s="3190" t="str">
        <f>项目基本情况!S2</f>
        <v>北京市大兴区黄村镇房地产</v>
      </c>
      <c r="B2" s="3191"/>
      <c r="C2" s="3191"/>
      <c r="D2" s="3191"/>
      <c r="E2" s="3191"/>
      <c r="F2" s="3191"/>
      <c r="G2" s="3191"/>
      <c r="H2" s="3191"/>
      <c r="I2" s="3192"/>
    </row>
    <row r="3" spans="1:12" ht="12.75">
      <c r="A3" s="3194" t="s">
        <v>2118</v>
      </c>
      <c r="B3" s="3195"/>
      <c r="C3" s="3195"/>
      <c r="D3" s="3195"/>
      <c r="E3" s="3195"/>
      <c r="F3" s="3195"/>
      <c r="G3" s="3195"/>
      <c r="H3" s="3195"/>
      <c r="I3" s="3195"/>
    </row>
    <row r="4" spans="1:12" ht="14.25">
      <c r="A4" s="2416" t="s">
        <v>2119</v>
      </c>
      <c r="B4" s="2417" t="s">
        <v>2120</v>
      </c>
      <c r="C4" s="2418" t="s">
        <v>3425</v>
      </c>
      <c r="D4" s="2418" t="s">
        <v>3419</v>
      </c>
      <c r="E4" s="3187" t="s">
        <v>2121</v>
      </c>
      <c r="F4" s="3188"/>
      <c r="G4" s="3188"/>
      <c r="H4" s="3188"/>
      <c r="I4" s="3196"/>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0" t="s">
        <v>2122</v>
      </c>
      <c r="B5" s="3108">
        <v>25</v>
      </c>
      <c r="C5" s="3173"/>
      <c r="D5" s="3193"/>
      <c r="E5" s="139" t="s">
        <v>2123</v>
      </c>
      <c r="F5" s="2420"/>
      <c r="G5" s="2420"/>
      <c r="H5" s="2420"/>
      <c r="I5" s="1827"/>
    </row>
    <row r="6" spans="1:12" ht="12.75">
      <c r="A6" s="3170"/>
      <c r="B6" s="3108"/>
      <c r="C6" s="3174"/>
      <c r="D6" s="3193"/>
      <c r="E6" s="139" t="s">
        <v>2124</v>
      </c>
      <c r="F6" s="2420"/>
      <c r="G6" s="2420"/>
      <c r="H6" s="2420"/>
      <c r="I6" s="1827"/>
    </row>
    <row r="7" spans="1:12" ht="12.75">
      <c r="A7" s="3170"/>
      <c r="B7" s="3108"/>
      <c r="C7" s="3175"/>
      <c r="D7" s="3193"/>
      <c r="E7" s="139" t="s">
        <v>2125</v>
      </c>
      <c r="F7" s="2420"/>
      <c r="G7" s="2420"/>
      <c r="H7" s="2420"/>
      <c r="I7" s="1827"/>
    </row>
    <row r="8" spans="1:12" ht="12.75">
      <c r="A8" s="3170" t="s">
        <v>2126</v>
      </c>
      <c r="B8" s="3108">
        <v>15</v>
      </c>
      <c r="C8" s="3173"/>
      <c r="D8" s="3193"/>
      <c r="E8" s="139" t="s">
        <v>2127</v>
      </c>
      <c r="F8" s="2420"/>
      <c r="G8" s="2420"/>
      <c r="H8" s="2420"/>
      <c r="I8" s="1827"/>
    </row>
    <row r="9" spans="1:12" ht="12.75">
      <c r="A9" s="3170"/>
      <c r="B9" s="3108"/>
      <c r="C9" s="3175"/>
      <c r="D9" s="3193"/>
      <c r="E9" s="139" t="s">
        <v>2128</v>
      </c>
      <c r="F9" s="2420"/>
      <c r="G9" s="2420"/>
      <c r="H9" s="2420"/>
      <c r="I9" s="1827"/>
    </row>
    <row r="10" spans="1:12" ht="12.75">
      <c r="A10" s="3170" t="s">
        <v>2129</v>
      </c>
      <c r="B10" s="3108">
        <v>15</v>
      </c>
      <c r="C10" s="3173"/>
      <c r="D10" s="3193"/>
      <c r="E10" s="139" t="s">
        <v>2130</v>
      </c>
      <c r="F10" s="2420"/>
      <c r="G10" s="2420"/>
      <c r="H10" s="2420"/>
      <c r="I10" s="1827"/>
    </row>
    <row r="11" spans="1:12" ht="12.75">
      <c r="A11" s="3170"/>
      <c r="B11" s="3108"/>
      <c r="C11" s="3175"/>
      <c r="D11" s="3193"/>
      <c r="E11" s="139" t="s">
        <v>2131</v>
      </c>
      <c r="F11" s="2420"/>
      <c r="G11" s="2420"/>
      <c r="H11" s="2420"/>
      <c r="I11" s="1827"/>
    </row>
    <row r="12" spans="1:12" ht="12.75">
      <c r="A12" s="3170" t="s">
        <v>2132</v>
      </c>
      <c r="B12" s="3108">
        <v>15</v>
      </c>
      <c r="C12" s="3173"/>
      <c r="D12" s="3193"/>
      <c r="E12" s="139" t="s">
        <v>2133</v>
      </c>
      <c r="F12" s="2420"/>
      <c r="G12" s="2420"/>
      <c r="H12" s="2420"/>
      <c r="I12" s="1827"/>
    </row>
    <row r="13" spans="1:12" ht="12.75">
      <c r="A13" s="3170"/>
      <c r="B13" s="3108"/>
      <c r="C13" s="3175"/>
      <c r="D13" s="3193"/>
      <c r="E13" s="139" t="s">
        <v>2134</v>
      </c>
      <c r="F13" s="2420"/>
      <c r="G13" s="2420"/>
      <c r="H13" s="2420"/>
      <c r="I13" s="1827"/>
    </row>
    <row r="14" spans="1:12" ht="12.75">
      <c r="A14" s="3170" t="s">
        <v>2135</v>
      </c>
      <c r="B14" s="3108">
        <v>30</v>
      </c>
      <c r="C14" s="3173">
        <v>5</v>
      </c>
      <c r="D14" s="3193">
        <v>5</v>
      </c>
      <c r="E14" s="139" t="s">
        <v>2136</v>
      </c>
      <c r="F14" s="2420"/>
      <c r="G14" s="2420"/>
      <c r="H14" s="2420"/>
      <c r="I14" s="1827"/>
    </row>
    <row r="15" spans="1:12" ht="12.75">
      <c r="A15" s="3170"/>
      <c r="B15" s="3108"/>
      <c r="C15" s="3174"/>
      <c r="D15" s="3193"/>
      <c r="E15" s="139" t="s">
        <v>2137</v>
      </c>
      <c r="F15" s="2420"/>
      <c r="G15" s="2420"/>
      <c r="H15" s="2420"/>
      <c r="I15" s="1827"/>
    </row>
    <row r="16" spans="1:12" ht="12.75">
      <c r="A16" s="3170"/>
      <c r="B16" s="3108"/>
      <c r="C16" s="3175"/>
      <c r="D16" s="3193"/>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13076.410000000002</v>
      </c>
      <c r="M18" s="2419">
        <f>IF(C1="",'数据-汇总表'!E3,SUMIF(项目类型,C1,'数据-汇总表'!E17:E26))</f>
        <v>13076.410000000002</v>
      </c>
    </row>
    <row r="19" spans="1:35" ht="15">
      <c r="A19" s="2425" t="s">
        <v>2144</v>
      </c>
      <c r="B19" s="2426" t="s">
        <v>2145</v>
      </c>
      <c r="C19" s="142">
        <f ca="1">SUMIF(INDIRECT("'"&amp;C4&amp;"'"&amp;"!A:A"),'结果表（办公）'!B19,INDIRECT("'"&amp;C4&amp;"'"&amp;"!B:B"))</f>
        <v>56523</v>
      </c>
      <c r="D19" s="143">
        <f ca="1">SUMIF(INDIRECT("'"&amp;D4&amp;"'"&amp;"!A:A"),'结果表（办公）'!B19,INDIRECT("'"&amp;D4&amp;"'"&amp;"!B:B"))</f>
        <v>57633</v>
      </c>
      <c r="E19" s="2425" t="s">
        <v>2146</v>
      </c>
      <c r="F19" s="2426" t="s">
        <v>2145</v>
      </c>
      <c r="G19" s="144">
        <f ca="1">ROUND(C19*$C$18+D19*$D$18,0)</f>
        <v>57078</v>
      </c>
      <c r="H19" s="2427" t="s">
        <v>2147</v>
      </c>
      <c r="I19" s="137"/>
      <c r="K19" s="2419" t="s">
        <v>2148</v>
      </c>
      <c r="L19" s="2419">
        <f>IF(C1="",'数据-汇总表'!D3,SUMIF(项目类型,C1,'数据-汇总表'!D17:D26)+SUMIF(项目类型,C1,'数据-汇总表'!H17:H27))</f>
        <v>2103.64</v>
      </c>
      <c r="M19" s="2419">
        <f>IF(C1="",'数据-汇总表'!D3,SUMIF(项目类型,C1,'数据-汇总表'!D17:D26))</f>
        <v>2103.64</v>
      </c>
    </row>
    <row r="20" spans="1:35" ht="15">
      <c r="A20" s="2428"/>
      <c r="B20" s="1243" t="s">
        <v>2149</v>
      </c>
      <c r="C20" s="145">
        <f ca="1">SUMIF(INDIRECT("'"&amp;C4&amp;"'"&amp;"!A:A"),'结果表（办公）'!B20,INDIRECT("'"&amp;C4&amp;"'"&amp;"!B:B"))</f>
        <v>43225</v>
      </c>
      <c r="D20" s="146">
        <f ca="1">SUMIF(INDIRECT("'"&amp;D4&amp;"'"&amp;"!A:A"),'结果表（办公）'!B20,INDIRECT("'"&amp;D4&amp;"'"&amp;"!B:B"))</f>
        <v>44074</v>
      </c>
      <c r="E20" s="2428"/>
      <c r="F20" s="1243" t="s">
        <v>2149</v>
      </c>
      <c r="G20" s="147">
        <f ca="1">ROUND(C20*$C$18+D20*$D$18,0)</f>
        <v>43650</v>
      </c>
      <c r="H20" s="976" t="s">
        <v>2150</v>
      </c>
      <c r="I20" s="137"/>
    </row>
    <row r="21" spans="1:35" ht="15" customHeight="1" thickBot="1">
      <c r="A21" s="996"/>
      <c r="B21" s="2429" t="s">
        <v>2151</v>
      </c>
      <c r="C21" s="788">
        <f ca="1">ROUND(C19*10000/L19,0)</f>
        <v>268691</v>
      </c>
      <c r="D21" s="789">
        <f ca="1">ROUND(D19*10000/L19,0)</f>
        <v>273968</v>
      </c>
      <c r="E21" s="996"/>
      <c r="F21" s="2429" t="s">
        <v>2151</v>
      </c>
      <c r="G21" s="148">
        <f ca="1">ROUND(G19*10000/L19,0)</f>
        <v>271330</v>
      </c>
      <c r="H21" s="2430" t="s">
        <v>2150</v>
      </c>
      <c r="I21" s="137"/>
    </row>
    <row r="22" spans="1:35" ht="15" thickBot="1">
      <c r="A22" s="2273" t="s">
        <v>2152</v>
      </c>
      <c r="B22" s="2431"/>
      <c r="C22" s="2432"/>
      <c r="D22" s="790">
        <f ca="1">IF(C19&lt;D19,D19/C19-1,C19/D19-1)</f>
        <v>1.9638023459476628E-2</v>
      </c>
      <c r="E22" s="137"/>
      <c r="F22" s="137"/>
      <c r="G22" s="137"/>
      <c r="H22" s="137"/>
      <c r="I22" s="137"/>
    </row>
    <row r="23" spans="1:35" ht="13.5" thickBot="1">
      <c r="A23" s="2409"/>
      <c r="B23" s="2409"/>
      <c r="C23" s="2409"/>
      <c r="D23" s="2409"/>
      <c r="E23" s="137"/>
      <c r="F23" s="137"/>
      <c r="G23" s="137"/>
      <c r="H23" s="137"/>
      <c r="I23" s="137"/>
    </row>
    <row r="24" spans="1:35" ht="14.25">
      <c r="A24" s="3164" t="s">
        <v>2153</v>
      </c>
      <c r="B24" s="2426" t="s">
        <v>2145</v>
      </c>
      <c r="C24" s="144">
        <f>IF(B30=0,0,D30)</f>
        <v>0</v>
      </c>
      <c r="D24" s="2433"/>
      <c r="E24" s="137"/>
      <c r="F24" s="137"/>
      <c r="G24" s="137"/>
      <c r="H24" s="137"/>
      <c r="I24" s="137"/>
    </row>
    <row r="25" spans="1:35" ht="14.25">
      <c r="A25" s="316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57078</v>
      </c>
      <c r="D32" s="2440" t="s">
        <v>2160</v>
      </c>
      <c r="E32" s="137"/>
      <c r="F32" s="137"/>
      <c r="G32" s="137"/>
      <c r="H32" s="137"/>
      <c r="I32" s="137"/>
    </row>
    <row r="33" spans="1:15" ht="15">
      <c r="A33" s="953" t="s">
        <v>2161</v>
      </c>
      <c r="B33" s="2441"/>
      <c r="C33" s="2442" t="s">
        <v>3437</v>
      </c>
      <c r="D33" s="2443" t="s">
        <v>3425</v>
      </c>
      <c r="E33" s="2444" t="s">
        <v>2162</v>
      </c>
      <c r="F33" s="2445" t="str">
        <f>IF(D32="楼面单价","取值（单价）","取值（总价）")</f>
        <v>取值（总价）</v>
      </c>
      <c r="G33" s="137"/>
      <c r="H33" s="137"/>
      <c r="I33" s="137"/>
    </row>
    <row r="34" spans="1:15" ht="15">
      <c r="A34" s="2446"/>
      <c r="B34" s="2447" t="s">
        <v>2163</v>
      </c>
      <c r="C34" s="156">
        <f ca="1">IF(C33="自定义",F34,C32-C35)</f>
        <v>49087</v>
      </c>
      <c r="D34" s="1051">
        <f ca="1">IF(C33="自定义",ROUND(C34/C32,3),IF(C33="收益比率",SUMIF(INDIRECT("'"&amp;D33&amp;"'"&amp;"!b:b"),"土地收益比率",INDIRECT("'"&amp;D33&amp;"'"&amp;"!c:c")),SUMIF(INDIRECT("'"&amp;D33&amp;"'"&amp;"!b:b"),"土地成本比率",INDIRECT("'"&amp;D33&amp;"'"&amp;"!c:c"))))</f>
        <v>0.86</v>
      </c>
      <c r="E34" s="2448" t="s">
        <v>2164</v>
      </c>
      <c r="F34" s="1732"/>
      <c r="G34" s="137"/>
      <c r="H34" s="137"/>
      <c r="I34" s="137"/>
    </row>
    <row r="35" spans="1:15" ht="15.75" thickBot="1">
      <c r="A35" s="2449"/>
      <c r="B35" s="2450" t="s">
        <v>2165</v>
      </c>
      <c r="C35" s="1437">
        <f ca="1">IF(C33="自定义",F35,ROUND(C32*D35,0))</f>
        <v>7991</v>
      </c>
      <c r="D35" s="1438">
        <f ca="1">IF(C33="自定义",ROUND(C35/C32,3),IF(C33="收益比率",SUMIF(INDIRECT("'"&amp;D33&amp;"'"&amp;"!b:b"),"建筑物收益比率",INDIRECT("'"&amp;D33&amp;"'"&amp;"!c:c")),SUMIF(INDIRECT("'"&amp;D33&amp;"'"&amp;"!b:b"),"建筑物成本比率",INDIRECT("'"&amp;D33&amp;"'"&amp;"!c:c"))))</f>
        <v>0.14000000000000001</v>
      </c>
      <c r="E35" s="2451" t="s">
        <v>2166</v>
      </c>
      <c r="F35" s="162"/>
      <c r="G35" s="137"/>
      <c r="H35" s="137"/>
      <c r="I35" s="137"/>
    </row>
    <row r="36" spans="1:15" ht="15.75" thickBot="1">
      <c r="A36" s="3182" t="s">
        <v>2167</v>
      </c>
      <c r="B36" s="2452" t="s">
        <v>2168</v>
      </c>
      <c r="C36" s="153"/>
      <c r="D36" s="2453"/>
      <c r="E36" s="2454"/>
      <c r="F36" s="2455"/>
      <c r="G36" s="137"/>
      <c r="H36" s="137"/>
      <c r="I36" s="137"/>
    </row>
    <row r="37" spans="1:15" ht="15.75" thickBot="1">
      <c r="A37" s="3183"/>
      <c r="B37" s="2259" t="s">
        <v>2169</v>
      </c>
      <c r="C37" s="155"/>
      <c r="D37" s="1388"/>
      <c r="E37" s="1388"/>
      <c r="F37" s="2455"/>
      <c r="G37" s="137"/>
      <c r="H37" s="137"/>
      <c r="I37" s="137"/>
    </row>
    <row r="38" spans="1:15" ht="15.75" thickBot="1">
      <c r="A38" s="3184"/>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61" t="s">
        <v>2181</v>
      </c>
      <c r="B45" s="3162"/>
      <c r="C45" s="3163"/>
      <c r="D45" s="163">
        <f ca="1">ROUND(H101*F45,0)</f>
        <v>57078</v>
      </c>
      <c r="E45" s="164" t="s">
        <v>2182</v>
      </c>
      <c r="F45" s="165">
        <v>1</v>
      </c>
      <c r="G45" s="166" t="s">
        <v>2183</v>
      </c>
      <c r="H45" s="137"/>
      <c r="I45" s="137"/>
      <c r="J45" s="3221" t="s">
        <v>2184</v>
      </c>
      <c r="K45" s="3221"/>
      <c r="L45" s="3221"/>
      <c r="M45" s="3221"/>
      <c r="N45" s="3221"/>
      <c r="O45" s="3221"/>
    </row>
    <row r="46" spans="1:15" ht="14.25" customHeight="1">
      <c r="A46" s="3158" t="s">
        <v>2185</v>
      </c>
      <c r="B46" s="3159"/>
      <c r="C46" s="3159"/>
      <c r="D46" s="3159"/>
      <c r="E46" s="3159"/>
      <c r="F46" s="3159"/>
      <c r="G46" s="3160"/>
      <c r="H46" s="2471"/>
      <c r="I46" s="167"/>
      <c r="J46" s="1805">
        <v>1</v>
      </c>
      <c r="K46" s="3221" t="s">
        <v>2186</v>
      </c>
      <c r="L46" s="3221"/>
      <c r="M46" s="3241"/>
      <c r="N46" s="3241"/>
      <c r="O46" s="3241"/>
    </row>
    <row r="47" spans="1:15" ht="12" customHeight="1">
      <c r="A47" s="168" t="s">
        <v>2187</v>
      </c>
      <c r="B47" s="169"/>
      <c r="C47" s="170"/>
      <c r="D47" s="171" t="s">
        <v>2188</v>
      </c>
      <c r="E47" s="23" t="s">
        <v>2189</v>
      </c>
      <c r="F47" s="172" t="s">
        <v>2190</v>
      </c>
      <c r="G47" s="173" t="s">
        <v>2191</v>
      </c>
      <c r="H47" s="2471"/>
      <c r="I47" s="167"/>
      <c r="J47" s="1805">
        <v>2</v>
      </c>
      <c r="K47" s="3221" t="s">
        <v>2192</v>
      </c>
      <c r="L47" s="3221"/>
      <c r="M47" s="3242">
        <f>'数据-取费表'!B2</f>
        <v>43182</v>
      </c>
      <c r="N47" s="3242"/>
      <c r="O47" s="3242"/>
    </row>
    <row r="48" spans="1:15" ht="25.5">
      <c r="A48" s="3189" t="s">
        <v>2193</v>
      </c>
      <c r="B48" s="3172"/>
      <c r="C48" s="3172"/>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221" t="s">
        <v>2196</v>
      </c>
      <c r="L48" s="3221"/>
      <c r="M48" s="3243">
        <f ca="1">H101</f>
        <v>57078</v>
      </c>
      <c r="N48" s="3243"/>
      <c r="O48" s="3243"/>
    </row>
    <row r="49" spans="1:35" ht="25.5" customHeight="1">
      <c r="A49" s="175" t="s">
        <v>2197</v>
      </c>
      <c r="B49" s="3157" t="s">
        <v>2198</v>
      </c>
      <c r="C49" s="3157"/>
      <c r="D49" s="176">
        <v>0</v>
      </c>
      <c r="E49" s="22" t="s">
        <v>2199</v>
      </c>
      <c r="F49" s="27" t="s">
        <v>34</v>
      </c>
      <c r="G49" s="3227"/>
      <c r="H49" s="137"/>
      <c r="I49" s="2474"/>
      <c r="J49" s="1805">
        <v>4</v>
      </c>
      <c r="K49" s="3221" t="str">
        <f>IF(项目基本情况!E8="房地产抵押价值","房地产抵押价值","抵押担保权已注销时的房地产抵押价值")</f>
        <v>抵押担保权已注销时的房地产抵押价值</v>
      </c>
      <c r="L49" s="3221"/>
      <c r="M49" s="3243">
        <f ca="1">IF(项目基本情况!E8="房地产抵押价值",H107,H109)</f>
        <v>57078</v>
      </c>
      <c r="N49" s="3243"/>
      <c r="O49" s="3243"/>
    </row>
    <row r="50" spans="1:35" ht="25.5" customHeight="1">
      <c r="A50" s="177"/>
      <c r="B50" s="3157" t="s">
        <v>2200</v>
      </c>
      <c r="C50" s="3157"/>
      <c r="D50" s="178"/>
      <c r="E50" s="30"/>
      <c r="F50" s="179"/>
      <c r="G50" s="3228"/>
      <c r="H50" s="137"/>
      <c r="I50" s="2474"/>
      <c r="J50" s="3221" t="s">
        <v>2201</v>
      </c>
      <c r="K50" s="3221"/>
      <c r="L50" s="3221"/>
      <c r="M50" s="3221"/>
      <c r="N50" s="3221"/>
      <c r="O50" s="3221"/>
    </row>
    <row r="51" spans="1:35" ht="12" customHeight="1">
      <c r="A51" s="180"/>
      <c r="B51" s="3157" t="s">
        <v>2202</v>
      </c>
      <c r="C51" s="3157"/>
      <c r="D51" s="181"/>
      <c r="E51" s="29"/>
      <c r="F51" s="179"/>
      <c r="G51" s="3229"/>
      <c r="H51" s="137"/>
      <c r="I51" s="2474"/>
      <c r="J51" s="2475" t="s">
        <v>2203</v>
      </c>
      <c r="K51" s="3221" t="s">
        <v>2204</v>
      </c>
      <c r="L51" s="3221"/>
      <c r="M51" s="2475" t="s">
        <v>2205</v>
      </c>
      <c r="N51" s="2475" t="s">
        <v>2206</v>
      </c>
      <c r="O51" s="2475" t="s">
        <v>2207</v>
      </c>
    </row>
    <row r="52" spans="1:35" ht="24" customHeight="1">
      <c r="A52" s="182" t="s">
        <v>2208</v>
      </c>
      <c r="B52" s="3157" t="s">
        <v>2209</v>
      </c>
      <c r="C52" s="3157"/>
      <c r="D52" s="181">
        <f ca="1">ROUND(D45*'数据-取费表'!B41/(1+'数据-取费表'!C42),0)</f>
        <v>2990</v>
      </c>
      <c r="E52" s="11" t="s">
        <v>2210</v>
      </c>
      <c r="F52" s="183">
        <f>'数据-取费表'!B41</f>
        <v>5.5000000000000007E-2</v>
      </c>
      <c r="G52" s="2476"/>
      <c r="H52" s="137"/>
      <c r="I52" s="2474"/>
      <c r="J52" s="1805">
        <v>1</v>
      </c>
      <c r="K52" s="3222" t="s">
        <v>2211</v>
      </c>
      <c r="L52" s="3222"/>
      <c r="M52" s="1747">
        <f>D48</f>
        <v>0</v>
      </c>
      <c r="N52" s="1805" t="str">
        <f>E48</f>
        <v>销售额×税（费）率</v>
      </c>
      <c r="O52" s="1748" t="str">
        <f>F48</f>
        <v>免征</v>
      </c>
    </row>
    <row r="53" spans="1:35" ht="12" customHeight="1">
      <c r="A53" s="182" t="s">
        <v>2212</v>
      </c>
      <c r="B53" s="3180" t="s">
        <v>2213</v>
      </c>
      <c r="C53" s="3181"/>
      <c r="D53" s="181">
        <f ca="1">ROUND(D45*'数据-取费表'!B41/(1+'数据-取费表'!C42),0)</f>
        <v>2990</v>
      </c>
      <c r="E53" s="11" t="s">
        <v>2210</v>
      </c>
      <c r="F53" s="183">
        <f>'数据-取费表'!B41</f>
        <v>5.5000000000000007E-2</v>
      </c>
      <c r="G53" s="2476"/>
      <c r="H53" s="137"/>
      <c r="I53" s="2474"/>
      <c r="J53" s="1805">
        <v>2</v>
      </c>
      <c r="K53" s="3222" t="s">
        <v>2214</v>
      </c>
      <c r="L53" s="3222"/>
      <c r="M53" s="1747">
        <f t="shared" ref="M53:O54" ca="1" si="0">D55</f>
        <v>29</v>
      </c>
      <c r="N53" s="1805" t="str">
        <f t="shared" si="0"/>
        <v>销售额×税（费）率</v>
      </c>
      <c r="O53" s="1748">
        <f t="shared" si="0"/>
        <v>5.0000000000000001E-4</v>
      </c>
    </row>
    <row r="54" spans="1:35" ht="12" customHeight="1">
      <c r="A54" s="182" t="s">
        <v>2215</v>
      </c>
      <c r="B54" s="3180" t="s">
        <v>2216</v>
      </c>
      <c r="C54" s="3181"/>
      <c r="D54" s="181">
        <f ca="1">C68</f>
        <v>2990</v>
      </c>
      <c r="E54" s="29" t="s">
        <v>2217</v>
      </c>
      <c r="F54" s="183">
        <f>'数据-取费表'!B41</f>
        <v>5.5000000000000007E-2</v>
      </c>
      <c r="G54" s="2476"/>
      <c r="H54" s="2477"/>
      <c r="I54" s="2474"/>
      <c r="J54" s="1805">
        <v>3</v>
      </c>
      <c r="K54" s="3222" t="s">
        <v>2218</v>
      </c>
      <c r="L54" s="3222"/>
      <c r="M54" s="1747">
        <f t="shared" ca="1" si="0"/>
        <v>32358</v>
      </c>
      <c r="N54" s="1805" t="str">
        <f t="shared" si="0"/>
        <v>增值额×税（费）率</v>
      </c>
      <c r="O54" s="1749" t="str">
        <f t="shared" si="0"/>
        <v>——</v>
      </c>
    </row>
    <row r="55" spans="1:35" ht="24" customHeight="1">
      <c r="A55" s="3171" t="s">
        <v>2219</v>
      </c>
      <c r="B55" s="3172"/>
      <c r="C55" s="3172"/>
      <c r="D55" s="184">
        <f ca="1">IF(H55="个人住宅",0,ROUND(D45*I55,0))</f>
        <v>29</v>
      </c>
      <c r="E55" s="11" t="s">
        <v>2220</v>
      </c>
      <c r="F55" s="183">
        <f>IF(H55="正常",I55,"免征")</f>
        <v>5.0000000000000001E-4</v>
      </c>
      <c r="G55" s="2476"/>
      <c r="H55" s="2473" t="s">
        <v>2221</v>
      </c>
      <c r="I55" s="185">
        <f>'数据-取费表'!B49</f>
        <v>5.0000000000000001E-4</v>
      </c>
      <c r="J55" s="1805" t="str">
        <f>IF(H59="非个人房产","",4)</f>
        <v/>
      </c>
      <c r="K55" s="3222" t="str">
        <f>IF(H59="非个人房产","——","个人所得税")</f>
        <v>——</v>
      </c>
      <c r="L55" s="3222"/>
      <c r="M55" s="1750" t="str">
        <f>D59</f>
        <v>——</v>
      </c>
      <c r="N55" s="1803" t="str">
        <f>E59</f>
        <v>——</v>
      </c>
      <c r="O55" s="1751" t="str">
        <f>F59</f>
        <v>——</v>
      </c>
    </row>
    <row r="56" spans="1:35" ht="24.75">
      <c r="A56" s="3171" t="s">
        <v>2222</v>
      </c>
      <c r="B56" s="3172"/>
      <c r="C56" s="3172"/>
      <c r="D56" s="184">
        <f ca="1">IF(H56="个人住宅",D57,D58)</f>
        <v>32358</v>
      </c>
      <c r="E56" s="11" t="s">
        <v>2223</v>
      </c>
      <c r="F56" s="183" t="str">
        <f>IF(H56="正常",F58,"免征")</f>
        <v>——</v>
      </c>
      <c r="G56" s="2478" t="s">
        <v>2224</v>
      </c>
      <c r="H56" s="2479" t="s">
        <v>2221</v>
      </c>
      <c r="I56" s="2480"/>
      <c r="J56" s="1805" t="str">
        <f>IF(项目基本情况!K6="上海银行",IF(J55="",4,J55+1),"")</f>
        <v/>
      </c>
      <c r="K56" s="3245" t="str">
        <f>IF(项目基本情况!K6="上海银行","其他处置费用","")</f>
        <v/>
      </c>
      <c r="L56" s="3246"/>
      <c r="M56" s="1747" t="str">
        <f>IF(项目基本情况!K6="上海银行",M69,"")</f>
        <v/>
      </c>
      <c r="N56" s="3248" t="str">
        <f>IF(项目基本情况!K6="上海银行","包含处置中涉及的律师、诉讼、拍卖、评估等费用","")</f>
        <v/>
      </c>
      <c r="O56" s="3249"/>
    </row>
    <row r="57" spans="1:35" ht="12.75">
      <c r="A57" s="182" t="s">
        <v>2197</v>
      </c>
      <c r="B57" s="3187" t="s">
        <v>2225</v>
      </c>
      <c r="C57" s="3196"/>
      <c r="D57" s="186">
        <v>0</v>
      </c>
      <c r="E57" s="22" t="s">
        <v>2199</v>
      </c>
      <c r="F57" s="154"/>
      <c r="G57" s="2476"/>
      <c r="H57" s="2480"/>
      <c r="I57" s="2480"/>
      <c r="J57" s="3222">
        <f>IF(AND(J55="",J56=""),4,IF(项目基本情况!K6="上海银行",'结果表（办公）'!J56+1,'结果表（办公）'!J55+1))</f>
        <v>4</v>
      </c>
      <c r="K57" s="3222" t="s">
        <v>2226</v>
      </c>
      <c r="L57" s="2481" t="s">
        <v>2227</v>
      </c>
      <c r="M57" s="1752"/>
      <c r="N57" s="1753">
        <f ca="1">SUMIF(M52:M56,"&lt;9e307")</f>
        <v>32387</v>
      </c>
      <c r="O57" s="2482"/>
      <c r="P57" s="1746">
        <f ca="1">N57/M49</f>
        <v>0.56741651774764357</v>
      </c>
    </row>
    <row r="58" spans="1:35" ht="24.75">
      <c r="A58" s="182" t="s">
        <v>2208</v>
      </c>
      <c r="B58" s="3187" t="s">
        <v>2228</v>
      </c>
      <c r="C58" s="3188"/>
      <c r="D58" s="184">
        <f ca="1">IF(H58="转让取得",C81,C97)</f>
        <v>32358</v>
      </c>
      <c r="E58" s="11" t="s">
        <v>2223</v>
      </c>
      <c r="F58" s="23" t="s">
        <v>34</v>
      </c>
      <c r="G58" s="2476"/>
      <c r="H58" s="2479" t="s">
        <v>2229</v>
      </c>
      <c r="I58" s="2480"/>
      <c r="J58" s="3222"/>
      <c r="K58" s="3222"/>
      <c r="L58" s="2481" t="s">
        <v>2230</v>
      </c>
      <c r="M58" s="1754"/>
      <c r="N58" s="2483" t="str">
        <f ca="1">NUMBERSTRING(INT(N57*10000),2)&amp;"元整"</f>
        <v>叁亿贰仟叁佰捌拾柒万元整</v>
      </c>
      <c r="O58" s="2484"/>
    </row>
    <row r="59" spans="1:35" ht="24.75" thickBot="1">
      <c r="A59" s="3225" t="s">
        <v>2231</v>
      </c>
      <c r="B59" s="3226"/>
      <c r="C59" s="3226"/>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223">
        <f>J57+1</f>
        <v>5</v>
      </c>
      <c r="K59" s="3222" t="s">
        <v>2233</v>
      </c>
      <c r="L59" s="1805" t="s">
        <v>2227</v>
      </c>
      <c r="M59" s="1755"/>
      <c r="N59" s="1756">
        <f ca="1">M49-N57</f>
        <v>24691</v>
      </c>
      <c r="O59" s="2486"/>
    </row>
    <row r="60" spans="1:35" ht="12" customHeight="1">
      <c r="A60" s="2487"/>
      <c r="B60" s="2409"/>
      <c r="C60" s="2409"/>
      <c r="D60" s="2409"/>
      <c r="E60" s="2159"/>
      <c r="F60" s="2480"/>
      <c r="G60" s="2480"/>
      <c r="H60" s="2488"/>
      <c r="I60" s="137"/>
      <c r="J60" s="3224"/>
      <c r="K60" s="3222"/>
      <c r="L60" s="2481" t="s">
        <v>2230</v>
      </c>
      <c r="M60" s="1754"/>
      <c r="N60" s="2483" t="str">
        <f ca="1">NUMBERSTRING(INT(N59*10000),2)&amp;"元整"</f>
        <v>贰亿肆仟陆佰玖拾壹万元整</v>
      </c>
      <c r="O60" s="2484"/>
    </row>
    <row r="61" spans="1:35" ht="13.5" thickBot="1">
      <c r="A61" s="3169" t="s">
        <v>2234</v>
      </c>
      <c r="B61" s="3169"/>
      <c r="C61" s="3169"/>
      <c r="D61" s="3169"/>
      <c r="E61" s="3169"/>
      <c r="F61" s="2480"/>
      <c r="G61" s="2480"/>
      <c r="H61" s="2488"/>
      <c r="I61" s="137"/>
      <c r="J61" s="1805">
        <f>J59+1</f>
        <v>6</v>
      </c>
      <c r="K61" s="3222" t="s">
        <v>2235</v>
      </c>
      <c r="L61" s="3222"/>
      <c r="M61" s="1757"/>
      <c r="N61" s="1758">
        <f ca="1">ROUND(N59*10000/'数据-汇总表'!E3,0)</f>
        <v>14553</v>
      </c>
      <c r="O61" s="2489"/>
    </row>
    <row r="62" spans="1:35" ht="12.75">
      <c r="A62" s="3185" t="s">
        <v>2236</v>
      </c>
      <c r="B62" s="3186"/>
      <c r="C62" s="1797"/>
      <c r="D62" s="1797" t="s">
        <v>2237</v>
      </c>
      <c r="E62" s="191" t="s">
        <v>2238</v>
      </c>
      <c r="F62" s="2480"/>
      <c r="G62" s="2480"/>
      <c r="H62" s="2488"/>
      <c r="I62" s="137"/>
    </row>
    <row r="63" spans="1:35" ht="12.75">
      <c r="A63" s="202" t="s">
        <v>775</v>
      </c>
      <c r="B63" s="192" t="s">
        <v>2239</v>
      </c>
      <c r="C63" s="193">
        <f ca="1">ROUND((C64+C65)/(1+'数据-取费表'!C42),0)</f>
        <v>54360</v>
      </c>
      <c r="D63" s="194"/>
      <c r="E63" s="195"/>
      <c r="F63" s="2480"/>
      <c r="G63" s="2480"/>
      <c r="H63" s="2488"/>
      <c r="I63" s="137"/>
      <c r="J63" s="3247" t="s">
        <v>2240</v>
      </c>
      <c r="K63" s="2490" t="s">
        <v>2241</v>
      </c>
      <c r="L63" s="1745">
        <f ca="1">IF(M49&gt;10000,M49*0.5%,IF(AND(M49&gt;1000,M49&lt;=10000),M49*1%,IF(AND(M49&gt;100,M49&lt;=1000),M49*3%,IF(AND(M49&gt;10,M49&lt;=100),M49*5%,M49*8%))))</f>
        <v>285.39</v>
      </c>
      <c r="M63" s="23">
        <f ca="1">ROUND(L63,1)</f>
        <v>285.39999999999998</v>
      </c>
      <c r="Z63" s="2414"/>
      <c r="AI63" s="2415"/>
    </row>
    <row r="64" spans="1:35" ht="14.25" customHeight="1">
      <c r="A64" s="196" t="s">
        <v>770</v>
      </c>
      <c r="B64" s="197" t="s">
        <v>2242</v>
      </c>
      <c r="C64" s="198">
        <f ca="1">D45</f>
        <v>57078</v>
      </c>
      <c r="D64" s="199" t="s">
        <v>32</v>
      </c>
      <c r="E64" s="200"/>
      <c r="F64" s="2480"/>
      <c r="G64" s="2480"/>
      <c r="H64" s="2488"/>
      <c r="I64" s="137"/>
      <c r="J64" s="3247"/>
      <c r="K64" s="2490" t="s">
        <v>2243</v>
      </c>
      <c r="L64" s="1745">
        <f ca="1">IF(M49&gt;2000,M49*0.5%,IF(AND(M49&gt;1000,M49&lt;=2000),M49*0.6%,IF(AND(M49&gt;500,M49&lt;=1000),M49*0.7%,IF(AND(M49&gt;200,M49&lt;=500),M49*0.8%,IF(AND(M49&gt;100,M49&lt;=200),M49*0.9%,IF(AND(M49&gt;50,M49&lt;=100),M49*1%,IF(AND(M49&gt;20,M49&lt;=50),M49*1.5%,IF(AND(M49&gt;10,M49&lt;=20),M49*2%,IF(AND(M49&gt;1,M49&lt;=10),M49*2.5%)))))))))</f>
        <v>285.39</v>
      </c>
      <c r="M64" s="23">
        <f t="shared" ref="M64:M65" ca="1" si="1">ROUND(L64,1)</f>
        <v>285.39999999999998</v>
      </c>
      <c r="N64" s="137" t="s">
        <v>2244</v>
      </c>
      <c r="Z64" s="2414"/>
      <c r="AI64" s="2415"/>
    </row>
    <row r="65" spans="1:35" ht="14.25" customHeight="1">
      <c r="A65" s="196" t="s">
        <v>771</v>
      </c>
      <c r="B65" s="197" t="s">
        <v>2245</v>
      </c>
      <c r="C65" s="201"/>
      <c r="D65" s="199"/>
      <c r="E65" s="200"/>
      <c r="F65" s="2480"/>
      <c r="G65" s="2480"/>
      <c r="H65" s="2488"/>
      <c r="I65" s="137"/>
      <c r="J65" s="3247"/>
      <c r="K65" s="2490" t="s">
        <v>2246</v>
      </c>
      <c r="L65" s="1745">
        <f ca="1">IF(M49&gt;1000,M49*0.1%,IF(AND(M49&gt;500,M49&lt;=1000),M49*0.5%,IF(AND(M49&gt;50,M49&lt;=500),M49*1%,IF(AND(M49&gt;1,M49&lt;=50),M49*1.5%))))</f>
        <v>57.078000000000003</v>
      </c>
      <c r="M65" s="23">
        <f t="shared" ca="1" si="1"/>
        <v>57.1</v>
      </c>
      <c r="N65" s="137" t="s">
        <v>2244</v>
      </c>
      <c r="Z65" s="2414"/>
      <c r="AI65" s="2415"/>
    </row>
    <row r="66" spans="1:35" ht="14.25" customHeight="1">
      <c r="A66" s="202" t="s">
        <v>772</v>
      </c>
      <c r="B66" s="203" t="s">
        <v>2247</v>
      </c>
      <c r="C66" s="204"/>
      <c r="D66" s="205" t="s">
        <v>32</v>
      </c>
      <c r="E66" s="1769" t="s">
        <v>1371</v>
      </c>
      <c r="F66" s="2480"/>
      <c r="G66" s="2480"/>
      <c r="H66" s="2488"/>
      <c r="I66" s="137"/>
      <c r="J66" s="3247"/>
      <c r="K66" s="2490" t="s">
        <v>2248</v>
      </c>
      <c r="L66" s="1745">
        <f ca="1">M49*0.5%</f>
        <v>285.39</v>
      </c>
      <c r="M66" s="23">
        <f ca="1">IF(L66&gt;0.5,0.5,ROUND(L66,0))</f>
        <v>0.5</v>
      </c>
      <c r="N66" s="137" t="s">
        <v>2249</v>
      </c>
      <c r="Z66" s="2414"/>
      <c r="AI66" s="2415"/>
    </row>
    <row r="67" spans="1:35" ht="14.25" customHeight="1">
      <c r="A67" s="202" t="s">
        <v>773</v>
      </c>
      <c r="B67" s="203" t="s">
        <v>2250</v>
      </c>
      <c r="C67" s="206">
        <f ca="1">C63-C66</f>
        <v>54360</v>
      </c>
      <c r="D67" s="199" t="s">
        <v>32</v>
      </c>
      <c r="E67" s="200"/>
      <c r="F67" s="2480"/>
      <c r="G67" s="2480"/>
      <c r="H67" s="2488"/>
      <c r="I67" s="137"/>
      <c r="J67" s="3247"/>
      <c r="K67" s="2490" t="s">
        <v>2251</v>
      </c>
      <c r="L67" s="1745">
        <f ca="1">IF(M49&gt;=10000,(8.25+(M49-10000)*0.01%),IF(AND(M49&gt;=8000,M49&lt;10000),(7.85+(M49-8000)*0.02%),IF(AND(M49&gt;=5000,M49&lt;8000),(6.65+(M49-5000)*0.04%),IF(AND(M49&gt;=2000,M49&lt;5000),(4.25+(PM49-2000)*0.08%),IF(AND(M49&gt;=1000,M49&lt;2000),(2.75+(M49-1000)*0.15%),IF(AND(M49&gt;=100,M49&lt;1000),(0.5+(M49-100)*0.25%),IF(AND(M49&gt;0,M49&lt;100),M49*0.5%)))))))</f>
        <v>12.957800000000001</v>
      </c>
      <c r="M67" s="23">
        <f ca="1">ROUND(L67*0.9,1)</f>
        <v>11.7</v>
      </c>
      <c r="Z67" s="2414"/>
      <c r="AI67" s="2415"/>
    </row>
    <row r="68" spans="1:35" ht="14.25" customHeight="1" thickBot="1">
      <c r="A68" s="207" t="s">
        <v>774</v>
      </c>
      <c r="B68" s="208" t="s">
        <v>2252</v>
      </c>
      <c r="C68" s="209">
        <f ca="1">IF(C67&lt;=0,0,ROUND(C67*D68,0))</f>
        <v>2990</v>
      </c>
      <c r="D68" s="210">
        <f>'数据-取费表'!B41</f>
        <v>5.5000000000000007E-2</v>
      </c>
      <c r="E68" s="211"/>
      <c r="F68" s="2480"/>
      <c r="G68" s="2480"/>
      <c r="H68" s="2488"/>
      <c r="I68" s="137"/>
      <c r="J68" s="3247"/>
      <c r="K68" s="2490" t="s">
        <v>2253</v>
      </c>
      <c r="L68" s="1745">
        <f ca="1">IF(M49&gt;10000,M49*0.5%,IF(AND(M49&gt;5000,M49&lt;=10000),M49*1%,IF(AND(M49&gt;1000,M49&lt;=5000),M49*2%,IF(AND(M49&gt;200,M49&lt;=1000),M49*3%,M49*5%))))</f>
        <v>285.39</v>
      </c>
      <c r="M68" s="23">
        <f ca="1">ROUND(L68,1)</f>
        <v>285.39999999999998</v>
      </c>
      <c r="Z68" s="2414"/>
      <c r="AI68" s="2415"/>
    </row>
    <row r="69" spans="1:35" s="2437" customFormat="1" ht="16.5" customHeight="1">
      <c r="A69" s="2491"/>
      <c r="B69" s="2492"/>
      <c r="C69" s="2493"/>
      <c r="D69" s="2494"/>
      <c r="E69" s="2495"/>
      <c r="F69" s="2159"/>
      <c r="G69" s="2159"/>
      <c r="H69" s="2158"/>
      <c r="I69" s="2409"/>
      <c r="J69" s="3247"/>
      <c r="K69" s="2490" t="s">
        <v>2254</v>
      </c>
      <c r="L69" s="2496"/>
      <c r="M69" s="23">
        <f ca="1">ROUND(SUM(M63:M68),0)</f>
        <v>926</v>
      </c>
      <c r="N69" s="1746">
        <f ca="1">M69/M49</f>
        <v>1.6223413574406952E-2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6" t="s">
        <v>2255</v>
      </c>
      <c r="B70" s="3207"/>
      <c r="C70" s="3207"/>
      <c r="D70" s="3207"/>
      <c r="E70" s="3207"/>
      <c r="F70" s="3207"/>
      <c r="G70" s="3207"/>
      <c r="H70" s="320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85" t="s">
        <v>2236</v>
      </c>
      <c r="B71" s="3186"/>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54360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272</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0" t="s">
        <v>2264</v>
      </c>
      <c r="F76" s="3157"/>
      <c r="G76" s="3157"/>
      <c r="H76" s="320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272</v>
      </c>
      <c r="D78" s="225">
        <f>'数据-取费表'!B43</f>
        <v>5.000000000000001E-3</v>
      </c>
      <c r="E78" s="3166" t="s">
        <v>2269</v>
      </c>
      <c r="F78" s="3167"/>
      <c r="G78" s="3167"/>
      <c r="H78" s="317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54088</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198.85294117647058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32358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6" t="s">
        <v>2273</v>
      </c>
      <c r="B83" s="3207"/>
      <c r="C83" s="3207"/>
      <c r="D83" s="3207"/>
      <c r="E83" s="3207"/>
      <c r="F83" s="3207"/>
      <c r="G83" s="3207"/>
      <c r="H83" s="320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85" t="s">
        <v>2236</v>
      </c>
      <c r="B84" s="3186"/>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54360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272</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6" t="s">
        <v>2282</v>
      </c>
      <c r="F91" s="3167"/>
      <c r="G91" s="3167"/>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6" t="s">
        <v>2286</v>
      </c>
      <c r="F92" s="3167"/>
      <c r="G92" s="3167"/>
      <c r="H92" s="317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272</v>
      </c>
      <c r="D93" s="225">
        <f>'数据-取费表'!B43</f>
        <v>5.000000000000001E-3</v>
      </c>
      <c r="E93" s="3166" t="s">
        <v>2269</v>
      </c>
      <c r="F93" s="3167"/>
      <c r="G93" s="3167"/>
      <c r="H93" s="317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77" t="s">
        <v>2290</v>
      </c>
      <c r="F94" s="3178"/>
      <c r="G94" s="3178"/>
      <c r="H94" s="317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54088</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198.85294117647058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32358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68"/>
      <c r="E100" s="3152" t="s">
        <v>2293</v>
      </c>
      <c r="F100" s="3152"/>
      <c r="G100" s="3152"/>
      <c r="H100" s="3168"/>
      <c r="I100" s="137"/>
    </row>
    <row r="101" spans="1:35" ht="18.75" customHeight="1">
      <c r="A101" s="3230" t="s">
        <v>2294</v>
      </c>
      <c r="B101" s="3231"/>
      <c r="C101" s="735" t="str">
        <f>C4</f>
        <v>成本法（办公）</v>
      </c>
      <c r="D101" s="736" t="str">
        <f>D4</f>
        <v>收益法（办公）</v>
      </c>
      <c r="E101" s="3244" t="s">
        <v>2295</v>
      </c>
      <c r="F101" s="3198"/>
      <c r="G101" s="2511" t="s">
        <v>2296</v>
      </c>
      <c r="H101" s="1041">
        <f ca="1">H118</f>
        <v>57078</v>
      </c>
      <c r="I101" s="137"/>
    </row>
    <row r="102" spans="1:35" ht="18.75" customHeight="1">
      <c r="A102" s="3200" t="s">
        <v>2297</v>
      </c>
      <c r="B102" s="2511" t="s">
        <v>2296</v>
      </c>
      <c r="C102" s="735">
        <f ca="1">C19</f>
        <v>56523</v>
      </c>
      <c r="D102" s="736">
        <f ca="1">D19</f>
        <v>57633</v>
      </c>
      <c r="E102" s="3244"/>
      <c r="F102" s="3198"/>
      <c r="G102" s="2511" t="s">
        <v>2298</v>
      </c>
      <c r="H102" s="370">
        <f ca="1">I118</f>
        <v>43650</v>
      </c>
      <c r="I102" s="137"/>
    </row>
    <row r="103" spans="1:35" ht="42.75" customHeight="1">
      <c r="A103" s="3200"/>
      <c r="B103" s="2511" t="s">
        <v>2298</v>
      </c>
      <c r="C103" s="737">
        <f ca="1">C20</f>
        <v>43225</v>
      </c>
      <c r="D103" s="738">
        <f ca="1">D20</f>
        <v>44074</v>
      </c>
      <c r="E103" s="3239" t="s">
        <v>2299</v>
      </c>
      <c r="F103" s="3240"/>
      <c r="G103" s="2512" t="s">
        <v>2300</v>
      </c>
      <c r="H103" s="1041">
        <f>IF(D36="正常操作",H104+H105+H106,H105+H106)</f>
        <v>0</v>
      </c>
      <c r="I103" s="137"/>
    </row>
    <row r="104" spans="1:35" ht="18.75" customHeight="1">
      <c r="A104" s="3200" t="s">
        <v>2301</v>
      </c>
      <c r="B104" s="2513" t="s">
        <v>2296</v>
      </c>
      <c r="C104" s="739">
        <f ca="1">H118</f>
        <v>57078</v>
      </c>
      <c r="D104" s="740"/>
      <c r="E104" s="2259" t="s">
        <v>2302</v>
      </c>
      <c r="F104" s="2251"/>
      <c r="G104" s="2512" t="s">
        <v>2300</v>
      </c>
      <c r="H104" s="1042">
        <f>IF(D36="同一抵押权人同一抵押物续贷",C36&amp;"（未扣减，详见特别提示）",C36)</f>
        <v>0</v>
      </c>
      <c r="I104" s="137"/>
    </row>
    <row r="105" spans="1:35" ht="18.75" customHeight="1" thickBot="1">
      <c r="A105" s="3201"/>
      <c r="B105" s="2514" t="s">
        <v>2298</v>
      </c>
      <c r="C105" s="741">
        <f ca="1">I118</f>
        <v>43650</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7" t="str">
        <f>IF(项目基本情况!E8="已注销","——","3.房地产抵押价值")</f>
        <v>——</v>
      </c>
      <c r="F107" s="3198"/>
      <c r="G107" s="2511" t="s">
        <v>2296</v>
      </c>
      <c r="H107" s="1041" t="str">
        <f>IF(E107="——","——",H101-H103)</f>
        <v>——</v>
      </c>
      <c r="I107" s="137"/>
    </row>
    <row r="108" spans="1:35" ht="18.75" customHeight="1">
      <c r="A108" s="137"/>
      <c r="B108" s="137"/>
      <c r="C108" s="137"/>
      <c r="D108" s="137"/>
      <c r="E108" s="3197"/>
      <c r="F108" s="3198"/>
      <c r="G108" s="2511" t="s">
        <v>2298</v>
      </c>
      <c r="H108" s="370" t="e">
        <f>ROUND(H107*10000/'数据-汇总表'!E3,0)</f>
        <v>#VALUE!</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3.抵押担保权已注销时的房地产抵押价值</v>
      </c>
      <c r="F109" s="3198"/>
      <c r="G109" s="2511" t="s">
        <v>2296</v>
      </c>
      <c r="H109" s="347">
        <f ca="1">IF(E109="——","——",H101-H105-H106)</f>
        <v>57078</v>
      </c>
      <c r="I109" s="137"/>
    </row>
    <row r="110" spans="1:35" ht="18.75" customHeight="1">
      <c r="A110" s="137"/>
      <c r="B110" s="137"/>
      <c r="C110" s="137"/>
      <c r="D110" s="137"/>
      <c r="E110" s="3197"/>
      <c r="F110" s="3198"/>
      <c r="G110" s="2511" t="s">
        <v>2298</v>
      </c>
      <c r="H110" s="370">
        <f ca="1">IF(H109="——","——",ROUND(H109*10000/'数据-汇总表'!E3,0))</f>
        <v>33643</v>
      </c>
      <c r="I110" s="137"/>
    </row>
    <row r="111" spans="1:35" ht="18.75" customHeight="1">
      <c r="A111" s="137"/>
      <c r="B111" s="137"/>
      <c r="C111" s="137"/>
      <c r="D111" s="137"/>
      <c r="E111" s="3232" t="str">
        <f>IF(项目基本情况!E9="抵押净值",IF(OR(项目基本情况!E8="已注销",项目基本情况!E8="房地产抵押价值"),"4.抵押净值","5.抵押净值"),"——")</f>
        <v>——</v>
      </c>
      <c r="F111" s="3233"/>
      <c r="G111" s="2511" t="s">
        <v>2296</v>
      </c>
      <c r="H111" s="1041" t="str">
        <f>IF(E111="——","——",N59)</f>
        <v>——</v>
      </c>
      <c r="I111" s="137"/>
    </row>
    <row r="112" spans="1:35" ht="18.75" customHeight="1" thickBot="1">
      <c r="A112" s="137"/>
      <c r="B112" s="137"/>
      <c r="C112" s="137"/>
      <c r="D112" s="137"/>
      <c r="E112" s="3234"/>
      <c r="F112" s="3235"/>
      <c r="G112" s="2516" t="s">
        <v>2298</v>
      </c>
      <c r="H112" s="789" t="str">
        <f>IF(E111="——","——",N61)</f>
        <v>——</v>
      </c>
      <c r="I112" s="137"/>
    </row>
    <row r="113" spans="1:11" ht="18.75" customHeight="1">
      <c r="A113" s="137"/>
      <c r="B113" s="137"/>
      <c r="C113" s="137"/>
      <c r="D113" s="137"/>
      <c r="E113" s="3202" t="s">
        <v>2304</v>
      </c>
      <c r="F113" s="3202"/>
      <c r="G113" s="3202"/>
      <c r="H113" s="3202"/>
      <c r="I113" s="137"/>
    </row>
    <row r="114" spans="1:11" ht="3.75" customHeight="1">
      <c r="A114" s="2409"/>
      <c r="B114" s="2409"/>
      <c r="C114" s="2409"/>
      <c r="D114" s="2409"/>
      <c r="E114" s="2487"/>
      <c r="F114" s="2487"/>
      <c r="G114" s="2487"/>
      <c r="H114" s="2487"/>
      <c r="I114" s="2409"/>
    </row>
    <row r="115" spans="1:11" ht="18.75" customHeight="1">
      <c r="A115" s="3215" t="s">
        <v>2306</v>
      </c>
      <c r="B115" s="3216"/>
      <c r="C115" s="3216"/>
      <c r="D115" s="3216"/>
      <c r="E115" s="3216"/>
      <c r="F115" s="3216"/>
      <c r="G115" s="3216"/>
      <c r="H115" s="3216"/>
      <c r="I115" s="3217"/>
    </row>
    <row r="116" spans="1:11" ht="27" customHeight="1">
      <c r="A116" s="3108" t="s">
        <v>2307</v>
      </c>
      <c r="B116" s="3203" t="s">
        <v>2308</v>
      </c>
      <c r="C116" s="3203" t="s">
        <v>2309</v>
      </c>
      <c r="D116" s="3219" t="s">
        <v>2310</v>
      </c>
      <c r="E116" s="3220"/>
      <c r="F116" s="3211" t="s">
        <v>2311</v>
      </c>
      <c r="G116" s="3211"/>
      <c r="H116" s="3108" t="s">
        <v>2312</v>
      </c>
      <c r="I116" s="3108"/>
    </row>
    <row r="117" spans="1:11" ht="18.75" customHeight="1">
      <c r="A117" s="3108"/>
      <c r="B117" s="3204"/>
      <c r="C117" s="3204"/>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13076.410000000002</v>
      </c>
      <c r="C118" s="1791">
        <f>M19</f>
        <v>2103.64</v>
      </c>
      <c r="D118" s="1791">
        <f ca="1">ROUND(IF(D32="总价",C34,E118*B118/10000),0)</f>
        <v>49087</v>
      </c>
      <c r="E118" s="1791">
        <f ca="1">ROUND(IF(C33="自定义",IF(D32="楼面单价",C34,D118*10000/B118),I118-G118),0)</f>
        <v>37539</v>
      </c>
      <c r="F118" s="1791">
        <f ca="1">ROUND(IF(D32="总价",C35,G118*B118/10000),0)</f>
        <v>7991</v>
      </c>
      <c r="G118" s="1791">
        <f ca="1">ROUND(IF(D32="楼面单价",C35,F118*10000/B118),0)</f>
        <v>6111</v>
      </c>
      <c r="H118" s="1791">
        <f ca="1">ROUND(IF(D32="总价",C32,I118*B118/10000),0)</f>
        <v>57078</v>
      </c>
      <c r="I118" s="1791">
        <f ca="1">ROUND(IF(D32="楼面单价",C32,H118*10000/B118),0)</f>
        <v>43650</v>
      </c>
    </row>
    <row r="119" spans="1:11" ht="18.75" customHeight="1">
      <c r="A119" s="3108" t="s">
        <v>2316</v>
      </c>
      <c r="B119" s="3108"/>
      <c r="C119" s="3108"/>
      <c r="D119" s="3208" t="str">
        <f ca="1">NUMBERSTRING(INT(D118*10000),2)&amp;"元整"</f>
        <v>肆亿玖仟零捌拾柒万元整</v>
      </c>
      <c r="E119" s="3210"/>
      <c r="F119" s="3208" t="str">
        <f ca="1">NUMBERSTRING(INT(F118*10000),2)&amp;"元整"</f>
        <v>柒仟玖佰玖拾壹万元整</v>
      </c>
      <c r="G119" s="3210"/>
      <c r="H119" s="3208" t="str">
        <f ca="1">NUMBERSTRING(INT(H118*10000),2)&amp;"元整"</f>
        <v>伍亿柒仟零柒拾捌万元整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14" t="str">
        <f>IF(D120=0,"故，本次评估不存在"&amp;A120,"故，本次评估"&amp;A120&amp;"为人民币"&amp;D120&amp;"万元整。")</f>
        <v>故，本次评估不存在估价师知悉的法定优先受偿款</v>
      </c>
    </row>
    <row r="121" spans="1:11" ht="18.75" customHeight="1">
      <c r="A121" s="3212" t="s">
        <v>2316</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
      </c>
      <c r="B122" s="3199"/>
      <c r="C122" s="3199"/>
      <c r="D122" s="3236" t="str">
        <f>H107</f>
        <v>——</v>
      </c>
      <c r="E122" s="3237"/>
      <c r="F122" s="3237"/>
      <c r="G122" s="3237"/>
      <c r="H122" s="3237"/>
      <c r="I122" s="3238"/>
    </row>
    <row r="123" spans="1:11" ht="18.75" customHeight="1">
      <c r="A123" s="3108" t="s">
        <v>2316</v>
      </c>
      <c r="B123" s="3108"/>
      <c r="C123" s="3108"/>
      <c r="D123" s="3208" t="e">
        <f>NUMBERSTRING(INT(D122*10000),2)&amp;"元整"</f>
        <v>#VALUE!</v>
      </c>
      <c r="E123" s="3209"/>
      <c r="F123" s="3209"/>
      <c r="G123" s="3209"/>
      <c r="H123" s="3209"/>
      <c r="I123" s="3210"/>
    </row>
    <row r="124" spans="1:11" ht="18.75" customHeight="1">
      <c r="A124" s="3199" t="str">
        <f>IF(项目基本情况!B9="房地产市场价值","",MID(E109,3,LEN(E109)-2))</f>
        <v>抵押担保权已注销时的房地产抵押价值</v>
      </c>
      <c r="B124" s="3199"/>
      <c r="C124" s="3199"/>
      <c r="D124" s="3236">
        <f ca="1">H109</f>
        <v>57078</v>
      </c>
      <c r="E124" s="3237"/>
      <c r="F124" s="3237"/>
      <c r="G124" s="3237"/>
      <c r="H124" s="3237"/>
      <c r="I124" s="3238"/>
    </row>
    <row r="125" spans="1:11" ht="18.75" customHeight="1">
      <c r="A125" s="3108" t="s">
        <v>2316</v>
      </c>
      <c r="B125" s="3108"/>
      <c r="C125" s="3108"/>
      <c r="D125" s="3208" t="str">
        <f ca="1">NUMBERSTRING(INT(D124*10000),2)&amp;"元整"</f>
        <v>伍亿柒仟零柒拾捌万元整</v>
      </c>
      <c r="E125" s="3209"/>
      <c r="F125" s="3209"/>
      <c r="G125" s="3209"/>
      <c r="H125" s="3209"/>
      <c r="I125" s="3210"/>
    </row>
    <row r="126" spans="1:11" ht="18.75" customHeight="1">
      <c r="A126" s="3199" t="str">
        <f>IF(项目基本情况!B9="房地产市场价值","",MID(E111,3,LEN(E111)-2))</f>
        <v/>
      </c>
      <c r="B126" s="3199"/>
      <c r="C126" s="3199"/>
      <c r="D126" s="3236" t="str">
        <f>H111</f>
        <v>——</v>
      </c>
      <c r="E126" s="3237"/>
      <c r="F126" s="3237"/>
      <c r="G126" s="3237"/>
      <c r="H126" s="3237"/>
      <c r="I126" s="3238"/>
    </row>
    <row r="127" spans="1:11" ht="18.75" customHeight="1">
      <c r="A127" s="3108" t="s">
        <v>2316</v>
      </c>
      <c r="B127" s="3108"/>
      <c r="C127" s="3108"/>
      <c r="D127" s="3208" t="e">
        <f>NUMBERSTRING(INT(D126*10000),2)&amp;"元整"</f>
        <v>#VALUE!</v>
      </c>
      <c r="E127" s="3209"/>
      <c r="F127" s="3209"/>
      <c r="G127" s="3209"/>
      <c r="H127" s="3209"/>
      <c r="I127" s="3210"/>
    </row>
    <row r="128" spans="1:11" ht="21.75" customHeight="1">
      <c r="A128" s="3218" t="s">
        <v>2317</v>
      </c>
      <c r="B128" s="3218"/>
      <c r="C128" s="3218"/>
      <c r="D128" s="3218"/>
      <c r="E128" s="3218"/>
      <c r="F128" s="3218"/>
      <c r="G128" s="3218"/>
      <c r="H128" s="3218"/>
      <c r="I128" s="321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3366</v>
      </c>
      <c r="C1" s="241"/>
      <c r="D1" s="241"/>
      <c r="E1" s="241"/>
      <c r="F1" s="241"/>
      <c r="G1" s="1375">
        <f>MATCH(B1,'数据-取费表'!A6:A16,0)+5</f>
        <v>6</v>
      </c>
    </row>
    <row r="2" spans="1:9" s="243" customFormat="1" ht="18" customHeight="1">
      <c r="A2" s="244" t="s">
        <v>2326</v>
      </c>
      <c r="B2" s="245">
        <f ca="1">IF(D2="——",C52,C52-E2)</f>
        <v>56523</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43225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32616</v>
      </c>
      <c r="D5" s="254" t="s">
        <v>2333</v>
      </c>
      <c r="E5" s="255" t="s">
        <v>2334</v>
      </c>
      <c r="F5" s="255" t="s">
        <v>2335</v>
      </c>
      <c r="G5" s="256"/>
    </row>
    <row r="6" spans="1:9" s="257" customFormat="1" ht="13.5" customHeight="1">
      <c r="A6" s="945" t="s">
        <v>2336</v>
      </c>
      <c r="B6" s="258" t="s">
        <v>2337</v>
      </c>
      <c r="C6" s="259">
        <f>ROUND('数据-汇总表'!F19*'土地比较法-住宅、综合'!C48/10000,0)</f>
        <v>31651</v>
      </c>
      <c r="D6" s="260"/>
      <c r="E6" s="261"/>
      <c r="F6" s="261"/>
      <c r="G6" s="262"/>
    </row>
    <row r="7" spans="1:9" s="257" customFormat="1" ht="13.5" customHeight="1">
      <c r="A7" s="945" t="s">
        <v>2338</v>
      </c>
      <c r="B7" s="258" t="s">
        <v>2339</v>
      </c>
      <c r="C7" s="263">
        <f>ROUND(C6*F7,0)</f>
        <v>965</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262</v>
      </c>
      <c r="D10" s="1028">
        <f ca="1">IF(B1="",'数据-汇总表'!E6,IF(INDIRECT("'数据-取费表'!c"&amp;$G$1)="住宅",INDIRECT("'数据-取费表'!s"&amp;$G$1),INDIRECT("'数据-取费表'!k"&amp;$G$1)+INDIRECT("'数据-取费表'!s"&amp;$G$1)))</f>
        <v>13076.410000000002</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13076.410000000002</v>
      </c>
      <c r="E19" s="254">
        <f>'数据-取费表'!B31</f>
        <v>200</v>
      </c>
      <c r="F19" s="274"/>
      <c r="G19" s="2543" t="s">
        <v>3054</v>
      </c>
    </row>
    <row r="20" spans="1:7" s="257" customFormat="1" ht="13.5" customHeight="1">
      <c r="A20" s="298" t="s">
        <v>2357</v>
      </c>
      <c r="B20" s="253" t="s">
        <v>2358</v>
      </c>
      <c r="C20" s="275">
        <f>ROUND((C5+C19)*F20,0)</f>
        <v>652</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4919</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4872</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47</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6654</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6654</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48624</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5728</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5231</v>
      </c>
      <c r="D34" s="260"/>
      <c r="E34" s="263"/>
      <c r="F34" s="300">
        <f ca="1">IF('数据-取费表'!B24=0,1,IF(B1="",'数据-取费表'!N16,INDIRECT("'数据-取费表'!n"&amp;$G$1)))</f>
        <v>1</v>
      </c>
      <c r="G34" s="262" t="s">
        <v>2390</v>
      </c>
    </row>
    <row r="35" spans="1:7" ht="13.5" customHeight="1">
      <c r="A35" s="947" t="s">
        <v>796</v>
      </c>
      <c r="B35" s="258" t="s">
        <v>2391</v>
      </c>
      <c r="C35" s="263">
        <f ca="1">ROUND(C34*F35,0)</f>
        <v>157</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262</v>
      </c>
      <c r="D37" s="260">
        <f ca="1">D19</f>
        <v>13076.410000000002</v>
      </c>
      <c r="E37" s="292">
        <f>'数据-取费表'!B35</f>
        <v>200</v>
      </c>
      <c r="F37" s="302"/>
      <c r="G37" s="304" t="s">
        <v>2396</v>
      </c>
    </row>
    <row r="38" spans="1:7" ht="13.5" customHeight="1">
      <c r="A38" s="947" t="s">
        <v>799</v>
      </c>
      <c r="B38" s="258" t="s">
        <v>2397</v>
      </c>
      <c r="C38" s="263">
        <f ca="1">ROUND(C34*F38,0)</f>
        <v>78</v>
      </c>
      <c r="D38" s="263"/>
      <c r="E38" s="263"/>
      <c r="F38" s="302">
        <f>'数据-取费表'!B36</f>
        <v>1.4999999999999999E-2</v>
      </c>
      <c r="G38" s="262" t="s">
        <v>2392</v>
      </c>
    </row>
    <row r="39" spans="1:7" s="257" customFormat="1" ht="13.5" customHeight="1">
      <c r="A39" s="298" t="s">
        <v>2398</v>
      </c>
      <c r="B39" s="253" t="s">
        <v>2399</v>
      </c>
      <c r="C39" s="275">
        <f ca="1">ROUND(C33*F20,0)</f>
        <v>115</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421</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413</v>
      </c>
      <c r="D42" s="281"/>
      <c r="E42" s="281"/>
      <c r="F42" s="282"/>
      <c r="G42" s="3250" t="s">
        <v>2408</v>
      </c>
    </row>
    <row r="43" spans="1:7" ht="13.5" customHeight="1">
      <c r="A43" s="947" t="s">
        <v>792</v>
      </c>
      <c r="B43" s="258" t="s">
        <v>2409</v>
      </c>
      <c r="C43" s="281">
        <f ca="1">ROUND(IF('数据-取费表'!B22&lt;=1,C39*F22*'数据-取费表'!B21/2,C39*(POWER((1+F22),'数据-取费表'!B21/2)-1)),0)</f>
        <v>8</v>
      </c>
      <c r="D43" s="281"/>
      <c r="E43" s="281"/>
      <c r="F43" s="282"/>
      <c r="G43" s="3251"/>
    </row>
    <row r="44" spans="1:7" ht="13.5" customHeight="1">
      <c r="A44" s="947" t="s">
        <v>793</v>
      </c>
      <c r="B44" s="258" t="s">
        <v>2410</v>
      </c>
      <c r="C44" s="281">
        <f ca="1">ROUND(IF('数据-取费表'!B22&lt;=1,C40*F22*'数据-取费表'!B21/2,C40*(POWER((1+F22),'数据-取费表'!B21/2)-1)),4)</f>
        <v>1.4E-3</v>
      </c>
      <c r="D44" s="281"/>
      <c r="E44" s="281"/>
      <c r="F44" s="282"/>
      <c r="G44" s="3252"/>
    </row>
    <row r="45" spans="1:7" s="257" customFormat="1" ht="13.5" customHeight="1">
      <c r="A45" s="298" t="s">
        <v>2411</v>
      </c>
      <c r="B45" s="287" t="s">
        <v>2377</v>
      </c>
      <c r="C45" s="288">
        <f ca="1">C46</f>
        <v>1169</v>
      </c>
      <c r="D45" s="278">
        <f ca="1">C47</f>
        <v>4.0000000000000001E-3</v>
      </c>
      <c r="E45" s="279" t="s">
        <v>2403</v>
      </c>
      <c r="F45" s="289"/>
      <c r="G45" s="290" t="s">
        <v>2412</v>
      </c>
    </row>
    <row r="46" spans="1:7" s="257" customFormat="1" ht="13.5" customHeight="1">
      <c r="A46" s="947" t="s">
        <v>791</v>
      </c>
      <c r="B46" s="291" t="s">
        <v>2413</v>
      </c>
      <c r="C46" s="292">
        <f ca="1">ROUND((C33+C39)*F27,0)</f>
        <v>1169</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8060</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7899</v>
      </c>
      <c r="D51" s="275"/>
      <c r="E51" s="275"/>
      <c r="F51" s="307"/>
      <c r="G51" s="277" t="s">
        <v>2424</v>
      </c>
    </row>
    <row r="52" spans="1:7" s="251" customFormat="1" ht="16.5" thickBot="1">
      <c r="A52" s="308" t="s">
        <v>2425</v>
      </c>
      <c r="B52" s="309"/>
      <c r="C52" s="310">
        <f ca="1">C31+C51</f>
        <v>56523</v>
      </c>
      <c r="D52" s="309"/>
      <c r="E52" s="309"/>
      <c r="F52" s="309"/>
      <c r="G52" s="311"/>
    </row>
    <row r="55" spans="1:7" ht="15">
      <c r="B55" s="313" t="s">
        <v>2426</v>
      </c>
      <c r="C55" s="314"/>
    </row>
    <row r="56" spans="1:7">
      <c r="B56" s="316" t="s">
        <v>1514</v>
      </c>
      <c r="C56" s="318">
        <f ca="1">1-C57</f>
        <v>0.86</v>
      </c>
    </row>
    <row r="57" spans="1:7">
      <c r="B57" s="316" t="s">
        <v>1515</v>
      </c>
      <c r="C57" s="317">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64" t="str">
        <f>项目基本情况!B1</f>
        <v>北京市大兴区黄村镇房地产抵押价值预评估</v>
      </c>
      <c r="C37" s="3064"/>
      <c r="D37" s="3064"/>
      <c r="E37" s="3064"/>
      <c r="F37" s="3064"/>
      <c r="G37" s="3064"/>
      <c r="H37" s="3064"/>
      <c r="I37" s="3064"/>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17547</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10343</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55657305</v>
      </c>
      <c r="D5" s="254" t="s">
        <v>2333</v>
      </c>
      <c r="E5" s="255" t="s">
        <v>2334</v>
      </c>
      <c r="F5" s="255" t="s">
        <v>2335</v>
      </c>
      <c r="G5" s="256"/>
    </row>
    <row r="6" spans="1:8" s="257" customFormat="1" ht="13.5" customHeight="1">
      <c r="A6" s="945" t="s">
        <v>2336</v>
      </c>
      <c r="B6" s="258" t="s">
        <v>2337</v>
      </c>
      <c r="C6" s="259">
        <f ca="1">基准地价修正!B2*10000</f>
        <v>54010000</v>
      </c>
      <c r="D6" s="260"/>
      <c r="E6" s="261"/>
      <c r="F6" s="261"/>
      <c r="G6" s="262"/>
    </row>
    <row r="7" spans="1:8" s="257" customFormat="1" ht="13.5" customHeight="1">
      <c r="A7" s="945" t="s">
        <v>2338</v>
      </c>
      <c r="B7" s="258" t="s">
        <v>2339</v>
      </c>
      <c r="C7" s="263">
        <f ca="1">ROUND(C6*F7,0)</f>
        <v>1647305</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3393148</v>
      </c>
      <c r="D10" s="1028">
        <f ca="1">IF(B1="",'数据-汇总表'!E6,IF(INDIRECT("'数据-取费表'!c"&amp;$G$1)="住宅",INDIRECT("'数据-取费表'!s"&amp;$G$1),INDIRECT("'数据-取费表'!k"&amp;$G$1)+INDIRECT("'数据-取费表'!s"&amp;$G$1)))</f>
        <v>16965.740000000005</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16965.740000000005</v>
      </c>
      <c r="E19" s="254">
        <f>'数据-取费表'!B31</f>
        <v>200</v>
      </c>
      <c r="F19" s="274"/>
      <c r="G19" s="2543" t="s">
        <v>3054</v>
      </c>
    </row>
    <row r="20" spans="1:7" s="257" customFormat="1" ht="13.5" customHeight="1">
      <c r="A20" s="298" t="s">
        <v>2438</v>
      </c>
      <c r="B20" s="253" t="s">
        <v>2439</v>
      </c>
      <c r="C20" s="275">
        <f ca="1">ROUND((C5+C19)*F20,0)</f>
        <v>1113146</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8394107</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8313861</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80246</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10218681</v>
      </c>
      <c r="D27" s="278">
        <f ca="1">C29</f>
        <v>3.5999999999999999E-3</v>
      </c>
      <c r="E27" s="279" t="s">
        <v>2378</v>
      </c>
      <c r="F27" s="289">
        <f ca="1">IF(B1="",'数据-取费表'!Q16,INDIRECT("'数据-取费表'!q"&amp;$G$1))</f>
        <v>0.18</v>
      </c>
      <c r="G27" s="290" t="s">
        <v>2379</v>
      </c>
    </row>
    <row r="28" spans="1:7" s="257" customFormat="1" ht="13.5" customHeight="1">
      <c r="A28" s="947" t="s">
        <v>791</v>
      </c>
      <c r="B28" s="291" t="s">
        <v>2380</v>
      </c>
      <c r="C28" s="292">
        <f ca="1">ROUND((C5+C19+C20)*F27,0)</f>
        <v>10218681</v>
      </c>
      <c r="D28" s="278"/>
      <c r="E28" s="279"/>
      <c r="F28" s="289"/>
      <c r="G28" s="290"/>
    </row>
    <row r="29" spans="1:7" s="257" customFormat="1" ht="13.5" customHeight="1">
      <c r="A29" s="947" t="s">
        <v>792</v>
      </c>
      <c r="B29" s="291" t="s">
        <v>2381</v>
      </c>
      <c r="C29" s="281">
        <f ca="1">ROUND(C21*F27,4)</f>
        <v>3.5999999999999999E-3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81707391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69114614</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62891355</v>
      </c>
      <c r="D34" s="260"/>
      <c r="E34" s="263"/>
      <c r="F34" s="300"/>
      <c r="G34" s="262"/>
    </row>
    <row r="35" spans="1:7" ht="13.5" customHeight="1">
      <c r="A35" s="947" t="s">
        <v>796</v>
      </c>
      <c r="B35" s="258" t="s">
        <v>2391</v>
      </c>
      <c r="C35" s="263">
        <f ca="1">ROUND(C34*F35,0)</f>
        <v>1886741</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3393148</v>
      </c>
      <c r="D37" s="260">
        <f ca="1">D19</f>
        <v>16965.740000000005</v>
      </c>
      <c r="E37" s="292">
        <f>'数据-取费表'!B35</f>
        <v>200</v>
      </c>
      <c r="F37" s="302"/>
      <c r="G37" s="304"/>
    </row>
    <row r="38" spans="1:7" ht="13.5" customHeight="1">
      <c r="A38" s="947" t="s">
        <v>799</v>
      </c>
      <c r="B38" s="258" t="s">
        <v>2397</v>
      </c>
      <c r="C38" s="263">
        <f ca="1">ROUND(C34*F38,0)</f>
        <v>943370</v>
      </c>
      <c r="D38" s="263"/>
      <c r="E38" s="263"/>
      <c r="F38" s="302">
        <f>'数据-取费表'!B36</f>
        <v>1.4999999999999999E-2</v>
      </c>
      <c r="G38" s="262" t="s">
        <v>2392</v>
      </c>
    </row>
    <row r="39" spans="1:7" s="257" customFormat="1" ht="13.5" customHeight="1">
      <c r="A39" s="298" t="s">
        <v>2398</v>
      </c>
      <c r="B39" s="253" t="s">
        <v>2399</v>
      </c>
      <c r="C39" s="275">
        <f ca="1">ROUND(C33*F20,0)</f>
        <v>1382292</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5082088</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4982439</v>
      </c>
      <c r="D42" s="281"/>
      <c r="E42" s="281"/>
      <c r="F42" s="282"/>
      <c r="G42" s="3250" t="s">
        <v>2455</v>
      </c>
    </row>
    <row r="43" spans="1:7" ht="13.5" customHeight="1">
      <c r="A43" s="947" t="s">
        <v>792</v>
      </c>
      <c r="B43" s="258" t="s">
        <v>2409</v>
      </c>
      <c r="C43" s="281">
        <f ca="1">ROUND(IF('数据-取费表'!B22&lt;=1,C39*F22*'数据-取费表'!B20/2,C39*(POWER((1+F22),'数据-取费表'!B20/2)-1)),0)</f>
        <v>99649</v>
      </c>
      <c r="D43" s="281"/>
      <c r="E43" s="281"/>
      <c r="F43" s="282"/>
      <c r="G43" s="3251"/>
    </row>
    <row r="44" spans="1:7" ht="13.5" customHeight="1">
      <c r="A44" s="947" t="s">
        <v>793</v>
      </c>
      <c r="B44" s="258" t="s">
        <v>2410</v>
      </c>
      <c r="C44" s="281">
        <f ca="1">ROUND(IF('数据-取费表'!B22&lt;=1,C40*F22*'数据-取费表'!B20/2,C40*(POWER((1+F22),'数据-取费表'!B20/2)-1)),4)</f>
        <v>1.4E-3</v>
      </c>
      <c r="D44" s="281"/>
      <c r="E44" s="281"/>
      <c r="F44" s="282"/>
      <c r="G44" s="3252"/>
    </row>
    <row r="45" spans="1:7" s="257" customFormat="1" ht="13.5" customHeight="1">
      <c r="A45" s="298" t="s">
        <v>2411</v>
      </c>
      <c r="B45" s="287" t="s">
        <v>2377</v>
      </c>
      <c r="C45" s="288">
        <f ca="1">C46</f>
        <v>12689443</v>
      </c>
      <c r="D45" s="278">
        <f ca="1">C47</f>
        <v>3.5999999999999999E-3</v>
      </c>
      <c r="E45" s="279" t="s">
        <v>2403</v>
      </c>
      <c r="F45" s="289"/>
      <c r="G45" s="290" t="s">
        <v>2412</v>
      </c>
    </row>
    <row r="46" spans="1:7" s="257" customFormat="1" ht="13.5" customHeight="1">
      <c r="A46" s="947" t="s">
        <v>791</v>
      </c>
      <c r="B46" s="291" t="s">
        <v>2413</v>
      </c>
      <c r="C46" s="292">
        <f ca="1">ROUND((C33+C39)*F27,0)</f>
        <v>12689443</v>
      </c>
      <c r="D46" s="306"/>
      <c r="E46" s="279"/>
      <c r="F46" s="289"/>
      <c r="G46" s="290"/>
    </row>
    <row r="47" spans="1:7" s="257" customFormat="1" ht="13.5" customHeight="1">
      <c r="A47" s="947" t="s">
        <v>792</v>
      </c>
      <c r="B47" s="291" t="s">
        <v>2414</v>
      </c>
      <c r="C47" s="281">
        <f ca="1">ROUND(C40*F27,4)</f>
        <v>3.5999999999999999E-3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95673571</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93760100</v>
      </c>
      <c r="D51" s="275"/>
      <c r="E51" s="275"/>
      <c r="F51" s="307"/>
      <c r="G51" s="277" t="s">
        <v>2424</v>
      </c>
    </row>
    <row r="52" spans="1:7" s="251" customFormat="1" ht="16.5" thickBot="1">
      <c r="A52" s="308" t="s">
        <v>2425</v>
      </c>
      <c r="B52" s="309"/>
      <c r="C52" s="310">
        <f ca="1">C31+C51</f>
        <v>175467491</v>
      </c>
      <c r="D52" s="309"/>
      <c r="E52" s="309"/>
      <c r="F52" s="309"/>
      <c r="G52" s="311"/>
    </row>
    <row r="55" spans="1:7" ht="15">
      <c r="B55" s="313" t="s">
        <v>2426</v>
      </c>
      <c r="C55" s="314"/>
    </row>
    <row r="56" spans="1:7">
      <c r="B56" s="316" t="s">
        <v>1514</v>
      </c>
      <c r="C56" s="318">
        <f ca="1">1-C57</f>
        <v>0.46599999999999997</v>
      </c>
    </row>
    <row r="57" spans="1:7">
      <c r="B57" s="316" t="s">
        <v>1515</v>
      </c>
      <c r="C57" s="317">
        <f ca="1">ROUND(C51/C52,3)</f>
        <v>0.53400000000000003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-397</v>
      </c>
      <c r="C2" s="319" t="s">
        <v>2459</v>
      </c>
      <c r="D2" s="319"/>
      <c r="E2" s="319"/>
      <c r="F2" s="319"/>
      <c r="G2" s="319"/>
      <c r="H2" s="319"/>
      <c r="I2" s="319"/>
      <c r="J2" s="319"/>
      <c r="K2" s="319"/>
    </row>
    <row r="3" spans="1:33" ht="18" customHeight="1" thickBot="1">
      <c r="A3" s="246" t="s">
        <v>2328</v>
      </c>
      <c r="B3" s="247">
        <f ca="1">ROUND(B2*10000/IF(C1="",'数据-汇总表'!E3,INDIRECT("'数据-取费表'!K"&amp;$K$1)),0)</f>
        <v>-234</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3026.9400000000051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16965.740000000005</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16965.740000000005</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339</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339</v>
      </c>
      <c r="D20" s="1029">
        <f ca="1">IF(C1="",'数据-汇总表'!E6,IF(INDIRECT("'数据-取费表'!c"&amp;$K$1)="住宅",INDIRECT("'数据-取费表'!s"&amp;$K$1),INDIRECT("'数据-取费表'!k"&amp;$K$1)+INDIRECT("'数据-取费表'!s"&amp;$K$1)))</f>
        <v>16965.740000000005</v>
      </c>
      <c r="E20" s="23">
        <f>'数据-取费表'!B28</f>
        <v>200</v>
      </c>
      <c r="F20" s="972"/>
      <c r="G20" s="14"/>
      <c r="H20" s="977"/>
      <c r="I20" s="977"/>
      <c r="J20" s="977"/>
      <c r="K20" s="978"/>
    </row>
    <row r="21" spans="1:33" s="971" customFormat="1" ht="13.5" customHeight="1">
      <c r="A21" s="957" t="s">
        <v>802</v>
      </c>
      <c r="B21" s="981" t="s">
        <v>2495</v>
      </c>
      <c r="C21" s="982">
        <f ca="1">C16+C17+C18</f>
        <v>339</v>
      </c>
      <c r="D21" s="983"/>
      <c r="E21" s="324"/>
      <c r="F21" s="324"/>
      <c r="G21" s="139" t="s">
        <v>2496</v>
      </c>
      <c r="H21" s="975"/>
      <c r="I21" s="975"/>
      <c r="J21" s="975"/>
      <c r="K21" s="976"/>
    </row>
    <row r="22" spans="1:33" s="971" customFormat="1" ht="13.5" customHeight="1">
      <c r="A22" s="957" t="s">
        <v>2468</v>
      </c>
      <c r="B22" s="981" t="s">
        <v>2497</v>
      </c>
      <c r="C22" s="982">
        <f ca="1">ROUND(C21*F22,0)</f>
        <v>7</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62</v>
      </c>
      <c r="D28" s="323">
        <f ca="1">C29</f>
        <v>0</v>
      </c>
      <c r="E28" s="325" t="s">
        <v>15</v>
      </c>
      <c r="F28" s="331">
        <f ca="1">IF(C1="",'数据-取费表'!Q16,INDIRECT("'数据-取费表'!q"&amp;$K$1))</f>
        <v>0.18</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62</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-397</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3366</v>
      </c>
      <c r="D1" s="1816" t="s">
        <v>70</v>
      </c>
      <c r="E1" s="1817" t="s">
        <v>1387</v>
      </c>
      <c r="F1" s="1279">
        <f ca="1">J53</f>
        <v>46.2</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57633</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44074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2581</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2577</v>
      </c>
      <c r="D6" s="163" t="s">
        <v>3034</v>
      </c>
      <c r="E6" s="346" t="s">
        <v>1405</v>
      </c>
      <c r="F6" s="347">
        <f ca="1">INDIRECT("'数据-取费表'!u"&amp;$G$1)</f>
        <v>6</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1294" t="s">
        <v>1406</v>
      </c>
      <c r="F7" s="347">
        <f ca="1">IF(INDIRECT("'数据-取费表'!ah"&amp;$G$1)="",INDIRECT("'数据-取费表'!k"&amp;$G$1),INDIRECT("'数据-取费表'!ah"&amp;$G$1))</f>
        <v>13076.410000000002</v>
      </c>
      <c r="G7" s="1847"/>
      <c r="H7" s="348"/>
      <c r="I7" s="3256"/>
      <c r="J7" s="350"/>
      <c r="K7" s="351"/>
      <c r="L7" s="346" t="s">
        <v>1406</v>
      </c>
      <c r="M7" s="347">
        <f ca="1">F7</f>
        <v>13076.410000000002</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0.1</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4</v>
      </c>
      <c r="D10" s="1820" t="s">
        <v>3035</v>
      </c>
      <c r="E10" s="357" t="s">
        <v>1411</v>
      </c>
      <c r="F10" s="1362" t="s">
        <v>3431</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7899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5231</v>
      </c>
      <c r="D14" s="1796" t="s">
        <v>1419</v>
      </c>
      <c r="E14" s="1790"/>
      <c r="F14" s="363"/>
      <c r="G14" s="1847"/>
      <c r="H14" s="1197" t="s">
        <v>1035</v>
      </c>
      <c r="I14" s="346" t="s">
        <v>1420</v>
      </c>
      <c r="J14" s="23">
        <f ca="1">C29</f>
        <v>8060</v>
      </c>
      <c r="K14" s="14"/>
      <c r="L14" s="975"/>
      <c r="M14" s="976"/>
    </row>
    <row r="15" spans="1:37" s="1854" customFormat="1" ht="18" customHeight="1" thickBot="1">
      <c r="A15" s="1197" t="s">
        <v>1036</v>
      </c>
      <c r="B15" s="346" t="s">
        <v>1421</v>
      </c>
      <c r="C15" s="23">
        <f ca="1">ROUND(C14*F15,0)</f>
        <v>157</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229</v>
      </c>
      <c r="K16" s="1333" t="s">
        <v>1426</v>
      </c>
      <c r="L16" s="1334"/>
      <c r="M16" s="1290"/>
    </row>
    <row r="17" spans="1:37" s="1854" customFormat="1" ht="18" customHeight="1">
      <c r="A17" s="1197" t="s">
        <v>1390</v>
      </c>
      <c r="B17" s="346" t="s">
        <v>1427</v>
      </c>
      <c r="C17" s="23">
        <f ca="1">ROUND(F17*(F43+INDIRECT("'数据-取费表'!S"&amp;$G$1))/10000,0)</f>
        <v>262</v>
      </c>
      <c r="D17" s="346" t="s">
        <v>1428</v>
      </c>
      <c r="E17" s="346" t="s">
        <v>1429</v>
      </c>
      <c r="F17" s="25">
        <f>'数据-取费表'!B35</f>
        <v>200</v>
      </c>
      <c r="G17" s="1850"/>
      <c r="H17" s="1197" t="s">
        <v>1035</v>
      </c>
      <c r="I17" s="346" t="s">
        <v>1430</v>
      </c>
      <c r="J17" s="23">
        <f ca="1">ROUND(IF(项目基本情况!B11="自然人",J5*M17,J18+J19+J20),1)</f>
        <v>68</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78</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5728</v>
      </c>
      <c r="D19" s="139" t="s">
        <v>1437</v>
      </c>
      <c r="E19" s="1814"/>
      <c r="F19" s="25"/>
      <c r="G19" s="1847"/>
      <c r="H19" s="1197" t="s">
        <v>1036</v>
      </c>
      <c r="I19" s="346" t="s">
        <v>1438</v>
      </c>
      <c r="J19" s="23">
        <f ca="1">IF(K19="按租金收入计税",ROUND(J5*M19,2),ROUND(C29*M19*0.7,2))</f>
        <v>67.7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115</v>
      </c>
      <c r="D20" s="368" t="s">
        <v>1441</v>
      </c>
      <c r="E20" s="346" t="s">
        <v>1423</v>
      </c>
      <c r="F20" s="366">
        <f>'数据-取费表'!B37</f>
        <v>0.02</v>
      </c>
      <c r="G20" s="1850"/>
      <c r="H20" s="1197" t="s">
        <v>1389</v>
      </c>
      <c r="I20" s="163" t="s">
        <v>1442</v>
      </c>
      <c r="J20" s="24">
        <f ca="1">ROUND(M20*M21/10000,2)</f>
        <v>0.32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2103.64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161.19999999999999</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421</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-229</v>
      </c>
      <c r="K25" s="1341" t="s">
        <v>1465</v>
      </c>
      <c r="L25" s="1342"/>
      <c r="M25" s="1343"/>
    </row>
    <row r="26" spans="1:37">
      <c r="A26" s="1197" t="s">
        <v>1034</v>
      </c>
      <c r="B26" s="346" t="s">
        <v>1466</v>
      </c>
      <c r="C26" s="23">
        <f ca="1">ROUND((C19+C20)*F26,0)</f>
        <v>1169</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8060</v>
      </c>
      <c r="D29" s="1338"/>
      <c r="E29" s="1336"/>
      <c r="F29" s="1339"/>
      <c r="G29" s="1850"/>
      <c r="H29" s="379" t="s">
        <v>1033</v>
      </c>
      <c r="I29" s="380" t="s">
        <v>1480</v>
      </c>
      <c r="J29" s="381">
        <f ca="1">ROUND(J26/(1+F40)^F41,0)</f>
        <v>0</v>
      </c>
      <c r="K29" s="382" t="s">
        <v>1481</v>
      </c>
      <c r="L29" s="383"/>
      <c r="M29" s="384">
        <f ca="1">INDIRECT("'数据-取费表'!k"&amp;$G$1)</f>
        <v>13076.410000000002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432</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203.2</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135.19999999999999</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67.7</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2103.64</v>
      </c>
      <c r="G35" s="1847"/>
      <c r="H35" s="744"/>
      <c r="I35" s="1856"/>
      <c r="J35" s="1857"/>
      <c r="K35" s="1858"/>
      <c r="L35" s="1855"/>
      <c r="M35" s="1855"/>
    </row>
    <row r="36" spans="1:18" ht="18" customHeight="1">
      <c r="A36" s="1348" t="s">
        <v>1039</v>
      </c>
      <c r="B36" s="346" t="s">
        <v>1450</v>
      </c>
      <c r="C36" s="23">
        <f ca="1">ROUND(C29*F36,1)</f>
        <v>161.19999999999999</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15.8</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51.6</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2149</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57573</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44028</v>
      </c>
      <c r="D43" s="382" t="s">
        <v>1489</v>
      </c>
      <c r="E43" s="383" t="s">
        <v>1490</v>
      </c>
      <c r="F43" s="384">
        <f ca="1">INDIRECT("'数据-取费表'!k"&amp;$G$1)</f>
        <v>13076.410000000002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-61652</v>
      </c>
      <c r="D46" s="1868" t="str">
        <f>C2</f>
        <v>万元</v>
      </c>
      <c r="E46" s="1862"/>
      <c r="F46" s="1862"/>
      <c r="I46" s="1869" t="s">
        <v>1522</v>
      </c>
      <c r="J46" s="1870"/>
      <c r="K46" s="1871"/>
      <c r="L46" s="1872">
        <f ca="1">IF(M47="住宅",0,IF(L48&gt;J51,L60,J60))</f>
        <v>60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57573</v>
      </c>
      <c r="R47" s="1882" t="s">
        <v>1530</v>
      </c>
    </row>
    <row r="48" spans="1:18" s="1838" customFormat="1" ht="28.5" thickBot="1">
      <c r="A48" s="1356" t="s">
        <v>1135</v>
      </c>
      <c r="B48" s="344" t="s">
        <v>1401</v>
      </c>
      <c r="C48" s="1813">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60</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3015">
        <v>2017</v>
      </c>
      <c r="K49" s="1885" t="s">
        <v>1536</v>
      </c>
      <c r="L49" s="1889"/>
      <c r="O49" s="1890" t="s">
        <v>1042</v>
      </c>
      <c r="P49" s="1881" t="s">
        <v>1537</v>
      </c>
      <c r="Q49" s="1882">
        <f ca="1">C29</f>
        <v>8060</v>
      </c>
      <c r="R49" s="1882" t="s">
        <v>1530</v>
      </c>
    </row>
    <row r="50" spans="1:18" s="1838" customFormat="1" ht="13.5" thickBot="1">
      <c r="A50" s="1191"/>
      <c r="B50" s="1194"/>
      <c r="C50" s="1364"/>
      <c r="D50" s="1168"/>
      <c r="E50" s="1273" t="s">
        <v>1406</v>
      </c>
      <c r="F50" s="1274">
        <f ca="1">F7</f>
        <v>13076.410000000002</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26450</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46.2</v>
      </c>
      <c r="K53" s="3253" t="s">
        <v>1549</v>
      </c>
      <c r="L53" s="3254"/>
      <c r="O53" s="1880" t="s">
        <v>1046</v>
      </c>
      <c r="P53" s="1881" t="s">
        <v>1550</v>
      </c>
      <c r="Q53" s="1882">
        <f ca="1">Q47+Q48</f>
        <v>57633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7899</v>
      </c>
      <c r="D56" s="1910"/>
      <c r="E56" s="1911"/>
      <c r="F56" s="1903"/>
      <c r="I56" s="1912" t="s">
        <v>1554</v>
      </c>
      <c r="J56" s="1913" t="s">
        <v>3433</v>
      </c>
      <c r="K56" s="1883" t="s">
        <v>1555</v>
      </c>
      <c r="L56" s="1886" t="str">
        <f ca="1">IF(L48&lt;J51,"——",L48-J53)</f>
        <v>——</v>
      </c>
      <c r="O56" s="1880" t="s">
        <v>1040</v>
      </c>
      <c r="P56" s="1881" t="s">
        <v>1529</v>
      </c>
      <c r="Q56" s="1882">
        <f ca="1">C40+J29</f>
        <v>57573</v>
      </c>
      <c r="R56" s="1882" t="s">
        <v>1530</v>
      </c>
    </row>
    <row r="57" spans="1:18" s="1838" customFormat="1" ht="24.75" thickBot="1">
      <c r="A57" s="1914"/>
      <c r="B57" s="1165" t="s">
        <v>1479</v>
      </c>
      <c r="C57" s="281">
        <f ca="1">C29</f>
        <v>8060</v>
      </c>
      <c r="D57" s="1915"/>
      <c r="E57" s="1916"/>
      <c r="F57" s="1917"/>
      <c r="I57" s="1918" t="s">
        <v>1556</v>
      </c>
      <c r="J57" s="1919">
        <f ca="1">IF(OR(M47="住宅",J51&lt;L48,J56="是"),"——",J51-L48)</f>
        <v>12.799999999999997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245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68</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3224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60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67.7</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0.32</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57573</v>
      </c>
      <c r="R62" s="1882" t="s">
        <v>1047</v>
      </c>
    </row>
    <row r="63" spans="1:18" s="1838" customFormat="1" ht="13.5" thickBot="1">
      <c r="A63" s="371"/>
      <c r="B63" s="1171"/>
      <c r="C63" s="28"/>
      <c r="D63" s="1181"/>
      <c r="E63" s="1165" t="s">
        <v>1500</v>
      </c>
      <c r="F63" s="347">
        <f t="shared" ca="1" si="0"/>
        <v>2103.64</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161.19999999999999</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15.8</v>
      </c>
      <c r="D65" s="1179" t="s">
        <v>1455</v>
      </c>
      <c r="E65" s="1165" t="s">
        <v>1456</v>
      </c>
      <c r="F65" s="375">
        <f t="shared" ca="1" si="0"/>
        <v>2E-3</v>
      </c>
      <c r="I65" s="1925" t="s">
        <v>1579</v>
      </c>
      <c r="J65" s="1926">
        <v>40</v>
      </c>
      <c r="K65" s="1926">
        <v>30</v>
      </c>
      <c r="L65" s="1926">
        <v>50</v>
      </c>
      <c r="M65" s="1928">
        <v>0.02</v>
      </c>
      <c r="O65" s="1880" t="s">
        <v>1040</v>
      </c>
      <c r="P65" s="1881" t="s">
        <v>1580</v>
      </c>
      <c r="Q65" s="1882">
        <f ca="1">C40+J29</f>
        <v>57573</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-245</v>
      </c>
      <c r="D67" s="1178" t="s">
        <v>1465</v>
      </c>
      <c r="E67" s="1183"/>
      <c r="F67" s="1184"/>
      <c r="O67" s="1890" t="s">
        <v>1042</v>
      </c>
      <c r="P67" s="1881" t="s">
        <v>1562</v>
      </c>
      <c r="Q67" s="1929">
        <f ca="1">L51</f>
        <v>26450</v>
      </c>
      <c r="R67" s="1882" t="s">
        <v>1582</v>
      </c>
    </row>
    <row r="68" spans="1:18" s="1838" customFormat="1" ht="16.5" thickBot="1">
      <c r="A68" s="1162" t="s">
        <v>1032</v>
      </c>
      <c r="B68" s="1163" t="s">
        <v>1486</v>
      </c>
      <c r="C68" s="345">
        <f ca="1">ROUND(C67*(1-((1+F70)/(1+F68))^F69)/(F68-F70),0)</f>
        <v>-4079</v>
      </c>
      <c r="D68" s="1180" t="s">
        <v>1470</v>
      </c>
      <c r="E68" s="1165" t="s">
        <v>1471</v>
      </c>
      <c r="F68" s="356">
        <f ca="1">F40</f>
        <v>5.5E-2</v>
      </c>
      <c r="O68" s="1890" t="s">
        <v>1043</v>
      </c>
      <c r="P68" s="1930" t="s">
        <v>1583</v>
      </c>
      <c r="Q68" s="1882">
        <f ca="1">ROUND(Q69-Q70*Q71,0)</f>
        <v>1478</v>
      </c>
      <c r="R68" s="1882" t="s">
        <v>1051</v>
      </c>
    </row>
    <row r="69" spans="1:18" s="1838" customFormat="1" ht="13.5" thickBot="1">
      <c r="A69" s="1166"/>
      <c r="B69" s="1167"/>
      <c r="C69" s="350"/>
      <c r="D69" s="1185" t="s">
        <v>1474</v>
      </c>
      <c r="E69" s="1165" t="s">
        <v>1475</v>
      </c>
      <c r="F69" s="378">
        <f ca="1">F41</f>
        <v>46.2</v>
      </c>
      <c r="O69" s="1890" t="s">
        <v>1048</v>
      </c>
      <c r="P69" s="1930" t="s">
        <v>1584</v>
      </c>
      <c r="Q69" s="1882">
        <f ca="1">C39</f>
        <v>2149</v>
      </c>
      <c r="R69" s="1882" t="s">
        <v>1530</v>
      </c>
    </row>
    <row r="70" spans="1:18" s="1838" customFormat="1" ht="13.5" thickBot="1">
      <c r="A70" s="1169"/>
      <c r="B70" s="1170"/>
      <c r="C70" s="354"/>
      <c r="D70" s="1181"/>
      <c r="E70" s="1165" t="s">
        <v>1478</v>
      </c>
      <c r="F70" s="1271"/>
      <c r="O70" s="1890" t="s">
        <v>1049</v>
      </c>
      <c r="P70" s="1930" t="s">
        <v>1585</v>
      </c>
      <c r="Q70" s="1882">
        <f ca="1">C13</f>
        <v>7899</v>
      </c>
      <c r="R70" s="1882" t="s">
        <v>1530</v>
      </c>
    </row>
    <row r="71" spans="1:18" s="1838" customFormat="1" ht="13.5" thickBot="1">
      <c r="A71" s="1186" t="s">
        <v>1033</v>
      </c>
      <c r="B71" s="1187" t="s">
        <v>1488</v>
      </c>
      <c r="C71" s="381">
        <f ca="1">ROUND(C68*10000/F71,0)</f>
        <v>-3119</v>
      </c>
      <c r="D71" s="1188" t="s">
        <v>1489</v>
      </c>
      <c r="E71" s="1189" t="s">
        <v>1490</v>
      </c>
      <c r="F71" s="384">
        <f ca="1">F43</f>
        <v>13076.410000000002</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671</v>
      </c>
      <c r="D75" s="1838"/>
      <c r="E75" s="1838"/>
      <c r="F75" s="1838"/>
      <c r="K75" s="1864"/>
      <c r="L75" s="1838"/>
      <c r="O75" s="1880" t="s">
        <v>1046</v>
      </c>
      <c r="P75" s="1881" t="s">
        <v>1550</v>
      </c>
      <c r="Q75" s="1882">
        <f ca="1">Q65+Q66</f>
        <v>57573</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3366</v>
      </c>
      <c r="E1" s="1626"/>
      <c r="F1" s="2577" t="s">
        <v>3367</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8</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13076.410000000002</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280" t="s">
        <v>2650</v>
      </c>
      <c r="Q4" s="3281"/>
      <c r="R4" s="3286" t="s">
        <v>2646</v>
      </c>
      <c r="S4" s="3287"/>
      <c r="T4" s="3286" t="s">
        <v>2647</v>
      </c>
      <c r="U4" s="3287"/>
      <c r="V4" s="3292" t="s">
        <v>2648</v>
      </c>
      <c r="W4" s="3292"/>
      <c r="X4" s="2663"/>
      <c r="Y4" s="3286" t="s">
        <v>2650</v>
      </c>
      <c r="Z4" s="3287"/>
      <c r="AA4" s="3305" t="s">
        <v>2646</v>
      </c>
      <c r="AB4" s="3305" t="s">
        <v>2647</v>
      </c>
      <c r="AC4" s="3273" t="s">
        <v>2648</v>
      </c>
    </row>
    <row r="5" spans="1:29" ht="15">
      <c r="A5" s="403"/>
      <c r="B5" s="404"/>
      <c r="C5" s="3302" t="s">
        <v>2541</v>
      </c>
      <c r="D5" s="3297"/>
      <c r="E5" s="3308" t="s">
        <v>3368</v>
      </c>
      <c r="F5" s="3309"/>
      <c r="G5" s="3296" t="s">
        <v>3417</v>
      </c>
      <c r="H5" s="3297"/>
      <c r="I5" s="3296" t="s">
        <v>3418</v>
      </c>
      <c r="J5" s="3297"/>
      <c r="K5" s="609"/>
      <c r="L5" s="1126"/>
      <c r="M5" s="1127"/>
      <c r="N5" s="1127"/>
      <c r="O5" s="1127"/>
      <c r="P5" s="3282"/>
      <c r="Q5" s="3283"/>
      <c r="R5" s="3288"/>
      <c r="S5" s="3289"/>
      <c r="T5" s="3288"/>
      <c r="U5" s="3289"/>
      <c r="V5" s="3293"/>
      <c r="W5" s="3293"/>
      <c r="X5" s="1809"/>
      <c r="Y5" s="3288"/>
      <c r="Z5" s="3289"/>
      <c r="AA5" s="3306"/>
      <c r="AB5" s="3306"/>
      <c r="AC5" s="3274"/>
    </row>
    <row r="6" spans="1:29" ht="15.75" thickBot="1">
      <c r="A6" s="405"/>
      <c r="B6" s="406"/>
      <c r="C6" s="3294" t="s">
        <v>2545</v>
      </c>
      <c r="D6" s="3295"/>
      <c r="E6" s="3303" t="s">
        <v>2545</v>
      </c>
      <c r="F6" s="3304"/>
      <c r="G6" s="3294" t="s">
        <v>2545</v>
      </c>
      <c r="H6" s="3295"/>
      <c r="I6" s="3294" t="s">
        <v>2545</v>
      </c>
      <c r="J6" s="3295"/>
      <c r="K6" s="609" t="s">
        <v>2546</v>
      </c>
      <c r="L6" s="1126"/>
      <c r="M6" s="1127"/>
      <c r="N6" s="1127"/>
      <c r="O6" s="1127"/>
      <c r="P6" s="3284"/>
      <c r="Q6" s="3285"/>
      <c r="R6" s="3288"/>
      <c r="S6" s="3289"/>
      <c r="T6" s="3290"/>
      <c r="U6" s="3291"/>
      <c r="V6" s="3293"/>
      <c r="W6" s="3293"/>
      <c r="X6" s="1809"/>
      <c r="Y6" s="3290"/>
      <c r="Z6" s="3291"/>
      <c r="AA6" s="3307"/>
      <c r="AB6" s="3307"/>
      <c r="AC6" s="3275"/>
    </row>
    <row r="7" spans="1:29" s="116" customFormat="1" ht="15.75" thickBot="1">
      <c r="A7" s="407" t="s">
        <v>2547</v>
      </c>
      <c r="B7" s="408"/>
      <c r="C7" s="409">
        <f>'数据-取费表'!B2</f>
        <v>43182</v>
      </c>
      <c r="D7" s="410">
        <v>100</v>
      </c>
      <c r="E7" s="3006">
        <f>C7</f>
        <v>43182</v>
      </c>
      <c r="F7" s="412">
        <f>SUMIF(59:59,YEAR(E7)&amp;"-"&amp;MONTH(E7),60:60)</f>
        <v>100</v>
      </c>
      <c r="G7" s="3006">
        <f>C7</f>
        <v>43182</v>
      </c>
      <c r="H7" s="410">
        <f>SUMIF(59:59,YEAR(G7)&amp;"-"&amp;MONTH(G7),60:60)</f>
        <v>100</v>
      </c>
      <c r="I7" s="3006">
        <f>C7</f>
        <v>43182</v>
      </c>
      <c r="J7" s="410">
        <f>SUMIF(59:59,YEAR(I7)&amp;"-"&amp;MONTH(I7),60:60)</f>
        <v>100</v>
      </c>
      <c r="K7" s="610"/>
      <c r="L7" s="1128"/>
      <c r="M7" s="1129"/>
      <c r="N7" s="1129"/>
      <c r="O7" s="1129"/>
      <c r="P7" s="3298" t="s">
        <v>2548</v>
      </c>
      <c r="Q7" s="3301"/>
      <c r="R7" s="769" t="s">
        <v>17</v>
      </c>
      <c r="S7" s="770">
        <f t="shared" ref="S7:S15" si="0">F7</f>
        <v>100</v>
      </c>
      <c r="T7" s="769" t="s">
        <v>17</v>
      </c>
      <c r="U7" s="770">
        <f t="shared" ref="U7:U15" si="1">H7</f>
        <v>100</v>
      </c>
      <c r="V7" s="769" t="s">
        <v>17</v>
      </c>
      <c r="W7" s="770">
        <f t="shared" ref="W7:W15" si="2">J7</f>
        <v>100</v>
      </c>
      <c r="X7" s="771"/>
      <c r="Y7" s="3300" t="s">
        <v>2548</v>
      </c>
      <c r="Z7" s="3299"/>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98" t="s">
        <v>2551</v>
      </c>
      <c r="Q8" s="3299"/>
      <c r="R8" s="769" t="s">
        <v>17</v>
      </c>
      <c r="S8" s="770">
        <f t="shared" si="0"/>
        <v>100</v>
      </c>
      <c r="T8" s="769" t="s">
        <v>17</v>
      </c>
      <c r="U8" s="770">
        <f t="shared" si="1"/>
        <v>100</v>
      </c>
      <c r="V8" s="769" t="s">
        <v>17</v>
      </c>
      <c r="W8" s="770">
        <f t="shared" si="2"/>
        <v>100</v>
      </c>
      <c r="X8" s="771"/>
      <c r="Y8" s="3300" t="s">
        <v>2551</v>
      </c>
      <c r="Z8" s="3299"/>
      <c r="AA8" s="772">
        <f t="shared" ref="AA8:AA47" si="3">D8/F8</f>
        <v>1</v>
      </c>
      <c r="AB8" s="772">
        <f t="shared" ref="AB8:AB47" si="4">D8/H8</f>
        <v>1</v>
      </c>
      <c r="AC8" s="2664">
        <f t="shared" ref="AC8:AC47" si="5">D8/J8</f>
        <v>1</v>
      </c>
    </row>
    <row r="9" spans="1:29" s="116" customFormat="1">
      <c r="A9" s="414" t="s">
        <v>2552</v>
      </c>
      <c r="B9" s="70" t="s">
        <v>2553</v>
      </c>
      <c r="C9" s="3008" t="s">
        <v>3370</v>
      </c>
      <c r="D9" s="134">
        <v>100</v>
      </c>
      <c r="E9" s="3008" t="s">
        <v>3370</v>
      </c>
      <c r="F9" s="134">
        <f>SUMIF(64:64,E9,65:65)-SUMIF(64:64,C9,65:65)+100</f>
        <v>100</v>
      </c>
      <c r="G9" s="3008" t="s">
        <v>3370</v>
      </c>
      <c r="H9" s="134">
        <f>SUMIF(64:64,G9,65:65)-SUMIF(64:64,C9,65:65)+100</f>
        <v>100</v>
      </c>
      <c r="I9" s="3008" t="s">
        <v>3370</v>
      </c>
      <c r="J9" s="134">
        <f>SUMIF(64:64,I9,65:65)-SUMIF(64:64,C9,65:65)+100</f>
        <v>100</v>
      </c>
      <c r="K9" s="610"/>
      <c r="L9" s="1128"/>
      <c r="M9" s="1129"/>
      <c r="N9" s="1129"/>
      <c r="O9" s="1129"/>
      <c r="P9" s="3258"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2664">
        <f t="shared" si="5"/>
        <v>1</v>
      </c>
    </row>
    <row r="10" spans="1:29" s="426" customFormat="1" ht="27">
      <c r="A10" s="420"/>
      <c r="B10" s="421" t="s">
        <v>2556</v>
      </c>
      <c r="C10" s="3007" t="s">
        <v>3369</v>
      </c>
      <c r="D10" s="135">
        <v>100</v>
      </c>
      <c r="E10" s="422" t="s">
        <v>3369</v>
      </c>
      <c r="F10" s="135">
        <f>SUMIF(66:66,E10,67:67)-SUMIF(66:66,C10,67:67)+100</f>
        <v>100</v>
      </c>
      <c r="G10" s="3007" t="s">
        <v>3369</v>
      </c>
      <c r="H10" s="135">
        <f>SUMIF(66:66,G10,67:67)-SUMIF(66:66,C10,67:67)+100</f>
        <v>100</v>
      </c>
      <c r="I10" s="3007" t="s">
        <v>3369</v>
      </c>
      <c r="J10" s="135">
        <f>SUMIF(66:66,I10,67:67)-SUMIF(66:66,C10,67:67)+100</f>
        <v>100</v>
      </c>
      <c r="K10" s="611"/>
      <c r="L10" s="1131"/>
      <c r="M10" s="1132"/>
      <c r="N10" s="1132"/>
      <c r="O10" s="1132"/>
      <c r="P10" s="3258"/>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58"/>
      <c r="Q11" s="1791" t="str">
        <f t="shared" si="6"/>
        <v>容积率</v>
      </c>
      <c r="R11" s="769" t="s">
        <v>17</v>
      </c>
      <c r="S11" s="770">
        <f t="shared" si="0"/>
        <v>100</v>
      </c>
      <c r="T11" s="769" t="s">
        <v>17</v>
      </c>
      <c r="U11" s="770">
        <f t="shared" si="1"/>
        <v>100</v>
      </c>
      <c r="V11" s="769" t="s">
        <v>17</v>
      </c>
      <c r="W11" s="770">
        <f t="shared" si="2"/>
        <v>100</v>
      </c>
      <c r="X11" s="771"/>
      <c r="Y11" s="3108"/>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58"/>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58"/>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58"/>
      <c r="Q14" s="1791">
        <f t="shared" si="6"/>
        <v>111</v>
      </c>
      <c r="R14" s="769" t="s">
        <v>17</v>
      </c>
      <c r="S14" s="770">
        <f t="shared" si="0"/>
        <v>100</v>
      </c>
      <c r="T14" s="769" t="s">
        <v>17</v>
      </c>
      <c r="U14" s="770">
        <f t="shared" si="1"/>
        <v>100</v>
      </c>
      <c r="V14" s="769" t="s">
        <v>17</v>
      </c>
      <c r="W14" s="770">
        <f t="shared" si="2"/>
        <v>100</v>
      </c>
      <c r="X14" s="771"/>
      <c r="Y14" s="3108"/>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64" t="s">
        <v>2559</v>
      </c>
      <c r="Q15" s="1806" t="str">
        <f t="shared" si="6"/>
        <v>办公集聚程度</v>
      </c>
      <c r="R15" s="773" t="s">
        <v>17</v>
      </c>
      <c r="S15" s="774">
        <f t="shared" si="0"/>
        <v>100</v>
      </c>
      <c r="T15" s="773" t="s">
        <v>17</v>
      </c>
      <c r="U15" s="774">
        <f t="shared" si="1"/>
        <v>100</v>
      </c>
      <c r="V15" s="773" t="s">
        <v>17</v>
      </c>
      <c r="W15" s="774">
        <f t="shared" si="2"/>
        <v>100</v>
      </c>
      <c r="X15" s="1809"/>
      <c r="Y15" s="3266" t="s">
        <v>2559</v>
      </c>
      <c r="Z15" s="1810" t="str">
        <f t="shared" si="7"/>
        <v>办公集聚程度</v>
      </c>
      <c r="AA15" s="1807">
        <f t="shared" si="3"/>
        <v>1</v>
      </c>
      <c r="AB15" s="1807">
        <f t="shared" si="4"/>
        <v>1</v>
      </c>
      <c r="AC15" s="2667">
        <f t="shared" si="5"/>
        <v>1</v>
      </c>
    </row>
    <row r="16" spans="1:29" ht="15">
      <c r="A16" s="427"/>
      <c r="B16" s="629"/>
      <c r="C16" s="2604" t="s">
        <v>3334</v>
      </c>
      <c r="D16" s="447"/>
      <c r="E16" s="2604" t="s">
        <v>3334</v>
      </c>
      <c r="F16" s="447"/>
      <c r="G16" s="2604" t="s">
        <v>3334</v>
      </c>
      <c r="H16" s="449"/>
      <c r="I16" s="2604" t="s">
        <v>3334</v>
      </c>
      <c r="J16" s="447"/>
      <c r="K16" s="614"/>
      <c r="L16" s="1136"/>
      <c r="M16" s="1127"/>
      <c r="N16" s="1127"/>
      <c r="O16" s="1127"/>
      <c r="P16" s="3265"/>
      <c r="Q16" s="1806"/>
      <c r="R16" s="773"/>
      <c r="S16" s="774"/>
      <c r="T16" s="773"/>
      <c r="U16" s="774"/>
      <c r="V16" s="773"/>
      <c r="W16" s="774"/>
      <c r="X16" s="1809"/>
      <c r="Y16" s="3267"/>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65"/>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65"/>
      <c r="Q18" s="1806"/>
      <c r="R18" s="773"/>
      <c r="S18" s="774"/>
      <c r="T18" s="773"/>
      <c r="U18" s="774"/>
      <c r="V18" s="773"/>
      <c r="W18" s="774"/>
      <c r="X18" s="1809"/>
      <c r="Y18" s="3267"/>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65"/>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2667">
        <f t="shared" si="5"/>
        <v>1</v>
      </c>
    </row>
    <row r="20" spans="1:29" ht="15">
      <c r="A20" s="427"/>
      <c r="B20" s="631"/>
      <c r="C20" s="2604" t="s">
        <v>3334</v>
      </c>
      <c r="D20" s="447"/>
      <c r="E20" s="2604" t="s">
        <v>3334</v>
      </c>
      <c r="F20" s="447"/>
      <c r="G20" s="2604" t="s">
        <v>3334</v>
      </c>
      <c r="H20" s="447"/>
      <c r="I20" s="2604" t="s">
        <v>3334</v>
      </c>
      <c r="J20" s="447"/>
      <c r="K20" s="614"/>
      <c r="L20" s="1136"/>
      <c r="M20" s="1127"/>
      <c r="N20" s="1127"/>
      <c r="O20" s="1127"/>
      <c r="P20" s="3265"/>
      <c r="Q20" s="1806"/>
      <c r="R20" s="773"/>
      <c r="S20" s="774"/>
      <c r="T20" s="773"/>
      <c r="U20" s="774"/>
      <c r="V20" s="773"/>
      <c r="W20" s="774"/>
      <c r="X20" s="1809"/>
      <c r="Y20" s="3267"/>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2667">
        <f t="shared" ref="AC21" si="10">D21/J21</f>
        <v>1</v>
      </c>
    </row>
    <row r="22" spans="1:29" ht="15">
      <c r="A22" s="427"/>
      <c r="B22" s="632"/>
      <c r="C22" s="2669" t="s">
        <v>3335</v>
      </c>
      <c r="D22" s="447"/>
      <c r="E22" s="2669" t="s">
        <v>3335</v>
      </c>
      <c r="F22" s="447"/>
      <c r="G22" s="2669" t="s">
        <v>3335</v>
      </c>
      <c r="H22" s="447"/>
      <c r="I22" s="2669" t="s">
        <v>3335</v>
      </c>
      <c r="J22" s="447"/>
      <c r="K22" s="1379"/>
      <c r="L22" s="1136"/>
      <c r="M22" s="1127"/>
      <c r="N22" s="1127"/>
      <c r="O22" s="1127"/>
      <c r="P22" s="3265"/>
      <c r="Q22" s="1806"/>
      <c r="R22" s="773"/>
      <c r="S22" s="774"/>
      <c r="T22" s="773"/>
      <c r="U22" s="774"/>
      <c r="V22" s="773"/>
      <c r="W22" s="774"/>
      <c r="X22" s="1809"/>
      <c r="Y22" s="3267"/>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65"/>
      <c r="Q23" s="1806" t="str">
        <f>B23</f>
        <v>环境质量</v>
      </c>
      <c r="R23" s="773" t="s">
        <v>17</v>
      </c>
      <c r="S23" s="774">
        <f>F23</f>
        <v>100</v>
      </c>
      <c r="T23" s="773" t="s">
        <v>17</v>
      </c>
      <c r="U23" s="774">
        <f>H23</f>
        <v>100</v>
      </c>
      <c r="V23" s="773" t="s">
        <v>17</v>
      </c>
      <c r="W23" s="774">
        <f>J23</f>
        <v>100</v>
      </c>
      <c r="X23" s="1809"/>
      <c r="Y23" s="3267"/>
      <c r="Z23" s="1810" t="str">
        <f>Q23</f>
        <v>环境质量</v>
      </c>
      <c r="AA23" s="1807">
        <f t="shared" si="3"/>
        <v>1</v>
      </c>
      <c r="AB23" s="1807">
        <f t="shared" si="4"/>
        <v>1</v>
      </c>
      <c r="AC23" s="2667">
        <f t="shared" si="5"/>
        <v>1</v>
      </c>
    </row>
    <row r="24" spans="1:29" ht="15">
      <c r="A24" s="427"/>
      <c r="B24" s="632"/>
      <c r="C24" s="2604" t="s">
        <v>3334</v>
      </c>
      <c r="D24" s="447"/>
      <c r="E24" s="2604" t="s">
        <v>3334</v>
      </c>
      <c r="F24" s="447"/>
      <c r="G24" s="2604" t="s">
        <v>3334</v>
      </c>
      <c r="H24" s="447"/>
      <c r="I24" s="2604" t="s">
        <v>3334</v>
      </c>
      <c r="J24" s="447"/>
      <c r="K24" s="614"/>
      <c r="L24" s="1136"/>
      <c r="M24" s="1127"/>
      <c r="N24" s="1127"/>
      <c r="O24" s="1127"/>
      <c r="P24" s="3265"/>
      <c r="Q24" s="1806"/>
      <c r="R24" s="773"/>
      <c r="S24" s="774"/>
      <c r="T24" s="773"/>
      <c r="U24" s="774"/>
      <c r="V24" s="773"/>
      <c r="W24" s="774"/>
      <c r="X24" s="1809"/>
      <c r="Y24" s="3267"/>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65"/>
      <c r="Q25" s="1806" t="str">
        <f>B25</f>
        <v>毗邻道路的类型与等级</v>
      </c>
      <c r="R25" s="773" t="s">
        <v>17</v>
      </c>
      <c r="S25" s="774">
        <f>F25</f>
        <v>99</v>
      </c>
      <c r="T25" s="773" t="s">
        <v>17</v>
      </c>
      <c r="U25" s="774">
        <f>H25</f>
        <v>100</v>
      </c>
      <c r="V25" s="773" t="s">
        <v>17</v>
      </c>
      <c r="W25" s="774">
        <f>J25</f>
        <v>99</v>
      </c>
      <c r="X25" s="1809"/>
      <c r="Y25" s="3267"/>
      <c r="Z25" s="1810" t="str">
        <f>Q25</f>
        <v>毗邻道路的类型与等级</v>
      </c>
      <c r="AA25" s="1807">
        <f t="shared" si="3"/>
        <v>1.0101010101010102</v>
      </c>
      <c r="AB25" s="1807">
        <f t="shared" si="4"/>
        <v>1</v>
      </c>
      <c r="AC25" s="2667">
        <f t="shared" si="5"/>
        <v>1.0101010101010102</v>
      </c>
    </row>
    <row r="26" spans="1:29" ht="15">
      <c r="A26" s="403"/>
      <c r="B26" s="631"/>
      <c r="C26" s="633" t="s">
        <v>3337</v>
      </c>
      <c r="D26" s="434"/>
      <c r="E26" s="615" t="s">
        <v>3376</v>
      </c>
      <c r="F26" s="434"/>
      <c r="G26" s="633" t="s">
        <v>3337</v>
      </c>
      <c r="H26" s="434"/>
      <c r="I26" s="615" t="s">
        <v>3376</v>
      </c>
      <c r="J26" s="434"/>
      <c r="K26" s="614"/>
      <c r="L26" s="1136"/>
      <c r="M26" s="1127"/>
      <c r="N26" s="1127"/>
      <c r="O26" s="1127"/>
      <c r="P26" s="3265"/>
      <c r="Q26" s="1806"/>
      <c r="R26" s="773"/>
      <c r="S26" s="774"/>
      <c r="T26" s="773"/>
      <c r="U26" s="774"/>
      <c r="V26" s="773"/>
      <c r="W26" s="774"/>
      <c r="X26" s="1809"/>
      <c r="Y26" s="3267"/>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65"/>
      <c r="Q27" s="1806" t="str">
        <f t="shared" ref="Q27:Q47" si="11">B27</f>
        <v>楼层</v>
      </c>
      <c r="R27" s="773" t="s">
        <v>17</v>
      </c>
      <c r="S27" s="774">
        <f>F27</f>
        <v>100</v>
      </c>
      <c r="T27" s="773" t="s">
        <v>17</v>
      </c>
      <c r="U27" s="774">
        <f>H27</f>
        <v>100</v>
      </c>
      <c r="V27" s="773" t="s">
        <v>17</v>
      </c>
      <c r="W27" s="774">
        <f>J27</f>
        <v>100</v>
      </c>
      <c r="X27" s="1809"/>
      <c r="Y27" s="3267"/>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65"/>
      <c r="Q28" s="1791" t="str">
        <f t="shared" si="11"/>
        <v>朝向</v>
      </c>
      <c r="R28" s="769" t="s">
        <v>17</v>
      </c>
      <c r="S28" s="770">
        <f>F28</f>
        <v>100</v>
      </c>
      <c r="T28" s="769" t="s">
        <v>17</v>
      </c>
      <c r="U28" s="770">
        <f>H28</f>
        <v>100</v>
      </c>
      <c r="V28" s="769" t="s">
        <v>17</v>
      </c>
      <c r="W28" s="770">
        <f>J28</f>
        <v>100</v>
      </c>
      <c r="X28" s="771"/>
      <c r="Y28" s="3267"/>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65"/>
      <c r="Q29" s="1806">
        <f t="shared" si="11"/>
        <v>111</v>
      </c>
      <c r="R29" s="773" t="s">
        <v>17</v>
      </c>
      <c r="S29" s="774">
        <f t="shared" ref="S29:S47" si="12">F29</f>
        <v>100</v>
      </c>
      <c r="T29" s="773" t="s">
        <v>17</v>
      </c>
      <c r="U29" s="774">
        <f t="shared" ref="U29:U47" si="13">H29</f>
        <v>100</v>
      </c>
      <c r="V29" s="773" t="s">
        <v>17</v>
      </c>
      <c r="W29" s="774">
        <f t="shared" ref="W29:W47" si="14">J29</f>
        <v>100</v>
      </c>
      <c r="X29" s="1809"/>
      <c r="Y29" s="3267"/>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65"/>
      <c r="Q30" s="1806">
        <f t="shared" si="11"/>
        <v>111</v>
      </c>
      <c r="R30" s="773" t="s">
        <v>17</v>
      </c>
      <c r="S30" s="774">
        <f t="shared" si="12"/>
        <v>100</v>
      </c>
      <c r="T30" s="773" t="s">
        <v>17</v>
      </c>
      <c r="U30" s="774">
        <f t="shared" si="13"/>
        <v>100</v>
      </c>
      <c r="V30" s="773" t="s">
        <v>17</v>
      </c>
      <c r="W30" s="774">
        <f t="shared" si="14"/>
        <v>100</v>
      </c>
      <c r="X30" s="1809"/>
      <c r="Y30" s="3267"/>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65"/>
      <c r="Q31" s="1806">
        <f t="shared" si="11"/>
        <v>111</v>
      </c>
      <c r="R31" s="773" t="s">
        <v>17</v>
      </c>
      <c r="S31" s="774">
        <f t="shared" si="12"/>
        <v>100</v>
      </c>
      <c r="T31" s="773" t="s">
        <v>17</v>
      </c>
      <c r="U31" s="774">
        <f t="shared" si="13"/>
        <v>100</v>
      </c>
      <c r="V31" s="773" t="s">
        <v>17</v>
      </c>
      <c r="W31" s="774">
        <f t="shared" si="14"/>
        <v>100</v>
      </c>
      <c r="X31" s="1809"/>
      <c r="Y31" s="3267"/>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65"/>
      <c r="Q32" s="1806">
        <f t="shared" si="11"/>
        <v>111</v>
      </c>
      <c r="R32" s="773" t="s">
        <v>17</v>
      </c>
      <c r="S32" s="774">
        <f t="shared" si="12"/>
        <v>100</v>
      </c>
      <c r="T32" s="773" t="s">
        <v>17</v>
      </c>
      <c r="U32" s="774">
        <f t="shared" si="13"/>
        <v>100</v>
      </c>
      <c r="V32" s="773" t="s">
        <v>17</v>
      </c>
      <c r="W32" s="774">
        <f t="shared" si="14"/>
        <v>100</v>
      </c>
      <c r="X32" s="1809"/>
      <c r="Y32" s="3267"/>
      <c r="Z32" s="1810">
        <f t="shared" si="15"/>
        <v>111</v>
      </c>
      <c r="AA32" s="1807">
        <f t="shared" si="3"/>
        <v>1</v>
      </c>
      <c r="AB32" s="1807">
        <f t="shared" si="4"/>
        <v>1</v>
      </c>
      <c r="AC32" s="2667">
        <f t="shared" si="5"/>
        <v>1</v>
      </c>
    </row>
    <row r="33" spans="1:29" ht="15">
      <c r="A33" s="439" t="s">
        <v>2562</v>
      </c>
      <c r="B33" s="70" t="s">
        <v>2692</v>
      </c>
      <c r="C33" s="2672" t="s">
        <v>3406</v>
      </c>
      <c r="D33" s="466">
        <v>100</v>
      </c>
      <c r="E33" s="2672" t="s">
        <v>3406</v>
      </c>
      <c r="F33" s="460">
        <f>SUMIF(101:101,E33,102:102)-SUMIF(101:101,C33,102:102)+100</f>
        <v>100</v>
      </c>
      <c r="G33" s="2672" t="s">
        <v>3406</v>
      </c>
      <c r="H33" s="434">
        <f>SUMIF(101:101,G33,102:102)-SUMIF(101:101,C33,102:102)+100</f>
        <v>100</v>
      </c>
      <c r="I33" s="2672" t="s">
        <v>3406</v>
      </c>
      <c r="J33" s="466">
        <f>SUMIF(101:101,I33,102:102)-SUMIF(101:101,C33,102:102)+100</f>
        <v>100</v>
      </c>
      <c r="K33" s="611">
        <v>1</v>
      </c>
      <c r="L33" s="1136"/>
      <c r="M33" s="1127"/>
      <c r="N33" s="1127"/>
      <c r="O33" s="1127"/>
      <c r="P33" s="3268" t="s">
        <v>2564</v>
      </c>
      <c r="Q33" s="1806" t="str">
        <f t="shared" si="11"/>
        <v>建筑类型</v>
      </c>
      <c r="R33" s="773" t="s">
        <v>17</v>
      </c>
      <c r="S33" s="774">
        <f t="shared" si="12"/>
        <v>100</v>
      </c>
      <c r="T33" s="773" t="s">
        <v>17</v>
      </c>
      <c r="U33" s="774">
        <f t="shared" si="13"/>
        <v>100</v>
      </c>
      <c r="V33" s="773" t="s">
        <v>17</v>
      </c>
      <c r="W33" s="774">
        <f t="shared" si="14"/>
        <v>100</v>
      </c>
      <c r="X33" s="1809"/>
      <c r="Y33" s="3271"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69"/>
      <c r="Q34" s="775" t="str">
        <f t="shared" si="11"/>
        <v>项目建筑规模</v>
      </c>
      <c r="R34" s="776" t="s">
        <v>17</v>
      </c>
      <c r="S34" s="777">
        <f t="shared" si="12"/>
        <v>100</v>
      </c>
      <c r="T34" s="776" t="s">
        <v>17</v>
      </c>
      <c r="U34" s="777">
        <f t="shared" si="13"/>
        <v>100</v>
      </c>
      <c r="V34" s="776" t="s">
        <v>17</v>
      </c>
      <c r="W34" s="777">
        <f t="shared" si="14"/>
        <v>100</v>
      </c>
      <c r="X34" s="778"/>
      <c r="Y34" s="3271"/>
      <c r="Z34" s="779" t="str">
        <f t="shared" si="15"/>
        <v>项目建筑规模</v>
      </c>
      <c r="AA34" s="1807">
        <f t="shared" si="3"/>
        <v>1</v>
      </c>
      <c r="AB34" s="1807">
        <f t="shared" si="4"/>
        <v>1</v>
      </c>
      <c r="AC34" s="2667">
        <f t="shared" si="5"/>
        <v>1</v>
      </c>
    </row>
    <row r="35" spans="1:29" ht="15">
      <c r="A35" s="471"/>
      <c r="B35" s="421" t="s">
        <v>2566</v>
      </c>
      <c r="C35" s="459" t="s">
        <v>3407</v>
      </c>
      <c r="D35" s="434">
        <v>100</v>
      </c>
      <c r="E35" s="459" t="s">
        <v>3407</v>
      </c>
      <c r="F35" s="460">
        <f>SUMIF(106:106,E35,107:107)-SUMIF(106:106,C35,107:107)+100</f>
        <v>100</v>
      </c>
      <c r="G35" s="459" t="s">
        <v>3407</v>
      </c>
      <c r="H35" s="434">
        <f>SUMIF(106:106,G35,107:107)-SUMIF(106:106,C35,107:107)+100</f>
        <v>100</v>
      </c>
      <c r="I35" s="459" t="s">
        <v>3407</v>
      </c>
      <c r="J35" s="434">
        <f>SUMIF(106:106,I35,107:107)-SUMIF(106:106,C35,107:107)+100</f>
        <v>100</v>
      </c>
      <c r="K35" s="611"/>
      <c r="L35" s="1136"/>
      <c r="M35" s="1127"/>
      <c r="N35" s="1127"/>
      <c r="O35" s="1127"/>
      <c r="P35" s="3269"/>
      <c r="Q35" s="1806" t="str">
        <f t="shared" si="11"/>
        <v>建筑结构</v>
      </c>
      <c r="R35" s="773" t="s">
        <v>17</v>
      </c>
      <c r="S35" s="774">
        <f t="shared" si="12"/>
        <v>100</v>
      </c>
      <c r="T35" s="773" t="s">
        <v>17</v>
      </c>
      <c r="U35" s="774">
        <f t="shared" si="13"/>
        <v>100</v>
      </c>
      <c r="V35" s="773" t="s">
        <v>17</v>
      </c>
      <c r="W35" s="774">
        <f t="shared" si="14"/>
        <v>100</v>
      </c>
      <c r="X35" s="1809"/>
      <c r="Y35" s="3271"/>
      <c r="Z35" s="1810" t="str">
        <f t="shared" si="15"/>
        <v>建筑结构</v>
      </c>
      <c r="AA35" s="1807">
        <f t="shared" si="3"/>
        <v>1</v>
      </c>
      <c r="AB35" s="1807">
        <f t="shared" si="4"/>
        <v>1</v>
      </c>
      <c r="AC35" s="2667">
        <f t="shared" si="5"/>
        <v>1</v>
      </c>
    </row>
    <row r="36" spans="1:29" ht="15">
      <c r="A36" s="471"/>
      <c r="B36" s="421" t="s">
        <v>2660</v>
      </c>
      <c r="C36" s="459" t="s">
        <v>3408</v>
      </c>
      <c r="D36" s="434">
        <v>100</v>
      </c>
      <c r="E36" s="459" t="s">
        <v>3408</v>
      </c>
      <c r="F36" s="460">
        <f>SUMIF(108:108,E36,109:109)-SUMIF(108:108,C36,109:109)+100</f>
        <v>100</v>
      </c>
      <c r="G36" s="459" t="s">
        <v>3408</v>
      </c>
      <c r="H36" s="434">
        <f>SUMIF(108:108,G36,109:109)-SUMIF(108:108,C36,109:109)+100</f>
        <v>100</v>
      </c>
      <c r="I36" s="459" t="s">
        <v>3408</v>
      </c>
      <c r="J36" s="434">
        <f>SUMIF(108:108,I36,109:109)-SUMIF(108:108,C36,109:109)+100</f>
        <v>100</v>
      </c>
      <c r="K36" s="611"/>
      <c r="L36" s="1136"/>
      <c r="M36" s="1127"/>
      <c r="N36" s="1127"/>
      <c r="O36" s="1127"/>
      <c r="P36" s="3269"/>
      <c r="Q36" s="1806" t="str">
        <f t="shared" si="11"/>
        <v>公共部分装修</v>
      </c>
      <c r="R36" s="773" t="s">
        <v>17</v>
      </c>
      <c r="S36" s="774">
        <f t="shared" si="12"/>
        <v>100</v>
      </c>
      <c r="T36" s="773" t="s">
        <v>17</v>
      </c>
      <c r="U36" s="774">
        <f t="shared" si="13"/>
        <v>100</v>
      </c>
      <c r="V36" s="773" t="s">
        <v>17</v>
      </c>
      <c r="W36" s="774">
        <f t="shared" si="14"/>
        <v>100</v>
      </c>
      <c r="X36" s="1809"/>
      <c r="Y36" s="3271"/>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69"/>
      <c r="Q37" s="1806" t="str">
        <f t="shared" si="11"/>
        <v>成新度</v>
      </c>
      <c r="R37" s="773" t="s">
        <v>17</v>
      </c>
      <c r="S37" s="774">
        <f t="shared" si="12"/>
        <v>100</v>
      </c>
      <c r="T37" s="773" t="s">
        <v>17</v>
      </c>
      <c r="U37" s="774">
        <f t="shared" si="13"/>
        <v>100</v>
      </c>
      <c r="V37" s="773" t="s">
        <v>17</v>
      </c>
      <c r="W37" s="774">
        <f t="shared" si="14"/>
        <v>100</v>
      </c>
      <c r="X37" s="1809"/>
      <c r="Y37" s="3271"/>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69"/>
      <c r="Q38" s="1791" t="str">
        <f t="shared" si="11"/>
        <v>写字楼等级</v>
      </c>
      <c r="R38" s="769" t="s">
        <v>17</v>
      </c>
      <c r="S38" s="770">
        <f t="shared" si="12"/>
        <v>100</v>
      </c>
      <c r="T38" s="769" t="s">
        <v>17</v>
      </c>
      <c r="U38" s="770">
        <f t="shared" si="13"/>
        <v>100</v>
      </c>
      <c r="V38" s="769" t="s">
        <v>17</v>
      </c>
      <c r="W38" s="770">
        <f t="shared" si="14"/>
        <v>100</v>
      </c>
      <c r="X38" s="771"/>
      <c r="Y38" s="3271"/>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69" t="s">
        <v>2564</v>
      </c>
      <c r="Q39" s="1806" t="str">
        <f t="shared" si="11"/>
        <v>物业管理</v>
      </c>
      <c r="R39" s="773" t="s">
        <v>17</v>
      </c>
      <c r="S39" s="774">
        <f t="shared" si="12"/>
        <v>100</v>
      </c>
      <c r="T39" s="773" t="s">
        <v>17</v>
      </c>
      <c r="U39" s="774">
        <f t="shared" si="13"/>
        <v>100</v>
      </c>
      <c r="V39" s="773" t="s">
        <v>17</v>
      </c>
      <c r="W39" s="774">
        <f t="shared" si="14"/>
        <v>100</v>
      </c>
      <c r="X39" s="1809"/>
      <c r="Y39" s="3271" t="s">
        <v>2564</v>
      </c>
      <c r="Z39" s="1810" t="str">
        <f t="shared" si="15"/>
        <v>物业管理</v>
      </c>
      <c r="AA39" s="1807">
        <f t="shared" si="3"/>
        <v>1</v>
      </c>
      <c r="AB39" s="1807">
        <f t="shared" si="4"/>
        <v>1</v>
      </c>
      <c r="AC39" s="2667">
        <f t="shared" si="5"/>
        <v>1</v>
      </c>
    </row>
    <row r="40" spans="1:29" ht="15">
      <c r="A40" s="471"/>
      <c r="B40" s="421" t="s">
        <v>2662</v>
      </c>
      <c r="C40" s="3010" t="s">
        <v>3335</v>
      </c>
      <c r="D40" s="434">
        <v>100</v>
      </c>
      <c r="E40" s="3010" t="s">
        <v>3416</v>
      </c>
      <c r="F40" s="460">
        <f>SUMIF(117:117,E40,118:118)-SUMIF(117:117,C40,118:118)+100</f>
        <v>100</v>
      </c>
      <c r="G40" s="3010" t="s">
        <v>3416</v>
      </c>
      <c r="H40" s="434">
        <f>SUMIF(117:117,G40,118:118)-SUMIF(117:117,C40,118:118)+100</f>
        <v>100</v>
      </c>
      <c r="I40" s="3010" t="s">
        <v>3416</v>
      </c>
      <c r="J40" s="434">
        <f>SUMIF(117:117,I40,118:118)-SUMIF(117:117,C40,118:118)+100</f>
        <v>100</v>
      </c>
      <c r="K40" s="611">
        <v>0</v>
      </c>
      <c r="L40" s="1136"/>
      <c r="M40" s="1127"/>
      <c r="N40" s="1127"/>
      <c r="O40" s="1127"/>
      <c r="P40" s="3269"/>
      <c r="Q40" s="1806" t="str">
        <f t="shared" si="11"/>
        <v>市政基础设施</v>
      </c>
      <c r="R40" s="773" t="s">
        <v>17</v>
      </c>
      <c r="S40" s="774">
        <f t="shared" si="12"/>
        <v>100</v>
      </c>
      <c r="T40" s="773" t="s">
        <v>17</v>
      </c>
      <c r="U40" s="774">
        <f t="shared" si="13"/>
        <v>100</v>
      </c>
      <c r="V40" s="773" t="s">
        <v>17</v>
      </c>
      <c r="W40" s="774">
        <f t="shared" si="14"/>
        <v>100</v>
      </c>
      <c r="X40" s="1809"/>
      <c r="Y40" s="3271"/>
      <c r="Z40" s="1810" t="str">
        <f t="shared" si="15"/>
        <v>市政基础设施</v>
      </c>
      <c r="AA40" s="1807">
        <f t="shared" si="3"/>
        <v>1</v>
      </c>
      <c r="AB40" s="1807">
        <f t="shared" si="4"/>
        <v>1</v>
      </c>
      <c r="AC40" s="2667">
        <f t="shared" si="5"/>
        <v>1</v>
      </c>
    </row>
    <row r="41" spans="1:29" ht="15">
      <c r="A41" s="471"/>
      <c r="B41" s="421" t="s">
        <v>2664</v>
      </c>
      <c r="C41" s="2998" t="s">
        <v>3409</v>
      </c>
      <c r="D41" s="434">
        <v>100</v>
      </c>
      <c r="E41" s="2998" t="s">
        <v>3409</v>
      </c>
      <c r="F41" s="460">
        <f>SUMIF(119:119,E41,120:120)-SUMIF(119:119,C41,120:120)+100</f>
        <v>100</v>
      </c>
      <c r="G41" s="2998" t="s">
        <v>3409</v>
      </c>
      <c r="H41" s="434">
        <f>SUMIF(119:119,G41,120:120)-SUMIF(119:119,C41,120:120)+100</f>
        <v>100</v>
      </c>
      <c r="I41" s="2998" t="s">
        <v>3409</v>
      </c>
      <c r="J41" s="434">
        <f>SUMIF(119:119,I41,120:120)-SUMIF(119:119,C41,120:120)+100</f>
        <v>100</v>
      </c>
      <c r="K41" s="611"/>
      <c r="L41" s="1136"/>
      <c r="M41" s="1127"/>
      <c r="N41" s="1127"/>
      <c r="O41" s="1127"/>
      <c r="P41" s="3269"/>
      <c r="Q41" s="1806" t="str">
        <f t="shared" si="11"/>
        <v>层高</v>
      </c>
      <c r="R41" s="773" t="s">
        <v>17</v>
      </c>
      <c r="S41" s="774">
        <f t="shared" si="12"/>
        <v>100</v>
      </c>
      <c r="T41" s="773" t="s">
        <v>17</v>
      </c>
      <c r="U41" s="774">
        <f t="shared" si="13"/>
        <v>100</v>
      </c>
      <c r="V41" s="773" t="s">
        <v>17</v>
      </c>
      <c r="W41" s="774">
        <f t="shared" si="14"/>
        <v>100</v>
      </c>
      <c r="X41" s="1809"/>
      <c r="Y41" s="3271"/>
      <c r="Z41" s="1810" t="str">
        <f t="shared" si="15"/>
        <v>层高</v>
      </c>
      <c r="AA41" s="1807">
        <f t="shared" si="3"/>
        <v>1</v>
      </c>
      <c r="AB41" s="1807">
        <f t="shared" si="4"/>
        <v>1</v>
      </c>
      <c r="AC41" s="2667">
        <f t="shared" si="5"/>
        <v>1</v>
      </c>
    </row>
    <row r="42" spans="1:29" s="470" customFormat="1" ht="15">
      <c r="A42" s="467"/>
      <c r="B42" s="1808" t="s">
        <v>2695</v>
      </c>
      <c r="C42" s="433" t="s">
        <v>3377</v>
      </c>
      <c r="D42" s="434">
        <v>100</v>
      </c>
      <c r="E42" s="433" t="s">
        <v>3377</v>
      </c>
      <c r="F42" s="460">
        <f>SUMIF(121:121,E42,122:122)-SUMIF(121:121,C42,122:122)+100</f>
        <v>100</v>
      </c>
      <c r="G42" s="433" t="s">
        <v>3377</v>
      </c>
      <c r="H42" s="434">
        <f>SUMIF(121:121,G42,122:122)-SUMIF(121:121,C42,122:122)+100</f>
        <v>100</v>
      </c>
      <c r="I42" s="433" t="s">
        <v>3377</v>
      </c>
      <c r="J42" s="434">
        <f>SUMIF(121:121,I42,122:122)-SUMIF(121:121,C42,122:122)+100</f>
        <v>100</v>
      </c>
      <c r="K42" s="612"/>
      <c r="L42" s="1134"/>
      <c r="M42" s="1137"/>
      <c r="N42" s="1137"/>
      <c r="O42" s="1137"/>
      <c r="P42" s="3269"/>
      <c r="Q42" s="775" t="str">
        <f t="shared" si="11"/>
        <v>单套建筑面积</v>
      </c>
      <c r="R42" s="776" t="s">
        <v>17</v>
      </c>
      <c r="S42" s="777">
        <f t="shared" si="12"/>
        <v>100</v>
      </c>
      <c r="T42" s="776" t="s">
        <v>17</v>
      </c>
      <c r="U42" s="777">
        <f t="shared" si="13"/>
        <v>100</v>
      </c>
      <c r="V42" s="776" t="s">
        <v>17</v>
      </c>
      <c r="W42" s="777">
        <f t="shared" si="14"/>
        <v>100</v>
      </c>
      <c r="X42" s="778"/>
      <c r="Y42" s="3271"/>
      <c r="Z42" s="779" t="str">
        <f t="shared" si="15"/>
        <v>单套建筑面积</v>
      </c>
      <c r="AA42" s="1807">
        <f t="shared" si="3"/>
        <v>1</v>
      </c>
      <c r="AB42" s="1807">
        <f t="shared" si="4"/>
        <v>1</v>
      </c>
      <c r="AC42" s="2667">
        <f t="shared" si="5"/>
        <v>1</v>
      </c>
    </row>
    <row r="43" spans="1:29" ht="15">
      <c r="A43" s="471"/>
      <c r="B43" s="421" t="s">
        <v>2667</v>
      </c>
      <c r="C43" s="3010" t="s">
        <v>3410</v>
      </c>
      <c r="D43" s="434">
        <v>100</v>
      </c>
      <c r="E43" s="3010" t="s">
        <v>3410</v>
      </c>
      <c r="F43" s="460">
        <f>SUMIF(123:123,E43,124:124)-SUMIF(123:123,C43,124:124)+100</f>
        <v>100</v>
      </c>
      <c r="G43" s="3010" t="s">
        <v>3410</v>
      </c>
      <c r="H43" s="434">
        <f>SUMIF(123:123,G43,124:124)-SUMIF(123:123,C43,124:124)+100</f>
        <v>100</v>
      </c>
      <c r="I43" s="3010" t="s">
        <v>3410</v>
      </c>
      <c r="J43" s="434">
        <f>SUMIF(123:123,I43,124:124)-SUMIF(123:123,C43,124:124)+100</f>
        <v>100</v>
      </c>
      <c r="K43" s="611"/>
      <c r="L43" s="1136"/>
      <c r="M43" s="1127"/>
      <c r="N43" s="1127"/>
      <c r="O43" s="1127"/>
      <c r="P43" s="3269"/>
      <c r="Q43" s="1806" t="str">
        <f t="shared" si="11"/>
        <v>内部装修</v>
      </c>
      <c r="R43" s="773" t="s">
        <v>17</v>
      </c>
      <c r="S43" s="774">
        <f t="shared" si="12"/>
        <v>100</v>
      </c>
      <c r="T43" s="773" t="s">
        <v>17</v>
      </c>
      <c r="U43" s="774">
        <f t="shared" si="13"/>
        <v>100</v>
      </c>
      <c r="V43" s="773" t="s">
        <v>17</v>
      </c>
      <c r="W43" s="774">
        <f t="shared" si="14"/>
        <v>100</v>
      </c>
      <c r="X43" s="1809"/>
      <c r="Y43" s="3271"/>
      <c r="Z43" s="1810" t="str">
        <f t="shared" si="15"/>
        <v>内部装修</v>
      </c>
      <c r="AA43" s="1807">
        <f t="shared" si="3"/>
        <v>1</v>
      </c>
      <c r="AB43" s="1807">
        <f t="shared" si="4"/>
        <v>1</v>
      </c>
      <c r="AC43" s="2667">
        <f t="shared" si="5"/>
        <v>1</v>
      </c>
    </row>
    <row r="44" spans="1:29" ht="15">
      <c r="A44" s="471"/>
      <c r="B44" s="421" t="s">
        <v>2575</v>
      </c>
      <c r="C44" s="3010" t="s">
        <v>3052</v>
      </c>
      <c r="D44" s="434">
        <v>100</v>
      </c>
      <c r="E44" s="3010" t="s">
        <v>3052</v>
      </c>
      <c r="F44" s="460">
        <f>SUMIF(125:125,E44,126:126)-SUMIF(125:125,C44,126:126)+100</f>
        <v>100</v>
      </c>
      <c r="G44" s="3010" t="s">
        <v>3052</v>
      </c>
      <c r="H44" s="434">
        <f>SUMIF(125:125,G44,126:126)-SUMIF(125:125,C44,126:126)+100</f>
        <v>100</v>
      </c>
      <c r="I44" s="3010" t="s">
        <v>3052</v>
      </c>
      <c r="J44" s="434">
        <f>SUMIF(125:125,I44,126:126)-SUMIF(125:125,C44,126:126)+100</f>
        <v>100</v>
      </c>
      <c r="K44" s="611"/>
      <c r="L44" s="1136"/>
      <c r="M44" s="1127"/>
      <c r="N44" s="1127"/>
      <c r="O44" s="1127"/>
      <c r="P44" s="3269"/>
      <c r="Q44" s="1806" t="str">
        <f t="shared" si="11"/>
        <v>内部装修维护情况</v>
      </c>
      <c r="R44" s="773" t="s">
        <v>17</v>
      </c>
      <c r="S44" s="774">
        <f t="shared" si="12"/>
        <v>100</v>
      </c>
      <c r="T44" s="773" t="s">
        <v>17</v>
      </c>
      <c r="U44" s="774">
        <f t="shared" si="13"/>
        <v>100</v>
      </c>
      <c r="V44" s="773" t="s">
        <v>17</v>
      </c>
      <c r="W44" s="774">
        <f t="shared" si="14"/>
        <v>100</v>
      </c>
      <c r="X44" s="1809"/>
      <c r="Y44" s="3271"/>
      <c r="Z44" s="1810" t="str">
        <f t="shared" si="15"/>
        <v>内部装修维护情况</v>
      </c>
      <c r="AA44" s="1807">
        <f t="shared" si="3"/>
        <v>1</v>
      </c>
      <c r="AB44" s="1807">
        <f t="shared" si="4"/>
        <v>1</v>
      </c>
      <c r="AC44" s="2667">
        <f t="shared" si="5"/>
        <v>1</v>
      </c>
    </row>
    <row r="45" spans="1:29" s="116" customFormat="1" ht="15">
      <c r="A45" s="472"/>
      <c r="B45" s="3012" t="s">
        <v>3412</v>
      </c>
      <c r="C45" s="3011" t="s">
        <v>3411</v>
      </c>
      <c r="D45" s="135">
        <v>100</v>
      </c>
      <c r="E45" s="3014" t="s">
        <v>3415</v>
      </c>
      <c r="F45" s="424">
        <f>SUMIF(127:127,E45,128:128)-SUMIF(127:127,C45,128:128)+100</f>
        <v>75</v>
      </c>
      <c r="G45" s="3014" t="s">
        <v>3415</v>
      </c>
      <c r="H45" s="135">
        <f>SUMIF(127:127,G45,128:128)-SUMIF(127:127,C45,128:128)+100</f>
        <v>75</v>
      </c>
      <c r="I45" s="3014" t="s">
        <v>3415</v>
      </c>
      <c r="J45" s="135">
        <f>SUMIF(127:127,I45,128:128)-SUMIF(127:127,C45,128:128)+100</f>
        <v>75</v>
      </c>
      <c r="K45" s="612"/>
      <c r="L45" s="1128"/>
      <c r="M45" s="1129"/>
      <c r="N45" s="1129"/>
      <c r="O45" s="1129"/>
      <c r="P45" s="3269"/>
      <c r="Q45" s="1791" t="str">
        <f t="shared" si="11"/>
        <v>建筑类型</v>
      </c>
      <c r="R45" s="769" t="s">
        <v>17</v>
      </c>
      <c r="S45" s="770">
        <f t="shared" si="12"/>
        <v>75</v>
      </c>
      <c r="T45" s="769" t="s">
        <v>17</v>
      </c>
      <c r="U45" s="770">
        <f t="shared" si="13"/>
        <v>75</v>
      </c>
      <c r="V45" s="769" t="s">
        <v>17</v>
      </c>
      <c r="W45" s="770">
        <f t="shared" si="14"/>
        <v>75</v>
      </c>
      <c r="X45" s="771"/>
      <c r="Y45" s="3271"/>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69"/>
      <c r="Q46" s="1806">
        <f t="shared" si="11"/>
        <v>111</v>
      </c>
      <c r="R46" s="773" t="s">
        <v>17</v>
      </c>
      <c r="S46" s="774">
        <f t="shared" si="12"/>
        <v>100</v>
      </c>
      <c r="T46" s="773" t="s">
        <v>17</v>
      </c>
      <c r="U46" s="774">
        <f t="shared" si="13"/>
        <v>100</v>
      </c>
      <c r="V46" s="773" t="s">
        <v>17</v>
      </c>
      <c r="W46" s="774">
        <f t="shared" si="14"/>
        <v>100</v>
      </c>
      <c r="X46" s="1809"/>
      <c r="Y46" s="3271"/>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0"/>
      <c r="Q47" s="1806">
        <f t="shared" si="11"/>
        <v>111</v>
      </c>
      <c r="R47" s="773" t="s">
        <v>17</v>
      </c>
      <c r="S47" s="774">
        <f t="shared" si="12"/>
        <v>100</v>
      </c>
      <c r="T47" s="773" t="s">
        <v>17</v>
      </c>
      <c r="U47" s="774">
        <f t="shared" si="13"/>
        <v>100</v>
      </c>
      <c r="V47" s="773" t="s">
        <v>17</v>
      </c>
      <c r="W47" s="774">
        <f t="shared" si="14"/>
        <v>100</v>
      </c>
      <c r="X47" s="1809"/>
      <c r="Y47" s="3272"/>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58" t="str">
        <f>A48</f>
        <v>成交单价（元/平方米）</v>
      </c>
      <c r="Q48" s="3259"/>
      <c r="R48" s="3260">
        <f>E48</f>
        <v>4.8</v>
      </c>
      <c r="S48" s="3260"/>
      <c r="T48" s="3260">
        <f>G48</f>
        <v>4.5</v>
      </c>
      <c r="U48" s="3260"/>
      <c r="V48" s="3260">
        <f>I48</f>
        <v>4</v>
      </c>
      <c r="W48" s="3260"/>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58" t="str">
        <f>A49</f>
        <v>比较价值（元/平方米）</v>
      </c>
      <c r="Q49" s="3259"/>
      <c r="R49" s="3260">
        <f>IF(F1="售价",ROUND(PRODUCT(R48,AA7:AA47),0),ROUND(PRODUCT(R48,AA7:AA47),1))</f>
        <v>6.5</v>
      </c>
      <c r="S49" s="3260"/>
      <c r="T49" s="3260">
        <f>IF(F1="售价",ROUND(PRODUCT(T48,AB7:AB47),0),ROUND(PRODUCT(T48,AB7:AB47),1))</f>
        <v>6</v>
      </c>
      <c r="U49" s="3260"/>
      <c r="V49" s="3260">
        <f>IF(F1="售价",ROUND(PRODUCT(V48,AC7:AC47),0),ROUND(PRODUCT(V48,AC7:AC47),1))</f>
        <v>5.4</v>
      </c>
      <c r="W49" s="3260"/>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261" t="str">
        <f>A50</f>
        <v>估价对象XX用房的比较价值（楼面单价，元/平方米）</v>
      </c>
      <c r="Q50" s="3262"/>
      <c r="R50" s="3263">
        <f>IF(F1="售价",ROUND(AVERAGE(R49:V49),0),ROUND(AVERAGE(R49:V49),1))</f>
        <v>6</v>
      </c>
      <c r="S50" s="3263"/>
      <c r="T50" s="3263"/>
      <c r="U50" s="3263"/>
      <c r="V50" s="3263"/>
      <c r="W50" s="3263"/>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3002" t="s">
        <v>3371</v>
      </c>
      <c r="D87" s="3002" t="s">
        <v>3372</v>
      </c>
      <c r="E87" s="3002" t="s">
        <v>3373</v>
      </c>
      <c r="F87" s="3002" t="s">
        <v>3374</v>
      </c>
      <c r="G87" s="3002" t="s">
        <v>3375</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3009" t="s">
        <v>3378</v>
      </c>
      <c r="D101" s="3009" t="s">
        <v>3379</v>
      </c>
      <c r="E101" s="3009" t="s">
        <v>3380</v>
      </c>
      <c r="F101" s="3009" t="s">
        <v>3381</v>
      </c>
      <c r="G101" s="3009" t="s">
        <v>3382</v>
      </c>
      <c r="H101" s="3009" t="s">
        <v>3383</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3002" t="s">
        <v>3384</v>
      </c>
      <c r="D106" s="3002" t="s">
        <v>3385</v>
      </c>
      <c r="E106" s="3001" t="s">
        <v>3386</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3002" t="s">
        <v>3387</v>
      </c>
      <c r="D108" s="3002" t="s">
        <v>3388</v>
      </c>
      <c r="E108" s="3002" t="s">
        <v>3389</v>
      </c>
      <c r="F108" s="3001" t="s">
        <v>3390</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3002" t="s">
        <v>3391</v>
      </c>
      <c r="D113" s="3002" t="s">
        <v>3392</v>
      </c>
      <c r="E113" s="3002" t="s">
        <v>3393</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3002" t="s">
        <v>3394</v>
      </c>
      <c r="D115" s="3002" t="s">
        <v>3395</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3002" t="s">
        <v>3396</v>
      </c>
      <c r="D117" s="3002" t="s">
        <v>3397</v>
      </c>
      <c r="E117" s="3002" t="s">
        <v>3398</v>
      </c>
      <c r="F117" s="3002" t="s">
        <v>3399</v>
      </c>
      <c r="G117" s="3002" t="s">
        <v>3400</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3001" t="s">
        <v>3401</v>
      </c>
      <c r="D119" s="3001" t="s">
        <v>3402</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3377</v>
      </c>
      <c r="D121" s="553" t="s">
        <v>3403</v>
      </c>
      <c r="E121" s="553" t="s">
        <v>3404</v>
      </c>
      <c r="F121" s="582" t="s">
        <v>3405</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3002" t="s">
        <v>3387</v>
      </c>
      <c r="D123" s="3002" t="s">
        <v>3388</v>
      </c>
      <c r="E123" s="3002" t="s">
        <v>3389</v>
      </c>
      <c r="F123" s="3001" t="s">
        <v>3390</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3413</v>
      </c>
      <c r="D127" s="3013" t="s">
        <v>3414</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K124" sqref="K124"/>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3436</v>
      </c>
      <c r="H1" s="2412" t="str">
        <f>IF(G1="现房","——","估价对象范围")</f>
        <v>——</v>
      </c>
      <c r="I1" s="2413"/>
    </row>
    <row r="2" spans="1:12" ht="21.75" customHeight="1" thickBot="1">
      <c r="A2" s="3190" t="str">
        <f>项目基本情况!S2</f>
        <v>北京市大兴区黄村镇房地产</v>
      </c>
      <c r="B2" s="3191"/>
      <c r="C2" s="3191"/>
      <c r="D2" s="3191"/>
      <c r="E2" s="3191"/>
      <c r="F2" s="3191"/>
      <c r="G2" s="3191"/>
      <c r="H2" s="3191"/>
      <c r="I2" s="3192"/>
    </row>
    <row r="3" spans="1:12" ht="12.75">
      <c r="A3" s="3194" t="s">
        <v>2118</v>
      </c>
      <c r="B3" s="3195"/>
      <c r="C3" s="3195"/>
      <c r="D3" s="3195"/>
      <c r="E3" s="3195"/>
      <c r="F3" s="3195"/>
      <c r="G3" s="3195"/>
      <c r="H3" s="3195"/>
      <c r="I3" s="3195"/>
    </row>
    <row r="4" spans="1:12" ht="14.25">
      <c r="A4" s="2416" t="s">
        <v>2119</v>
      </c>
      <c r="B4" s="2417" t="s">
        <v>2120</v>
      </c>
      <c r="C4" s="2418" t="s">
        <v>3427</v>
      </c>
      <c r="D4" s="2418" t="s">
        <v>3421</v>
      </c>
      <c r="E4" s="3187" t="s">
        <v>2121</v>
      </c>
      <c r="F4" s="3188"/>
      <c r="G4" s="3188"/>
      <c r="H4" s="3188"/>
      <c r="I4" s="3196"/>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0" t="s">
        <v>2122</v>
      </c>
      <c r="B5" s="3108">
        <v>25</v>
      </c>
      <c r="C5" s="3173"/>
      <c r="D5" s="3193"/>
      <c r="E5" s="139" t="s">
        <v>2123</v>
      </c>
      <c r="F5" s="2420"/>
      <c r="G5" s="2420"/>
      <c r="H5" s="2420"/>
      <c r="I5" s="1827"/>
    </row>
    <row r="6" spans="1:12" ht="12.75">
      <c r="A6" s="3170"/>
      <c r="B6" s="3108"/>
      <c r="C6" s="3174"/>
      <c r="D6" s="3193"/>
      <c r="E6" s="139" t="s">
        <v>2124</v>
      </c>
      <c r="F6" s="2420"/>
      <c r="G6" s="2420"/>
      <c r="H6" s="2420"/>
      <c r="I6" s="1827"/>
    </row>
    <row r="7" spans="1:12" ht="12.75">
      <c r="A7" s="3170"/>
      <c r="B7" s="3108"/>
      <c r="C7" s="3175"/>
      <c r="D7" s="3193"/>
      <c r="E7" s="139" t="s">
        <v>2125</v>
      </c>
      <c r="F7" s="2420"/>
      <c r="G7" s="2420"/>
      <c r="H7" s="2420"/>
      <c r="I7" s="1827"/>
    </row>
    <row r="8" spans="1:12" ht="12.75">
      <c r="A8" s="3170" t="s">
        <v>2126</v>
      </c>
      <c r="B8" s="3108">
        <v>15</v>
      </c>
      <c r="C8" s="3173"/>
      <c r="D8" s="3193"/>
      <c r="E8" s="139" t="s">
        <v>2127</v>
      </c>
      <c r="F8" s="2420"/>
      <c r="G8" s="2420"/>
      <c r="H8" s="2420"/>
      <c r="I8" s="1827"/>
    </row>
    <row r="9" spans="1:12" ht="12.75">
      <c r="A9" s="3170"/>
      <c r="B9" s="3108"/>
      <c r="C9" s="3175"/>
      <c r="D9" s="3193"/>
      <c r="E9" s="139" t="s">
        <v>2128</v>
      </c>
      <c r="F9" s="2420"/>
      <c r="G9" s="2420"/>
      <c r="H9" s="2420"/>
      <c r="I9" s="1827"/>
    </row>
    <row r="10" spans="1:12" ht="12.75">
      <c r="A10" s="3170" t="s">
        <v>2129</v>
      </c>
      <c r="B10" s="3108">
        <v>15</v>
      </c>
      <c r="C10" s="3173"/>
      <c r="D10" s="3193"/>
      <c r="E10" s="139" t="s">
        <v>2130</v>
      </c>
      <c r="F10" s="2420"/>
      <c r="G10" s="2420"/>
      <c r="H10" s="2420"/>
      <c r="I10" s="1827"/>
    </row>
    <row r="11" spans="1:12" ht="12.75">
      <c r="A11" s="3170"/>
      <c r="B11" s="3108"/>
      <c r="C11" s="3175"/>
      <c r="D11" s="3193"/>
      <c r="E11" s="139" t="s">
        <v>2131</v>
      </c>
      <c r="F11" s="2420"/>
      <c r="G11" s="2420"/>
      <c r="H11" s="2420"/>
      <c r="I11" s="1827"/>
    </row>
    <row r="12" spans="1:12" ht="12.75">
      <c r="A12" s="3170" t="s">
        <v>2132</v>
      </c>
      <c r="B12" s="3108">
        <v>15</v>
      </c>
      <c r="C12" s="3173"/>
      <c r="D12" s="3193"/>
      <c r="E12" s="139" t="s">
        <v>2133</v>
      </c>
      <c r="F12" s="2420"/>
      <c r="G12" s="2420"/>
      <c r="H12" s="2420"/>
      <c r="I12" s="1827"/>
    </row>
    <row r="13" spans="1:12" ht="12.75">
      <c r="A13" s="3170"/>
      <c r="B13" s="3108"/>
      <c r="C13" s="3175"/>
      <c r="D13" s="3193"/>
      <c r="E13" s="139" t="s">
        <v>2134</v>
      </c>
      <c r="F13" s="2420"/>
      <c r="G13" s="2420"/>
      <c r="H13" s="2420"/>
      <c r="I13" s="1827"/>
    </row>
    <row r="14" spans="1:12" ht="12.75">
      <c r="A14" s="3170" t="s">
        <v>2135</v>
      </c>
      <c r="B14" s="3108">
        <v>30</v>
      </c>
      <c r="C14" s="3173">
        <v>4</v>
      </c>
      <c r="D14" s="3193">
        <v>6</v>
      </c>
      <c r="E14" s="139" t="s">
        <v>2136</v>
      </c>
      <c r="F14" s="2420"/>
      <c r="G14" s="2420"/>
      <c r="H14" s="2420"/>
      <c r="I14" s="1827"/>
    </row>
    <row r="15" spans="1:12" ht="12.75">
      <c r="A15" s="3170"/>
      <c r="B15" s="3108"/>
      <c r="C15" s="3174"/>
      <c r="D15" s="3193"/>
      <c r="E15" s="139" t="s">
        <v>2137</v>
      </c>
      <c r="F15" s="2420"/>
      <c r="G15" s="2420"/>
      <c r="H15" s="2420"/>
      <c r="I15" s="1827"/>
    </row>
    <row r="16" spans="1:12" ht="12.75">
      <c r="A16" s="3170"/>
      <c r="B16" s="3108"/>
      <c r="C16" s="3175"/>
      <c r="D16" s="3193"/>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862.38999999999987</v>
      </c>
      <c r="M18" s="2419">
        <f>IF(C1="",'数据-汇总表'!E3,SUMIF(项目类型,C1,'数据-汇总表'!E17:E26))</f>
        <v>862.38999999999987</v>
      </c>
    </row>
    <row r="19" spans="1:35" ht="15">
      <c r="A19" s="2425" t="s">
        <v>2144</v>
      </c>
      <c r="B19" s="2426" t="s">
        <v>2145</v>
      </c>
      <c r="C19" s="142">
        <f ca="1">SUMIF(INDIRECT("'"&amp;C4&amp;"'"&amp;"!A:A"),'结果表（商业）'!B19,INDIRECT("'"&amp;C4&amp;"'"&amp;"!B:B"))</f>
        <v>1782</v>
      </c>
      <c r="D19" s="143">
        <f ca="1">SUMIF(INDIRECT("'"&amp;D4&amp;"'"&amp;"!A:A"),'结果表（商业）'!B19,INDIRECT("'"&amp;D4&amp;"'"&amp;"!B:B"))</f>
        <v>2093</v>
      </c>
      <c r="E19" s="2425" t="s">
        <v>2146</v>
      </c>
      <c r="F19" s="2426" t="s">
        <v>2145</v>
      </c>
      <c r="G19" s="144">
        <f ca="1">ROUND(C19*$C$18+D19*$D$18,0)</f>
        <v>1969</v>
      </c>
      <c r="H19" s="2427" t="s">
        <v>2147</v>
      </c>
      <c r="I19" s="137"/>
      <c r="K19" s="2419" t="s">
        <v>2148</v>
      </c>
      <c r="L19" s="2419">
        <f>IF(C1="",'数据-汇总表'!D3,SUMIF(项目类型,C1,'数据-汇总表'!D17:D26)+SUMIF(项目类型,C1,'数据-汇总表'!H17:H27))</f>
        <v>138.74</v>
      </c>
      <c r="M19" s="2419">
        <f>IF(C1="",'数据-汇总表'!D3,SUMIF(项目类型,C1,'数据-汇总表'!D17:D26))</f>
        <v>138.74</v>
      </c>
    </row>
    <row r="20" spans="1:35" ht="15">
      <c r="A20" s="2428"/>
      <c r="B20" s="1243" t="s">
        <v>2149</v>
      </c>
      <c r="C20" s="145">
        <f ca="1">SUMIF(INDIRECT("'"&amp;C4&amp;"'"&amp;"!A:A"),'结果表（商业）'!B20,INDIRECT("'"&amp;C4&amp;"'"&amp;"!B:B"))</f>
        <v>20664</v>
      </c>
      <c r="D20" s="146">
        <f ca="1">SUMIF(INDIRECT("'"&amp;D4&amp;"'"&amp;"!A:A"),'结果表（商业）'!B20,INDIRECT("'"&amp;D4&amp;"'"&amp;"!B:B"))</f>
        <v>24270</v>
      </c>
      <c r="E20" s="2428"/>
      <c r="F20" s="1243" t="s">
        <v>2149</v>
      </c>
      <c r="G20" s="147">
        <f ca="1">ROUND(C20*$C$18+D20*$D$18,0)</f>
        <v>22828</v>
      </c>
      <c r="H20" s="976" t="s">
        <v>2150</v>
      </c>
      <c r="I20" s="137"/>
    </row>
    <row r="21" spans="1:35" ht="15" customHeight="1" thickBot="1">
      <c r="A21" s="996"/>
      <c r="B21" s="2429" t="s">
        <v>2151</v>
      </c>
      <c r="C21" s="788">
        <f ca="1">ROUND(C19*10000/L19,0)</f>
        <v>128442</v>
      </c>
      <c r="D21" s="789">
        <f ca="1">ROUND(D19*10000/L19,0)</f>
        <v>150858</v>
      </c>
      <c r="E21" s="996"/>
      <c r="F21" s="2429" t="s">
        <v>2151</v>
      </c>
      <c r="G21" s="148">
        <f ca="1">ROUND(G19*10000/L19,0)</f>
        <v>141920</v>
      </c>
      <c r="H21" s="2430" t="s">
        <v>2150</v>
      </c>
      <c r="I21" s="137"/>
    </row>
    <row r="22" spans="1:35" ht="15" thickBot="1">
      <c r="A22" s="2273" t="s">
        <v>2152</v>
      </c>
      <c r="B22" s="2431"/>
      <c r="C22" s="2432"/>
      <c r="D22" s="790">
        <f ca="1">IF(C19&lt;D19,D19/C19-1,C19/D19-1)</f>
        <v>0.17452300785634112</v>
      </c>
      <c r="E22" s="137"/>
      <c r="F22" s="137"/>
      <c r="G22" s="137"/>
      <c r="H22" s="137"/>
      <c r="I22" s="137"/>
    </row>
    <row r="23" spans="1:35" ht="13.5" thickBot="1">
      <c r="A23" s="2409"/>
      <c r="B23" s="2409"/>
      <c r="C23" s="2409"/>
      <c r="D23" s="2409"/>
      <c r="E23" s="137"/>
      <c r="F23" s="137"/>
      <c r="G23" s="137"/>
      <c r="H23" s="137"/>
      <c r="I23" s="137"/>
    </row>
    <row r="24" spans="1:35" ht="14.25">
      <c r="A24" s="3164" t="s">
        <v>2153</v>
      </c>
      <c r="B24" s="2426" t="s">
        <v>2145</v>
      </c>
      <c r="C24" s="144">
        <f>IF(B30=0,0,D30)</f>
        <v>0</v>
      </c>
      <c r="D24" s="2433"/>
      <c r="E24" s="137"/>
      <c r="F24" s="137"/>
      <c r="G24" s="137"/>
      <c r="H24" s="137"/>
      <c r="I24" s="137"/>
    </row>
    <row r="25" spans="1:35" ht="14.25">
      <c r="A25" s="316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1969</v>
      </c>
      <c r="D32" s="2440" t="s">
        <v>2160</v>
      </c>
      <c r="E32" s="137"/>
      <c r="F32" s="137"/>
      <c r="G32" s="137"/>
      <c r="H32" s="137"/>
      <c r="I32" s="137"/>
    </row>
    <row r="33" spans="1:15" ht="15">
      <c r="A33" s="953" t="s">
        <v>2161</v>
      </c>
      <c r="B33" s="2441"/>
      <c r="C33" s="2442" t="s">
        <v>3437</v>
      </c>
      <c r="D33" s="2443" t="s">
        <v>3427</v>
      </c>
      <c r="E33" s="2444" t="s">
        <v>2162</v>
      </c>
      <c r="F33" s="2970" t="str">
        <f>IF(D32="楼面单价","取值（单价）","取值（总价）")</f>
        <v>取值（总价）</v>
      </c>
      <c r="G33" s="137"/>
      <c r="H33" s="137"/>
      <c r="I33" s="137"/>
    </row>
    <row r="34" spans="1:15" ht="15">
      <c r="A34" s="2446"/>
      <c r="B34" s="2447" t="s">
        <v>2163</v>
      </c>
      <c r="C34" s="156">
        <f ca="1">IF(C33="自定义",F34,C32-C35)</f>
        <v>1459</v>
      </c>
      <c r="D34" s="1051">
        <f ca="1">IF(C33="自定义",ROUND(C34/C32,3),IF(C33="收益比率",SUMIF(INDIRECT("'"&amp;D33&amp;"'"&amp;"!b:b"),"土地收益比率",INDIRECT("'"&amp;D33&amp;"'"&amp;"!c:c")),SUMIF(INDIRECT("'"&amp;D33&amp;"'"&amp;"!b:b"),"土地成本比率",INDIRECT("'"&amp;D33&amp;"'"&amp;"!c:c"))))</f>
        <v>0.74099999999999999</v>
      </c>
      <c r="E34" s="2448" t="s">
        <v>2164</v>
      </c>
      <c r="F34" s="1732"/>
      <c r="G34" s="137"/>
      <c r="H34" s="137"/>
      <c r="I34" s="137"/>
    </row>
    <row r="35" spans="1:15" ht="15.75" thickBot="1">
      <c r="A35" s="2449"/>
      <c r="B35" s="2450" t="s">
        <v>2165</v>
      </c>
      <c r="C35" s="1437">
        <f ca="1">IF(C33="自定义",F35,ROUND(C32*D35,0))</f>
        <v>510</v>
      </c>
      <c r="D35" s="1438">
        <f ca="1">IF(C33="自定义",ROUND(C35/C32,3),IF(C33="收益比率",SUMIF(INDIRECT("'"&amp;D33&amp;"'"&amp;"!b:b"),"建筑物收益比率",INDIRECT("'"&amp;D33&amp;"'"&amp;"!c:c")),SUMIF(INDIRECT("'"&amp;D33&amp;"'"&amp;"!b:b"),"建筑物成本比率",INDIRECT("'"&amp;D33&amp;"'"&amp;"!c:c"))))</f>
        <v>0.25900000000000001</v>
      </c>
      <c r="E35" s="2451" t="s">
        <v>2166</v>
      </c>
      <c r="F35" s="162"/>
      <c r="G35" s="137"/>
      <c r="H35" s="137"/>
      <c r="I35" s="137"/>
    </row>
    <row r="36" spans="1:15" ht="15.75" thickBot="1">
      <c r="A36" s="3182" t="s">
        <v>2167</v>
      </c>
      <c r="B36" s="2452" t="s">
        <v>2168</v>
      </c>
      <c r="C36" s="153"/>
      <c r="D36" s="2453"/>
      <c r="E36" s="2454"/>
      <c r="F36" s="2455"/>
      <c r="G36" s="137"/>
      <c r="H36" s="137"/>
      <c r="I36" s="137"/>
    </row>
    <row r="37" spans="1:15" ht="15.75" thickBot="1">
      <c r="A37" s="3183"/>
      <c r="B37" s="2259" t="s">
        <v>2169</v>
      </c>
      <c r="C37" s="155"/>
      <c r="D37" s="1388"/>
      <c r="E37" s="1388"/>
      <c r="F37" s="2455"/>
      <c r="G37" s="137"/>
      <c r="H37" s="137"/>
      <c r="I37" s="137"/>
    </row>
    <row r="38" spans="1:15" ht="15.75" thickBot="1">
      <c r="A38" s="3184"/>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61" t="s">
        <v>2181</v>
      </c>
      <c r="B45" s="3162"/>
      <c r="C45" s="3163"/>
      <c r="D45" s="163">
        <f ca="1">ROUND(H101*F45,0)</f>
        <v>1969</v>
      </c>
      <c r="E45" s="164" t="s">
        <v>2182</v>
      </c>
      <c r="F45" s="165">
        <v>1</v>
      </c>
      <c r="G45" s="166" t="s">
        <v>2183</v>
      </c>
      <c r="H45" s="137"/>
      <c r="I45" s="137"/>
      <c r="J45" s="3221" t="s">
        <v>2184</v>
      </c>
      <c r="K45" s="3221"/>
      <c r="L45" s="3221"/>
      <c r="M45" s="3221"/>
      <c r="N45" s="3221"/>
      <c r="O45" s="3221"/>
    </row>
    <row r="46" spans="1:15" ht="14.25" customHeight="1">
      <c r="A46" s="3158" t="s">
        <v>2185</v>
      </c>
      <c r="B46" s="3159"/>
      <c r="C46" s="3159"/>
      <c r="D46" s="3159"/>
      <c r="E46" s="3159"/>
      <c r="F46" s="3159"/>
      <c r="G46" s="3160"/>
      <c r="H46" s="2471"/>
      <c r="I46" s="167"/>
      <c r="J46" s="2982">
        <v>1</v>
      </c>
      <c r="K46" s="3221" t="s">
        <v>2186</v>
      </c>
      <c r="L46" s="3221"/>
      <c r="M46" s="3241"/>
      <c r="N46" s="3241"/>
      <c r="O46" s="3241"/>
    </row>
    <row r="47" spans="1:15" ht="12" customHeight="1">
      <c r="A47" s="168" t="s">
        <v>2187</v>
      </c>
      <c r="B47" s="169"/>
      <c r="C47" s="170"/>
      <c r="D47" s="171" t="s">
        <v>2188</v>
      </c>
      <c r="E47" s="23" t="s">
        <v>2189</v>
      </c>
      <c r="F47" s="172" t="s">
        <v>2190</v>
      </c>
      <c r="G47" s="173" t="s">
        <v>2191</v>
      </c>
      <c r="H47" s="2471"/>
      <c r="I47" s="167"/>
      <c r="J47" s="2982">
        <v>2</v>
      </c>
      <c r="K47" s="3221" t="s">
        <v>2192</v>
      </c>
      <c r="L47" s="3221"/>
      <c r="M47" s="3242">
        <f>'数据-取费表'!B2</f>
        <v>43182</v>
      </c>
      <c r="N47" s="3242"/>
      <c r="O47" s="3242"/>
    </row>
    <row r="48" spans="1:15" ht="25.5">
      <c r="A48" s="3189" t="s">
        <v>2193</v>
      </c>
      <c r="B48" s="3172"/>
      <c r="C48" s="3172"/>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221" t="s">
        <v>2196</v>
      </c>
      <c r="L48" s="3221"/>
      <c r="M48" s="3243">
        <f ca="1">H101</f>
        <v>1969</v>
      </c>
      <c r="N48" s="3243"/>
      <c r="O48" s="3243"/>
    </row>
    <row r="49" spans="1:35" ht="25.5" customHeight="1">
      <c r="A49" s="175" t="s">
        <v>2197</v>
      </c>
      <c r="B49" s="3157" t="s">
        <v>2198</v>
      </c>
      <c r="C49" s="3157"/>
      <c r="D49" s="176">
        <v>0</v>
      </c>
      <c r="E49" s="22" t="s">
        <v>2199</v>
      </c>
      <c r="F49" s="27" t="s">
        <v>34</v>
      </c>
      <c r="G49" s="3227"/>
      <c r="H49" s="137"/>
      <c r="I49" s="2474"/>
      <c r="J49" s="2982">
        <v>4</v>
      </c>
      <c r="K49" s="3221" t="str">
        <f>IF(项目基本情况!E8="房地产抵押价值","房地产抵押价值","抵押担保权已注销时的房地产抵押价值")</f>
        <v>抵押担保权已注销时的房地产抵押价值</v>
      </c>
      <c r="L49" s="3221"/>
      <c r="M49" s="3243">
        <f ca="1">IF(项目基本情况!E8="房地产抵押价值",H107,H109)</f>
        <v>1969</v>
      </c>
      <c r="N49" s="3243"/>
      <c r="O49" s="3243"/>
    </row>
    <row r="50" spans="1:35" ht="25.5" customHeight="1">
      <c r="A50" s="177"/>
      <c r="B50" s="3157" t="s">
        <v>2200</v>
      </c>
      <c r="C50" s="3157"/>
      <c r="D50" s="178"/>
      <c r="E50" s="30"/>
      <c r="F50" s="179"/>
      <c r="G50" s="3228"/>
      <c r="H50" s="137"/>
      <c r="I50" s="2474"/>
      <c r="J50" s="3221" t="s">
        <v>2201</v>
      </c>
      <c r="K50" s="3221"/>
      <c r="L50" s="3221"/>
      <c r="M50" s="3221"/>
      <c r="N50" s="3221"/>
      <c r="O50" s="3221"/>
    </row>
    <row r="51" spans="1:35" ht="12" customHeight="1">
      <c r="A51" s="180"/>
      <c r="B51" s="3157" t="s">
        <v>2202</v>
      </c>
      <c r="C51" s="3157"/>
      <c r="D51" s="181"/>
      <c r="E51" s="29"/>
      <c r="F51" s="179"/>
      <c r="G51" s="3229"/>
      <c r="H51" s="137"/>
      <c r="I51" s="2474"/>
      <c r="J51" s="2981" t="s">
        <v>2203</v>
      </c>
      <c r="K51" s="3221" t="s">
        <v>2204</v>
      </c>
      <c r="L51" s="3221"/>
      <c r="M51" s="2981" t="s">
        <v>2205</v>
      </c>
      <c r="N51" s="2981" t="s">
        <v>2206</v>
      </c>
      <c r="O51" s="2981" t="s">
        <v>2207</v>
      </c>
    </row>
    <row r="52" spans="1:35" ht="24" customHeight="1">
      <c r="A52" s="182" t="s">
        <v>2208</v>
      </c>
      <c r="B52" s="3157" t="s">
        <v>2209</v>
      </c>
      <c r="C52" s="3157"/>
      <c r="D52" s="181">
        <f ca="1">ROUND(D45*'数据-取费表'!B41/(1+'数据-取费表'!C42),0)</f>
        <v>103</v>
      </c>
      <c r="E52" s="11" t="s">
        <v>2210</v>
      </c>
      <c r="F52" s="183">
        <f>'数据-取费表'!B41</f>
        <v>5.5000000000000007E-2</v>
      </c>
      <c r="G52" s="2476"/>
      <c r="H52" s="137"/>
      <c r="I52" s="2474"/>
      <c r="J52" s="2982">
        <v>1</v>
      </c>
      <c r="K52" s="3222" t="s">
        <v>2211</v>
      </c>
      <c r="L52" s="3222"/>
      <c r="M52" s="1747">
        <f>D48</f>
        <v>0</v>
      </c>
      <c r="N52" s="2982" t="str">
        <f>E48</f>
        <v>销售额×税（费）率</v>
      </c>
      <c r="O52" s="1748" t="str">
        <f>F48</f>
        <v>免征</v>
      </c>
    </row>
    <row r="53" spans="1:35" ht="12" customHeight="1">
      <c r="A53" s="182" t="s">
        <v>2212</v>
      </c>
      <c r="B53" s="3180" t="s">
        <v>2213</v>
      </c>
      <c r="C53" s="3181"/>
      <c r="D53" s="181">
        <f ca="1">ROUND(D45*'数据-取费表'!B41/(1+'数据-取费表'!C42),0)</f>
        <v>103</v>
      </c>
      <c r="E53" s="11" t="s">
        <v>2210</v>
      </c>
      <c r="F53" s="183">
        <f>'数据-取费表'!B41</f>
        <v>5.5000000000000007E-2</v>
      </c>
      <c r="G53" s="2476"/>
      <c r="H53" s="137"/>
      <c r="I53" s="2474"/>
      <c r="J53" s="2982">
        <v>2</v>
      </c>
      <c r="K53" s="3222" t="s">
        <v>2214</v>
      </c>
      <c r="L53" s="3222"/>
      <c r="M53" s="1747">
        <f t="shared" ref="M53:O54" ca="1" si="0">D55</f>
        <v>1</v>
      </c>
      <c r="N53" s="2982" t="str">
        <f t="shared" si="0"/>
        <v>销售额×税（费）率</v>
      </c>
      <c r="O53" s="1748">
        <f t="shared" si="0"/>
        <v>5.0000000000000001E-4</v>
      </c>
    </row>
    <row r="54" spans="1:35" ht="12" customHeight="1">
      <c r="A54" s="182" t="s">
        <v>2215</v>
      </c>
      <c r="B54" s="3180" t="s">
        <v>2216</v>
      </c>
      <c r="C54" s="3181"/>
      <c r="D54" s="181">
        <f ca="1">C68</f>
        <v>103</v>
      </c>
      <c r="E54" s="29" t="s">
        <v>2217</v>
      </c>
      <c r="F54" s="183">
        <f>'数据-取费表'!B41</f>
        <v>5.5000000000000007E-2</v>
      </c>
      <c r="G54" s="2476"/>
      <c r="H54" s="2477"/>
      <c r="I54" s="2474"/>
      <c r="J54" s="2982">
        <v>3</v>
      </c>
      <c r="K54" s="3222" t="s">
        <v>2218</v>
      </c>
      <c r="L54" s="3222"/>
      <c r="M54" s="1747">
        <f t="shared" ca="1" si="0"/>
        <v>1116</v>
      </c>
      <c r="N54" s="2982" t="str">
        <f t="shared" si="0"/>
        <v>增值额×税（费）率</v>
      </c>
      <c r="O54" s="1749" t="str">
        <f t="shared" si="0"/>
        <v>——</v>
      </c>
    </row>
    <row r="55" spans="1:35" ht="24" customHeight="1">
      <c r="A55" s="3171" t="s">
        <v>2219</v>
      </c>
      <c r="B55" s="3172"/>
      <c r="C55" s="3172"/>
      <c r="D55" s="184">
        <f ca="1">IF(H55="个人住宅",0,ROUND(D45*I55,0))</f>
        <v>1</v>
      </c>
      <c r="E55" s="11" t="s">
        <v>2220</v>
      </c>
      <c r="F55" s="183">
        <f>IF(H55="正常",I55,"免征")</f>
        <v>5.0000000000000001E-4</v>
      </c>
      <c r="G55" s="2476"/>
      <c r="H55" s="2473" t="s">
        <v>2221</v>
      </c>
      <c r="I55" s="185">
        <f>'数据-取费表'!B49</f>
        <v>5.0000000000000001E-4</v>
      </c>
      <c r="J55" s="2982" t="str">
        <f>IF(H59="非个人房产","",4)</f>
        <v/>
      </c>
      <c r="K55" s="3222" t="str">
        <f>IF(H59="非个人房产","——","个人所得税")</f>
        <v>——</v>
      </c>
      <c r="L55" s="3222"/>
      <c r="M55" s="1750" t="str">
        <f>D59</f>
        <v>——</v>
      </c>
      <c r="N55" s="2983" t="str">
        <f>E59</f>
        <v>——</v>
      </c>
      <c r="O55" s="1751" t="str">
        <f>F59</f>
        <v>——</v>
      </c>
    </row>
    <row r="56" spans="1:35" ht="24.75">
      <c r="A56" s="3171" t="s">
        <v>2222</v>
      </c>
      <c r="B56" s="3172"/>
      <c r="C56" s="3172"/>
      <c r="D56" s="184">
        <f ca="1">IF(H56="个人住宅",D57,D58)</f>
        <v>1116</v>
      </c>
      <c r="E56" s="11" t="s">
        <v>2223</v>
      </c>
      <c r="F56" s="183" t="str">
        <f>IF(H56="正常",F58,"免征")</f>
        <v>——</v>
      </c>
      <c r="G56" s="2478" t="s">
        <v>2224</v>
      </c>
      <c r="H56" s="2479" t="s">
        <v>2221</v>
      </c>
      <c r="I56" s="2480"/>
      <c r="J56" s="2982" t="str">
        <f>IF(项目基本情况!K6="上海银行",IF(J55="",4,J55+1),"")</f>
        <v/>
      </c>
      <c r="K56" s="3245" t="str">
        <f>IF(项目基本情况!K6="上海银行","其他处置费用","")</f>
        <v/>
      </c>
      <c r="L56" s="3246"/>
      <c r="M56" s="1747" t="str">
        <f>IF(项目基本情况!K6="上海银行",M69,"")</f>
        <v/>
      </c>
      <c r="N56" s="3248" t="str">
        <f>IF(项目基本情况!K6="上海银行","包含处置中涉及的律师、诉讼、拍卖、评估等费用","")</f>
        <v/>
      </c>
      <c r="O56" s="3249"/>
    </row>
    <row r="57" spans="1:35" ht="12.75">
      <c r="A57" s="182" t="s">
        <v>2197</v>
      </c>
      <c r="B57" s="3187" t="s">
        <v>2225</v>
      </c>
      <c r="C57" s="3196"/>
      <c r="D57" s="186">
        <v>0</v>
      </c>
      <c r="E57" s="22" t="s">
        <v>2199</v>
      </c>
      <c r="F57" s="154"/>
      <c r="G57" s="2476"/>
      <c r="H57" s="2480"/>
      <c r="I57" s="2480"/>
      <c r="J57" s="3222">
        <f>IF(AND(J55="",J56=""),4,IF(项目基本情况!K6="上海银行",'结果表（商业）'!J56+1,'结果表（商业）'!J55+1))</f>
        <v>4</v>
      </c>
      <c r="K57" s="3222" t="s">
        <v>2226</v>
      </c>
      <c r="L57" s="2481" t="s">
        <v>2227</v>
      </c>
      <c r="M57" s="1752"/>
      <c r="N57" s="1753">
        <f ca="1">SUMIF(M52:M56,"&lt;9e307")</f>
        <v>1117</v>
      </c>
      <c r="O57" s="2482"/>
      <c r="P57" s="1746">
        <f ca="1">N57/M49</f>
        <v>0.56729304215337739</v>
      </c>
    </row>
    <row r="58" spans="1:35" ht="24.75">
      <c r="A58" s="182" t="s">
        <v>2208</v>
      </c>
      <c r="B58" s="3187" t="s">
        <v>2228</v>
      </c>
      <c r="C58" s="3188"/>
      <c r="D58" s="184">
        <f ca="1">IF(H58="转让取得",C81,C97)</f>
        <v>1116</v>
      </c>
      <c r="E58" s="11" t="s">
        <v>2223</v>
      </c>
      <c r="F58" s="23" t="s">
        <v>34</v>
      </c>
      <c r="G58" s="2476"/>
      <c r="H58" s="2479" t="s">
        <v>2229</v>
      </c>
      <c r="I58" s="2480"/>
      <c r="J58" s="3222"/>
      <c r="K58" s="3222"/>
      <c r="L58" s="2481" t="s">
        <v>2230</v>
      </c>
      <c r="M58" s="1754"/>
      <c r="N58" s="2483" t="str">
        <f ca="1">NUMBERSTRING(INT(N57*10000),2)&amp;"元整"</f>
        <v>壹仟壹佰壹拾柒万元整</v>
      </c>
      <c r="O58" s="2484"/>
    </row>
    <row r="59" spans="1:35" ht="24.75" thickBot="1">
      <c r="A59" s="3225" t="s">
        <v>2231</v>
      </c>
      <c r="B59" s="3226"/>
      <c r="C59" s="3226"/>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223">
        <f>J57+1</f>
        <v>5</v>
      </c>
      <c r="K59" s="3222" t="s">
        <v>2233</v>
      </c>
      <c r="L59" s="2982" t="s">
        <v>2227</v>
      </c>
      <c r="M59" s="1755"/>
      <c r="N59" s="1756">
        <f ca="1">M49-N57</f>
        <v>852</v>
      </c>
      <c r="O59" s="2486"/>
    </row>
    <row r="60" spans="1:35" ht="12" customHeight="1">
      <c r="A60" s="2487"/>
      <c r="B60" s="2409"/>
      <c r="C60" s="2409"/>
      <c r="D60" s="2409"/>
      <c r="E60" s="2159"/>
      <c r="F60" s="2480"/>
      <c r="G60" s="2480"/>
      <c r="H60" s="2488"/>
      <c r="I60" s="137"/>
      <c r="J60" s="3224"/>
      <c r="K60" s="3222"/>
      <c r="L60" s="2481" t="s">
        <v>2230</v>
      </c>
      <c r="M60" s="1754"/>
      <c r="N60" s="2483" t="str">
        <f ca="1">NUMBERSTRING(INT(N59*10000),2)&amp;"元整"</f>
        <v>捌佰伍拾贰万元整</v>
      </c>
      <c r="O60" s="2484"/>
    </row>
    <row r="61" spans="1:35" ht="13.5" thickBot="1">
      <c r="A61" s="3169" t="s">
        <v>2234</v>
      </c>
      <c r="B61" s="3169"/>
      <c r="C61" s="3169"/>
      <c r="D61" s="3169"/>
      <c r="E61" s="3169"/>
      <c r="F61" s="2480"/>
      <c r="G61" s="2480"/>
      <c r="H61" s="2488"/>
      <c r="I61" s="137"/>
      <c r="J61" s="2982">
        <f>J59+1</f>
        <v>6</v>
      </c>
      <c r="K61" s="3222" t="s">
        <v>2235</v>
      </c>
      <c r="L61" s="3222"/>
      <c r="M61" s="1757"/>
      <c r="N61" s="1758">
        <f ca="1">ROUND(N59*10000/'数据-汇总表'!E3,0)</f>
        <v>502</v>
      </c>
      <c r="O61" s="2489"/>
    </row>
    <row r="62" spans="1:35" ht="12.75">
      <c r="A62" s="3185" t="s">
        <v>2236</v>
      </c>
      <c r="B62" s="3186"/>
      <c r="C62" s="2977"/>
      <c r="D62" s="2977" t="s">
        <v>2237</v>
      </c>
      <c r="E62" s="191" t="s">
        <v>2238</v>
      </c>
      <c r="F62" s="2480"/>
      <c r="G62" s="2480"/>
      <c r="H62" s="2488"/>
      <c r="I62" s="137"/>
    </row>
    <row r="63" spans="1:35" ht="12.75">
      <c r="A63" s="202" t="s">
        <v>775</v>
      </c>
      <c r="B63" s="192" t="s">
        <v>2239</v>
      </c>
      <c r="C63" s="193">
        <f ca="1">ROUND((C64+C65)/(1+'数据-取费表'!C42),0)</f>
        <v>1875</v>
      </c>
      <c r="D63" s="194"/>
      <c r="E63" s="195"/>
      <c r="F63" s="2480"/>
      <c r="G63" s="2480"/>
      <c r="H63" s="2488"/>
      <c r="I63" s="137"/>
      <c r="J63" s="3247" t="s">
        <v>2240</v>
      </c>
      <c r="K63" s="2986" t="s">
        <v>2241</v>
      </c>
      <c r="L63" s="1745">
        <f ca="1">IF(M49&gt;10000,M49*0.5%,IF(AND(M49&gt;1000,M49&lt;=10000),M49*1%,IF(AND(M49&gt;100,M49&lt;=1000),M49*3%,IF(AND(M49&gt;10,M49&lt;=100),M49*5%,M49*8%))))</f>
        <v>19.690000000000001</v>
      </c>
      <c r="M63" s="23">
        <f ca="1">ROUND(L63,1)</f>
        <v>19.7</v>
      </c>
      <c r="Z63" s="2414"/>
      <c r="AI63" s="2415"/>
    </row>
    <row r="64" spans="1:35" ht="14.25" customHeight="1">
      <c r="A64" s="196" t="s">
        <v>770</v>
      </c>
      <c r="B64" s="197" t="s">
        <v>2242</v>
      </c>
      <c r="C64" s="198">
        <f ca="1">D45</f>
        <v>1969</v>
      </c>
      <c r="D64" s="199" t="s">
        <v>32</v>
      </c>
      <c r="E64" s="200"/>
      <c r="F64" s="2480"/>
      <c r="G64" s="2480"/>
      <c r="H64" s="2488"/>
      <c r="I64" s="137"/>
      <c r="J64" s="3247"/>
      <c r="K64" s="2986" t="s">
        <v>2243</v>
      </c>
      <c r="L64" s="1745">
        <f ca="1">IF(M49&gt;2000,M49*0.5%,IF(AND(M49&gt;1000,M49&lt;=2000),M49*0.6%,IF(AND(M49&gt;500,M49&lt;=1000),M49*0.7%,IF(AND(M49&gt;200,M49&lt;=500),M49*0.8%,IF(AND(M49&gt;100,M49&lt;=200),M49*0.9%,IF(AND(M49&gt;50,M49&lt;=100),M49*1%,IF(AND(M49&gt;20,M49&lt;=50),M49*1.5%,IF(AND(M49&gt;10,M49&lt;=20),M49*2%,IF(AND(M49&gt;1,M49&lt;=10),M49*2.5%)))))))))</f>
        <v>11.814</v>
      </c>
      <c r="M64" s="23">
        <f t="shared" ref="M64:M65" ca="1" si="1">ROUND(L64,1)</f>
        <v>11.8</v>
      </c>
      <c r="N64" s="137" t="s">
        <v>2244</v>
      </c>
      <c r="Z64" s="2414"/>
      <c r="AI64" s="2415"/>
    </row>
    <row r="65" spans="1:35" ht="14.25" customHeight="1">
      <c r="A65" s="196" t="s">
        <v>771</v>
      </c>
      <c r="B65" s="197" t="s">
        <v>2245</v>
      </c>
      <c r="C65" s="201"/>
      <c r="D65" s="199"/>
      <c r="E65" s="200"/>
      <c r="F65" s="2480"/>
      <c r="G65" s="2480"/>
      <c r="H65" s="2488"/>
      <c r="I65" s="137"/>
      <c r="J65" s="3247"/>
      <c r="K65" s="2986" t="s">
        <v>2246</v>
      </c>
      <c r="L65" s="1745">
        <f ca="1">IF(M49&gt;1000,M49*0.1%,IF(AND(M49&gt;500,M49&lt;=1000),M49*0.5%,IF(AND(M49&gt;50,M49&lt;=500),M49*1%,IF(AND(M49&gt;1,M49&lt;=50),M49*1.5%))))</f>
        <v>1.9690000000000001</v>
      </c>
      <c r="M65" s="23">
        <f t="shared" ca="1" si="1"/>
        <v>2</v>
      </c>
      <c r="N65" s="137" t="s">
        <v>2244</v>
      </c>
      <c r="Z65" s="2414"/>
      <c r="AI65" s="2415"/>
    </row>
    <row r="66" spans="1:35" ht="14.25" customHeight="1">
      <c r="A66" s="202" t="s">
        <v>772</v>
      </c>
      <c r="B66" s="203" t="s">
        <v>2247</v>
      </c>
      <c r="C66" s="204"/>
      <c r="D66" s="205" t="s">
        <v>32</v>
      </c>
      <c r="E66" s="1769" t="s">
        <v>1371</v>
      </c>
      <c r="F66" s="2480"/>
      <c r="G66" s="2480"/>
      <c r="H66" s="2488"/>
      <c r="I66" s="137"/>
      <c r="J66" s="3247"/>
      <c r="K66" s="2986" t="s">
        <v>2248</v>
      </c>
      <c r="L66" s="1745">
        <f ca="1">M49*0.5%</f>
        <v>9.8450000000000006</v>
      </c>
      <c r="M66" s="23">
        <f ca="1">IF(L66&gt;0.5,0.5,ROUND(L66,0))</f>
        <v>0.5</v>
      </c>
      <c r="N66" s="137" t="s">
        <v>2249</v>
      </c>
      <c r="Z66" s="2414"/>
      <c r="AI66" s="2415"/>
    </row>
    <row r="67" spans="1:35" ht="14.25" customHeight="1">
      <c r="A67" s="202" t="s">
        <v>773</v>
      </c>
      <c r="B67" s="203" t="s">
        <v>2250</v>
      </c>
      <c r="C67" s="206">
        <f ca="1">C63-C66</f>
        <v>1875</v>
      </c>
      <c r="D67" s="199" t="s">
        <v>32</v>
      </c>
      <c r="E67" s="200"/>
      <c r="F67" s="2480"/>
      <c r="G67" s="2480"/>
      <c r="H67" s="2488"/>
      <c r="I67" s="137"/>
      <c r="J67" s="3247"/>
      <c r="K67" s="2986" t="s">
        <v>2251</v>
      </c>
      <c r="L67" s="1745">
        <f ca="1">IF(M49&gt;=10000,(8.25+(M49-10000)*0.01%),IF(AND(M49&gt;=8000,M49&lt;10000),(7.85+(M49-8000)*0.02%),IF(AND(M49&gt;=5000,M49&lt;8000),(6.65+(M49-5000)*0.04%),IF(AND(M49&gt;=2000,M49&lt;5000),(4.25+(PM49-2000)*0.08%),IF(AND(M49&gt;=1000,M49&lt;2000),(2.75+(M49-1000)*0.15%),IF(AND(M49&gt;=100,M49&lt;1000),(0.5+(M49-100)*0.25%),IF(AND(M49&gt;0,M49&lt;100),M49*0.5%)))))))</f>
        <v>4.2035</v>
      </c>
      <c r="M67" s="23">
        <f ca="1">ROUND(L67*0.9,1)</f>
        <v>3.8</v>
      </c>
      <c r="Z67" s="2414"/>
      <c r="AI67" s="2415"/>
    </row>
    <row r="68" spans="1:35" ht="14.25" customHeight="1" thickBot="1">
      <c r="A68" s="207" t="s">
        <v>774</v>
      </c>
      <c r="B68" s="208" t="s">
        <v>2252</v>
      </c>
      <c r="C68" s="209">
        <f ca="1">IF(C67&lt;=0,0,ROUND(C67*D68,0))</f>
        <v>103</v>
      </c>
      <c r="D68" s="210">
        <f>'数据-取费表'!B41</f>
        <v>5.5000000000000007E-2</v>
      </c>
      <c r="E68" s="211"/>
      <c r="F68" s="2480"/>
      <c r="G68" s="2480"/>
      <c r="H68" s="2488"/>
      <c r="I68" s="137"/>
      <c r="J68" s="3247"/>
      <c r="K68" s="2986" t="s">
        <v>2253</v>
      </c>
      <c r="L68" s="1745">
        <f ca="1">IF(M49&gt;10000,M49*0.5%,IF(AND(M49&gt;5000,M49&lt;=10000),M49*1%,IF(AND(M49&gt;1000,M49&lt;=5000),M49*2%,IF(AND(M49&gt;200,M49&lt;=1000),M49*3%,M49*5%))))</f>
        <v>39.380000000000003</v>
      </c>
      <c r="M68" s="23">
        <f ca="1">ROUND(L68,1)</f>
        <v>39.4</v>
      </c>
      <c r="Z68" s="2414"/>
      <c r="AI68" s="2415"/>
    </row>
    <row r="69" spans="1:35" s="2437" customFormat="1" ht="16.5" customHeight="1">
      <c r="A69" s="2491"/>
      <c r="B69" s="2492"/>
      <c r="C69" s="2493"/>
      <c r="D69" s="2494"/>
      <c r="E69" s="2495"/>
      <c r="F69" s="2159"/>
      <c r="G69" s="2159"/>
      <c r="H69" s="2158"/>
      <c r="I69" s="2409"/>
      <c r="J69" s="3247"/>
      <c r="K69" s="2986" t="s">
        <v>2254</v>
      </c>
      <c r="L69" s="2496"/>
      <c r="M69" s="23">
        <f ca="1">ROUND(SUM(M63:M68),0)</f>
        <v>77</v>
      </c>
      <c r="N69" s="1746">
        <f ca="1">M69/M49</f>
        <v>3.9106145251396648E-2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6" t="s">
        <v>2255</v>
      </c>
      <c r="B70" s="3207"/>
      <c r="C70" s="3207"/>
      <c r="D70" s="3207"/>
      <c r="E70" s="3207"/>
      <c r="F70" s="3207"/>
      <c r="G70" s="3207"/>
      <c r="H70" s="320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85" t="s">
        <v>2236</v>
      </c>
      <c r="B71" s="3186"/>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1875</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9</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0" t="s">
        <v>2264</v>
      </c>
      <c r="F76" s="3157"/>
      <c r="G76" s="3157"/>
      <c r="H76" s="320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9</v>
      </c>
      <c r="D78" s="225">
        <f>'数据-取费表'!B43</f>
        <v>5.000000000000001E-3</v>
      </c>
      <c r="E78" s="3166" t="s">
        <v>2269</v>
      </c>
      <c r="F78" s="3167"/>
      <c r="G78" s="3167"/>
      <c r="H78" s="317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1866</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207.33333333333334</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1116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6" t="s">
        <v>2273</v>
      </c>
      <c r="B83" s="3207"/>
      <c r="C83" s="3207"/>
      <c r="D83" s="3207"/>
      <c r="E83" s="3207"/>
      <c r="F83" s="3207"/>
      <c r="G83" s="3207"/>
      <c r="H83" s="320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85" t="s">
        <v>2236</v>
      </c>
      <c r="B84" s="3186"/>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1875</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9</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6" t="s">
        <v>2282</v>
      </c>
      <c r="F91" s="3167"/>
      <c r="G91" s="3167"/>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6" t="s">
        <v>2286</v>
      </c>
      <c r="F92" s="3167"/>
      <c r="G92" s="3167"/>
      <c r="H92" s="317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9</v>
      </c>
      <c r="D93" s="225">
        <f>'数据-取费表'!B43</f>
        <v>5.000000000000001E-3</v>
      </c>
      <c r="E93" s="3166" t="s">
        <v>2269</v>
      </c>
      <c r="F93" s="3167"/>
      <c r="G93" s="3167"/>
      <c r="H93" s="317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77" t="s">
        <v>2290</v>
      </c>
      <c r="F94" s="3178"/>
      <c r="G94" s="3178"/>
      <c r="H94" s="317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1866</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207.33333333333334</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1116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68"/>
      <c r="E100" s="3152" t="s">
        <v>2293</v>
      </c>
      <c r="F100" s="3152"/>
      <c r="G100" s="3152"/>
      <c r="H100" s="3168"/>
      <c r="I100" s="137"/>
    </row>
    <row r="101" spans="1:35" ht="18.75" customHeight="1">
      <c r="A101" s="3230" t="s">
        <v>2294</v>
      </c>
      <c r="B101" s="3231"/>
      <c r="C101" s="735" t="str">
        <f>C4</f>
        <v>成本法（商业）</v>
      </c>
      <c r="D101" s="736" t="str">
        <f>D4</f>
        <v>收益法（商业）</v>
      </c>
      <c r="E101" s="3244" t="s">
        <v>2295</v>
      </c>
      <c r="F101" s="3198"/>
      <c r="G101" s="2511" t="s">
        <v>2296</v>
      </c>
      <c r="H101" s="1041">
        <f ca="1">H118</f>
        <v>1969</v>
      </c>
      <c r="I101" s="137"/>
    </row>
    <row r="102" spans="1:35" ht="18.75" customHeight="1">
      <c r="A102" s="3200" t="s">
        <v>2297</v>
      </c>
      <c r="B102" s="2511" t="s">
        <v>2296</v>
      </c>
      <c r="C102" s="735">
        <f ca="1">C19</f>
        <v>1782</v>
      </c>
      <c r="D102" s="736">
        <f ca="1">D19</f>
        <v>2093</v>
      </c>
      <c r="E102" s="3244"/>
      <c r="F102" s="3198"/>
      <c r="G102" s="2511" t="s">
        <v>2298</v>
      </c>
      <c r="H102" s="370">
        <f ca="1">I118</f>
        <v>22832</v>
      </c>
      <c r="I102" s="137"/>
    </row>
    <row r="103" spans="1:35" ht="42.75" customHeight="1">
      <c r="A103" s="3200"/>
      <c r="B103" s="2511" t="s">
        <v>2298</v>
      </c>
      <c r="C103" s="737">
        <f ca="1">C20</f>
        <v>20664</v>
      </c>
      <c r="D103" s="738">
        <f ca="1">D20</f>
        <v>24270</v>
      </c>
      <c r="E103" s="3239" t="s">
        <v>2299</v>
      </c>
      <c r="F103" s="3240"/>
      <c r="G103" s="2512" t="s">
        <v>2300</v>
      </c>
      <c r="H103" s="1041">
        <f>IF(D36="正常操作",H104+H105+H106,H105+H106)</f>
        <v>0</v>
      </c>
      <c r="I103" s="137"/>
    </row>
    <row r="104" spans="1:35" ht="18.75" customHeight="1">
      <c r="A104" s="3200" t="s">
        <v>2301</v>
      </c>
      <c r="B104" s="2513" t="s">
        <v>2296</v>
      </c>
      <c r="C104" s="739">
        <f ca="1">H118</f>
        <v>1969</v>
      </c>
      <c r="D104" s="740"/>
      <c r="E104" s="2259" t="s">
        <v>2302</v>
      </c>
      <c r="F104" s="2251"/>
      <c r="G104" s="2512" t="s">
        <v>2300</v>
      </c>
      <c r="H104" s="1042">
        <f>IF(D36="同一抵押权人同一抵押物续贷",C36&amp;"（未扣减，详见特别提示）",C36)</f>
        <v>0</v>
      </c>
      <c r="I104" s="137"/>
    </row>
    <row r="105" spans="1:35" ht="18.75" customHeight="1" thickBot="1">
      <c r="A105" s="3201"/>
      <c r="B105" s="2514" t="s">
        <v>2298</v>
      </c>
      <c r="C105" s="741">
        <f ca="1">I118</f>
        <v>22832</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7" t="str">
        <f>IF(项目基本情况!E8="已注销","——","3.房地产抵押价值")</f>
        <v>——</v>
      </c>
      <c r="F107" s="3198"/>
      <c r="G107" s="2511" t="s">
        <v>2296</v>
      </c>
      <c r="H107" s="1041" t="str">
        <f>IF(E107="——","——",H101-H103)</f>
        <v>——</v>
      </c>
      <c r="I107" s="137"/>
    </row>
    <row r="108" spans="1:35" ht="18.75" customHeight="1">
      <c r="A108" s="137"/>
      <c r="B108" s="137"/>
      <c r="C108" s="137"/>
      <c r="D108" s="137"/>
      <c r="E108" s="3197"/>
      <c r="F108" s="3198"/>
      <c r="G108" s="2511" t="s">
        <v>2298</v>
      </c>
      <c r="H108" s="370" t="e">
        <f>ROUND(H107*10000/'数据-汇总表'!E3,0)</f>
        <v>#VALUE!</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3.抵押担保权已注销时的房地产抵押价值</v>
      </c>
      <c r="F109" s="3198"/>
      <c r="G109" s="2511" t="s">
        <v>2296</v>
      </c>
      <c r="H109" s="347">
        <f ca="1">IF(E109="——","——",H101-H105-H106)</f>
        <v>1969</v>
      </c>
      <c r="I109" s="137"/>
    </row>
    <row r="110" spans="1:35" ht="18.75" customHeight="1">
      <c r="A110" s="137"/>
      <c r="B110" s="137"/>
      <c r="C110" s="137"/>
      <c r="D110" s="137"/>
      <c r="E110" s="3197"/>
      <c r="F110" s="3198"/>
      <c r="G110" s="2511" t="s">
        <v>2298</v>
      </c>
      <c r="H110" s="370">
        <f ca="1">IF(H109="——","——",ROUND(H109*10000/'数据-汇总表'!E3,0))</f>
        <v>1161</v>
      </c>
      <c r="I110" s="137"/>
    </row>
    <row r="111" spans="1:35" ht="18.75" customHeight="1">
      <c r="A111" s="137"/>
      <c r="B111" s="137"/>
      <c r="C111" s="137"/>
      <c r="D111" s="137"/>
      <c r="E111" s="3232" t="str">
        <f>IF(项目基本情况!E9="抵押净值",IF(OR(项目基本情况!E8="已注销",项目基本情况!E8="房地产抵押价值"),"4.抵押净值","5.抵押净值"),"——")</f>
        <v>——</v>
      </c>
      <c r="F111" s="3233"/>
      <c r="G111" s="2511" t="s">
        <v>2296</v>
      </c>
      <c r="H111" s="1041" t="str">
        <f>IF(E111="——","——",N59)</f>
        <v>——</v>
      </c>
      <c r="I111" s="137"/>
    </row>
    <row r="112" spans="1:35" ht="18.75" customHeight="1" thickBot="1">
      <c r="A112" s="137"/>
      <c r="B112" s="137"/>
      <c r="C112" s="137"/>
      <c r="D112" s="137"/>
      <c r="E112" s="3234"/>
      <c r="F112" s="3235"/>
      <c r="G112" s="2516" t="s">
        <v>2298</v>
      </c>
      <c r="H112" s="789" t="str">
        <f>IF(E111="——","——",N61)</f>
        <v>——</v>
      </c>
      <c r="I112" s="137"/>
    </row>
    <row r="113" spans="1:11" ht="18.75" customHeight="1">
      <c r="A113" s="137"/>
      <c r="B113" s="137"/>
      <c r="C113" s="137"/>
      <c r="D113" s="137"/>
      <c r="E113" s="3202" t="s">
        <v>2304</v>
      </c>
      <c r="F113" s="3202"/>
      <c r="G113" s="3202"/>
      <c r="H113" s="3202"/>
      <c r="I113" s="137"/>
    </row>
    <row r="114" spans="1:11" ht="3.75" customHeight="1">
      <c r="A114" s="2409"/>
      <c r="B114" s="2409"/>
      <c r="C114" s="2409"/>
      <c r="D114" s="2409"/>
      <c r="E114" s="2487"/>
      <c r="F114" s="2487"/>
      <c r="G114" s="2487"/>
      <c r="H114" s="2487"/>
      <c r="I114" s="2409"/>
    </row>
    <row r="115" spans="1:11" ht="18.75" customHeight="1">
      <c r="A115" s="3215" t="s">
        <v>2306</v>
      </c>
      <c r="B115" s="3216"/>
      <c r="C115" s="3216"/>
      <c r="D115" s="3216"/>
      <c r="E115" s="3216"/>
      <c r="F115" s="3216"/>
      <c r="G115" s="3216"/>
      <c r="H115" s="3216"/>
      <c r="I115" s="3217"/>
    </row>
    <row r="116" spans="1:11" ht="27" customHeight="1">
      <c r="A116" s="3108" t="s">
        <v>2307</v>
      </c>
      <c r="B116" s="3203" t="s">
        <v>2308</v>
      </c>
      <c r="C116" s="3203" t="s">
        <v>2309</v>
      </c>
      <c r="D116" s="3219" t="s">
        <v>2310</v>
      </c>
      <c r="E116" s="3220"/>
      <c r="F116" s="3211" t="s">
        <v>2311</v>
      </c>
      <c r="G116" s="3211"/>
      <c r="H116" s="3108" t="s">
        <v>2312</v>
      </c>
      <c r="I116" s="3108"/>
    </row>
    <row r="117" spans="1:11" ht="18.75" customHeight="1">
      <c r="A117" s="3108"/>
      <c r="B117" s="3204"/>
      <c r="C117" s="3204"/>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862.38999999999987</v>
      </c>
      <c r="C118" s="2969">
        <f>M19</f>
        <v>138.74</v>
      </c>
      <c r="D118" s="2969">
        <f ca="1">ROUND(IF(D32="总价",C34,E118*B118/10000),0)</f>
        <v>1459</v>
      </c>
      <c r="E118" s="2969">
        <f ca="1">ROUND(IF(C33="自定义",IF(D32="楼面单价",C34,D118*10000/B118),I118-G118),0)</f>
        <v>16918</v>
      </c>
      <c r="F118" s="2969">
        <f ca="1">ROUND(IF(D32="总价",C35,G118*B118/10000),0)</f>
        <v>510</v>
      </c>
      <c r="G118" s="2969">
        <f ca="1">ROUND(IF(D32="楼面单价",C35,F118*10000/B118),0)</f>
        <v>5914</v>
      </c>
      <c r="H118" s="2969">
        <f ca="1">ROUND(IF(D32="总价",C32,I118*B118/10000),0)</f>
        <v>1969</v>
      </c>
      <c r="I118" s="2969">
        <f ca="1">ROUND(IF(D32="楼面单价",C32,H118*10000/B118),0)</f>
        <v>22832</v>
      </c>
    </row>
    <row r="119" spans="1:11" ht="18.75" customHeight="1">
      <c r="A119" s="3108" t="s">
        <v>2316</v>
      </c>
      <c r="B119" s="3108"/>
      <c r="C119" s="3108"/>
      <c r="D119" s="3208" t="str">
        <f ca="1">NUMBERSTRING(INT(D118*10000),2)&amp;"元整"</f>
        <v>壹仟肆佰伍拾玖万元整</v>
      </c>
      <c r="E119" s="3210"/>
      <c r="F119" s="3208" t="str">
        <f ca="1">NUMBERSTRING(INT(F118*10000),2)&amp;"元整"</f>
        <v>伍佰壹拾万元整</v>
      </c>
      <c r="G119" s="3210"/>
      <c r="H119" s="3208" t="str">
        <f ca="1">NUMBERSTRING(INT(H118*10000),2)&amp;"元整"</f>
        <v>壹仟玖佰陆拾玖万元整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14" t="str">
        <f>IF(D120=0,"故，本次评估不存在"&amp;A120,"故，本次评估"&amp;A120&amp;"为人民币"&amp;D120&amp;"万元整。")</f>
        <v>故，本次评估不存在估价师知悉的法定优先受偿款</v>
      </c>
    </row>
    <row r="121" spans="1:11" ht="18.75" customHeight="1">
      <c r="A121" s="3212" t="s">
        <v>2316</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
      </c>
      <c r="B122" s="3199"/>
      <c r="C122" s="3199"/>
      <c r="D122" s="3236" t="str">
        <f>H107</f>
        <v>——</v>
      </c>
      <c r="E122" s="3237"/>
      <c r="F122" s="3237"/>
      <c r="G122" s="3237"/>
      <c r="H122" s="3237"/>
      <c r="I122" s="3238"/>
    </row>
    <row r="123" spans="1:11" ht="18.75" customHeight="1">
      <c r="A123" s="3108" t="s">
        <v>2316</v>
      </c>
      <c r="B123" s="3108"/>
      <c r="C123" s="3108"/>
      <c r="D123" s="3208" t="e">
        <f>NUMBERSTRING(INT(D122*10000),2)&amp;"元整"</f>
        <v>#VALUE!</v>
      </c>
      <c r="E123" s="3209"/>
      <c r="F123" s="3209"/>
      <c r="G123" s="3209"/>
      <c r="H123" s="3209"/>
      <c r="I123" s="3210"/>
    </row>
    <row r="124" spans="1:11" ht="18.75" customHeight="1">
      <c r="A124" s="3199" t="str">
        <f>IF(项目基本情况!B9="房地产市场价值","",MID(E109,3,LEN(E109)-2))</f>
        <v>抵押担保权已注销时的房地产抵押价值</v>
      </c>
      <c r="B124" s="3199"/>
      <c r="C124" s="3199"/>
      <c r="D124" s="3236">
        <f ca="1">H109</f>
        <v>1969</v>
      </c>
      <c r="E124" s="3237"/>
      <c r="F124" s="3237"/>
      <c r="G124" s="3237"/>
      <c r="H124" s="3237"/>
      <c r="I124" s="3238"/>
    </row>
    <row r="125" spans="1:11" ht="18.75" customHeight="1">
      <c r="A125" s="3108" t="s">
        <v>2316</v>
      </c>
      <c r="B125" s="3108"/>
      <c r="C125" s="3108"/>
      <c r="D125" s="3208" t="str">
        <f ca="1">NUMBERSTRING(INT(D124*10000),2)&amp;"元整"</f>
        <v>壹仟玖佰陆拾玖万元整</v>
      </c>
      <c r="E125" s="3209"/>
      <c r="F125" s="3209"/>
      <c r="G125" s="3209"/>
      <c r="H125" s="3209"/>
      <c r="I125" s="3210"/>
    </row>
    <row r="126" spans="1:11" ht="18.75" customHeight="1">
      <c r="A126" s="3199" t="str">
        <f>IF(项目基本情况!B9="房地产市场价值","",MID(E111,3,LEN(E111)-2))</f>
        <v/>
      </c>
      <c r="B126" s="3199"/>
      <c r="C126" s="3199"/>
      <c r="D126" s="3236" t="str">
        <f>H111</f>
        <v>——</v>
      </c>
      <c r="E126" s="3237"/>
      <c r="F126" s="3237"/>
      <c r="G126" s="3237"/>
      <c r="H126" s="3237"/>
      <c r="I126" s="3238"/>
    </row>
    <row r="127" spans="1:11" ht="18.75" customHeight="1">
      <c r="A127" s="3108" t="s">
        <v>2316</v>
      </c>
      <c r="B127" s="3108"/>
      <c r="C127" s="3108"/>
      <c r="D127" s="3208" t="e">
        <f>NUMBERSTRING(INT(D126*10000),2)&amp;"元整"</f>
        <v>#VALUE!</v>
      </c>
      <c r="E127" s="3209"/>
      <c r="F127" s="3209"/>
      <c r="G127" s="3209"/>
      <c r="H127" s="3209"/>
      <c r="I127" s="3210"/>
    </row>
    <row r="128" spans="1:11" ht="21.75" customHeight="1">
      <c r="A128" s="3218" t="s">
        <v>2317</v>
      </c>
      <c r="B128" s="3218"/>
      <c r="C128" s="3218"/>
      <c r="D128" s="3218"/>
      <c r="E128" s="3218"/>
      <c r="F128" s="3218"/>
      <c r="G128" s="3218"/>
      <c r="H128" s="3218"/>
      <c r="I128" s="321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1782</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20664</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886</v>
      </c>
      <c r="D5" s="254" t="s">
        <v>2333</v>
      </c>
      <c r="E5" s="255" t="s">
        <v>2334</v>
      </c>
      <c r="F5" s="255" t="s">
        <v>2335</v>
      </c>
      <c r="G5" s="256"/>
    </row>
    <row r="6" spans="1:9" s="257" customFormat="1" ht="13.5" customHeight="1">
      <c r="A6" s="945" t="s">
        <v>791</v>
      </c>
      <c r="B6" s="258" t="s">
        <v>2337</v>
      </c>
      <c r="C6" s="259">
        <f>ROUND('土地比较法-住宅、综合'!C48*'数据-汇总表'!F20/10000,0)+'土地比较法-住宅、综合'!F57</f>
        <v>860</v>
      </c>
      <c r="D6" s="260"/>
      <c r="E6" s="261"/>
      <c r="F6" s="261"/>
      <c r="G6" s="262"/>
    </row>
    <row r="7" spans="1:9" s="257" customFormat="1" ht="13.5" customHeight="1">
      <c r="A7" s="945" t="s">
        <v>792</v>
      </c>
      <c r="B7" s="258" t="s">
        <v>2339</v>
      </c>
      <c r="C7" s="263">
        <f>ROUND(C6*F7,0)</f>
        <v>26</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17</v>
      </c>
      <c r="D10" s="1028">
        <f ca="1">IF(B1="",'数据-汇总表'!E6,IF(INDIRECT("'数据-取费表'!c"&amp;$G$1)="住宅",INDIRECT("'数据-取费表'!s"&amp;$G$1),INDIRECT("'数据-取费表'!k"&amp;$G$1)+INDIRECT("'数据-取费表'!s"&amp;$G$1)))</f>
        <v>862.38999999999987</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862.38999999999987</v>
      </c>
      <c r="E19" s="254">
        <f>'数据-取费表'!B31</f>
        <v>200</v>
      </c>
      <c r="F19" s="274"/>
      <c r="G19" s="2543" t="s">
        <v>3054</v>
      </c>
    </row>
    <row r="20" spans="1:7" s="257" customFormat="1" ht="13.5" customHeight="1">
      <c r="A20" s="298" t="s">
        <v>2357</v>
      </c>
      <c r="B20" s="253" t="s">
        <v>2358</v>
      </c>
      <c r="C20" s="275">
        <f>ROUND((C5+C19)*F20,0)</f>
        <v>18</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133</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132</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181</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181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1321</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333</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302</v>
      </c>
      <c r="D34" s="260"/>
      <c r="E34" s="263"/>
      <c r="F34" s="300">
        <f ca="1">IF('数据-取费表'!B24=0,1,IF(B1="",'数据-取费表'!N16,INDIRECT("'数据-取费表'!n"&amp;$G$1)))</f>
        <v>1</v>
      </c>
      <c r="G34" s="262" t="s">
        <v>2390</v>
      </c>
    </row>
    <row r="35" spans="1:7" ht="13.5" customHeight="1">
      <c r="A35" s="947" t="s">
        <v>796</v>
      </c>
      <c r="B35" s="258" t="s">
        <v>2391</v>
      </c>
      <c r="C35" s="263">
        <f ca="1">ROUND(C34*F35,0)</f>
        <v>9</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17</v>
      </c>
      <c r="D37" s="260">
        <f ca="1">D19</f>
        <v>862.38999999999987</v>
      </c>
      <c r="E37" s="292">
        <f>'数据-取费表'!B35</f>
        <v>200</v>
      </c>
      <c r="F37" s="302"/>
      <c r="G37" s="304" t="s">
        <v>2396</v>
      </c>
    </row>
    <row r="38" spans="1:7" ht="13.5" customHeight="1">
      <c r="A38" s="947" t="s">
        <v>799</v>
      </c>
      <c r="B38" s="258" t="s">
        <v>2397</v>
      </c>
      <c r="C38" s="263">
        <f ca="1">ROUND(C34*F38,0)</f>
        <v>5</v>
      </c>
      <c r="D38" s="263"/>
      <c r="E38" s="263"/>
      <c r="F38" s="302">
        <f>'数据-取费表'!B36</f>
        <v>1.4999999999999999E-2</v>
      </c>
      <c r="G38" s="262" t="s">
        <v>2392</v>
      </c>
    </row>
    <row r="39" spans="1:7" s="257" customFormat="1" ht="13.5" customHeight="1">
      <c r="A39" s="298" t="s">
        <v>2355</v>
      </c>
      <c r="B39" s="253" t="s">
        <v>2358</v>
      </c>
      <c r="C39" s="275">
        <f ca="1">ROUND(C33*F20,0)</f>
        <v>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25</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24</v>
      </c>
      <c r="D42" s="281"/>
      <c r="E42" s="281"/>
      <c r="F42" s="282"/>
      <c r="G42" s="3250" t="s">
        <v>2408</v>
      </c>
    </row>
    <row r="43" spans="1:7" ht="13.5" customHeight="1">
      <c r="A43" s="947" t="s">
        <v>792</v>
      </c>
      <c r="B43" s="258" t="s">
        <v>2370</v>
      </c>
      <c r="C43" s="281">
        <f ca="1">ROUND(IF('数据-取费表'!B22&lt;=1,C39*F22*'数据-取费表'!B21/2,C39*(POWER((1+F22),'数据-取费表'!B21/2)-1)),0)</f>
        <v>1</v>
      </c>
      <c r="D43" s="281"/>
      <c r="E43" s="281"/>
      <c r="F43" s="282"/>
      <c r="G43" s="3251"/>
    </row>
    <row r="44" spans="1:7" ht="13.5" customHeight="1">
      <c r="A44" s="947" t="s">
        <v>793</v>
      </c>
      <c r="B44" s="258" t="s">
        <v>2373</v>
      </c>
      <c r="C44" s="281">
        <f ca="1">ROUND(IF('数据-取费表'!B22&lt;=1,C40*F22*'数据-取费表'!B21/2,C40*(POWER((1+F22),'数据-取费表'!B21/2)-1)),4)</f>
        <v>1.4E-3</v>
      </c>
      <c r="D44" s="281"/>
      <c r="E44" s="281"/>
      <c r="F44" s="282"/>
      <c r="G44" s="3252"/>
    </row>
    <row r="45" spans="1:7" s="257" customFormat="1" ht="13.5" customHeight="1">
      <c r="A45" s="298" t="s">
        <v>2364</v>
      </c>
      <c r="B45" s="287" t="s">
        <v>2377</v>
      </c>
      <c r="C45" s="288">
        <f ca="1">C46</f>
        <v>68</v>
      </c>
      <c r="D45" s="278">
        <f ca="1">C47</f>
        <v>4.0000000000000001E-3</v>
      </c>
      <c r="E45" s="279" t="s">
        <v>2403</v>
      </c>
      <c r="F45" s="289"/>
      <c r="G45" s="290" t="s">
        <v>2412</v>
      </c>
    </row>
    <row r="46" spans="1:7" s="257" customFormat="1" ht="13.5" customHeight="1">
      <c r="A46" s="947" t="s">
        <v>791</v>
      </c>
      <c r="B46" s="291" t="s">
        <v>2413</v>
      </c>
      <c r="C46" s="292">
        <f ca="1">ROUND((C33+C39)*F27,0)</f>
        <v>68</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470</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461</v>
      </c>
      <c r="D51" s="275"/>
      <c r="E51" s="275"/>
      <c r="F51" s="307"/>
      <c r="G51" s="277" t="s">
        <v>2424</v>
      </c>
    </row>
    <row r="52" spans="1:7" s="251" customFormat="1" ht="16.5" thickBot="1">
      <c r="A52" s="308" t="s">
        <v>2425</v>
      </c>
      <c r="B52" s="309"/>
      <c r="C52" s="310">
        <f ca="1">C31+C51</f>
        <v>1782</v>
      </c>
      <c r="D52" s="309"/>
      <c r="E52" s="309"/>
      <c r="F52" s="309"/>
      <c r="G52" s="311"/>
    </row>
    <row r="55" spans="1:7" ht="15">
      <c r="B55" s="313" t="s">
        <v>2426</v>
      </c>
      <c r="C55" s="314"/>
    </row>
    <row r="56" spans="1:7">
      <c r="B56" s="316" t="s">
        <v>1514</v>
      </c>
      <c r="C56" s="318">
        <f ca="1">1-C57</f>
        <v>0.74099999999999999</v>
      </c>
    </row>
    <row r="57" spans="1:7">
      <c r="B57" s="316" t="s">
        <v>1515</v>
      </c>
      <c r="C57" s="317">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90" zoomScaleNormal="90" zoomScaleSheetLayoutView="90" workbookViewId="0">
      <selection activeCell="G58" sqref="G5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36.19</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2093</v>
      </c>
      <c r="C2" s="1841" t="s">
        <v>1517</v>
      </c>
      <c r="D2" s="1841"/>
      <c r="E2" s="1842"/>
      <c r="F2" s="1843"/>
      <c r="G2" s="1844"/>
      <c r="H2" s="1836"/>
      <c r="I2" s="1836"/>
      <c r="J2" s="1836"/>
      <c r="K2" s="1837"/>
      <c r="L2" s="1836"/>
      <c r="M2" s="1836"/>
    </row>
    <row r="3" spans="1:37" ht="18" customHeight="1" thickBot="1">
      <c r="A3" s="1845" t="s">
        <v>1518</v>
      </c>
      <c r="B3" s="1846">
        <f ca="1">IF(ISERROR(B2*10000/F43),0,ROUND(B2*10000/F43,0))</f>
        <v>24270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127</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127</v>
      </c>
      <c r="D6" s="163" t="s">
        <v>3034</v>
      </c>
      <c r="E6" s="346" t="s">
        <v>1405</v>
      </c>
      <c r="F6" s="347">
        <f ca="1">INDIRECT("'数据-取费表'!u"&amp;$G$1)</f>
        <v>4.5</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2988" t="s">
        <v>1406</v>
      </c>
      <c r="F7" s="347">
        <f ca="1">IF(INDIRECT("'数据-取费表'!ah"&amp;$G$1)="",INDIRECT("'数据-取费表'!k"&amp;$G$1),INDIRECT("'数据-取费表'!ah"&amp;$G$1))</f>
        <v>862.38999999999987</v>
      </c>
      <c r="G7" s="1847"/>
      <c r="H7" s="348"/>
      <c r="I7" s="3256"/>
      <c r="J7" s="350"/>
      <c r="K7" s="351"/>
      <c r="L7" s="346" t="s">
        <v>1406</v>
      </c>
      <c r="M7" s="347">
        <f ca="1">F7</f>
        <v>862.38999999999987</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0.1</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3431</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461</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302</v>
      </c>
      <c r="D14" s="2976" t="s">
        <v>1419</v>
      </c>
      <c r="E14" s="2971"/>
      <c r="F14" s="363"/>
      <c r="G14" s="1847"/>
      <c r="H14" s="1197" t="s">
        <v>1035</v>
      </c>
      <c r="I14" s="346" t="s">
        <v>1420</v>
      </c>
      <c r="J14" s="23">
        <f ca="1">C29</f>
        <v>470</v>
      </c>
      <c r="K14" s="2987"/>
      <c r="L14" s="975"/>
      <c r="M14" s="976"/>
    </row>
    <row r="15" spans="1:37" s="1854" customFormat="1" ht="18" customHeight="1" thickBot="1">
      <c r="A15" s="1197" t="s">
        <v>1036</v>
      </c>
      <c r="B15" s="346" t="s">
        <v>1421</v>
      </c>
      <c r="C15" s="23">
        <f ca="1">ROUND(C14*F15,0)</f>
        <v>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13</v>
      </c>
      <c r="K16" s="1333" t="s">
        <v>1426</v>
      </c>
      <c r="L16" s="2978"/>
      <c r="M16" s="1290"/>
    </row>
    <row r="17" spans="1:37" s="1854" customFormat="1" ht="18" customHeight="1">
      <c r="A17" s="1197" t="s">
        <v>1390</v>
      </c>
      <c r="B17" s="346" t="s">
        <v>1427</v>
      </c>
      <c r="C17" s="23">
        <f ca="1">ROUND(F17*(F43+INDIRECT("'数据-取费表'!S"&amp;$G$1))/10000,0)</f>
        <v>17</v>
      </c>
      <c r="D17" s="346" t="s">
        <v>1428</v>
      </c>
      <c r="E17" s="346" t="s">
        <v>1429</v>
      </c>
      <c r="F17" s="25">
        <f>'数据-取费表'!B35</f>
        <v>200</v>
      </c>
      <c r="G17" s="1850"/>
      <c r="H17" s="1197" t="s">
        <v>1035</v>
      </c>
      <c r="I17" s="346" t="s">
        <v>1430</v>
      </c>
      <c r="J17" s="23">
        <f ca="1">ROUND(IF(项目基本情况!B11="自然人",J5*M17,J18+J19+J20),1)</f>
        <v>4</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5</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333</v>
      </c>
      <c r="D19" s="139" t="s">
        <v>1437</v>
      </c>
      <c r="E19" s="2985"/>
      <c r="F19" s="25"/>
      <c r="G19" s="1847"/>
      <c r="H19" s="1197" t="s">
        <v>1036</v>
      </c>
      <c r="I19" s="346" t="s">
        <v>1438</v>
      </c>
      <c r="J19" s="23">
        <f ca="1">IF(K19="按租金收入计税",ROUND(J5*M19,2),ROUND(C29*M19*0.7,2))</f>
        <v>3.95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7</v>
      </c>
      <c r="D20" s="368" t="s">
        <v>1441</v>
      </c>
      <c r="E20" s="346" t="s">
        <v>1423</v>
      </c>
      <c r="F20" s="366">
        <f>'数据-取费表'!B37</f>
        <v>0.02</v>
      </c>
      <c r="G20" s="1850"/>
      <c r="H20" s="1197" t="s">
        <v>1389</v>
      </c>
      <c r="I20" s="163" t="s">
        <v>1442</v>
      </c>
      <c r="J20" s="24">
        <f ca="1">ROUND(M20*M21/10000,2)</f>
        <v>0.02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138.74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9.4</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-13</v>
      </c>
      <c r="K25" s="1341" t="s">
        <v>1465</v>
      </c>
      <c r="L25" s="1342"/>
      <c r="M25" s="1343"/>
    </row>
    <row r="26" spans="1:37">
      <c r="A26" s="1197" t="s">
        <v>1034</v>
      </c>
      <c r="B26" s="346" t="s">
        <v>1466</v>
      </c>
      <c r="C26" s="23">
        <f ca="1">ROUND((C19+C20)*F26,0)</f>
        <v>68</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470</v>
      </c>
      <c r="D29" s="1338"/>
      <c r="E29" s="1336"/>
      <c r="F29" s="1339"/>
      <c r="G29" s="1850"/>
      <c r="H29" s="379" t="s">
        <v>1033</v>
      </c>
      <c r="I29" s="380" t="s">
        <v>1480</v>
      </c>
      <c r="J29" s="381">
        <f ca="1">ROUND(J26/(1+F40)^F41,0)</f>
        <v>0</v>
      </c>
      <c r="K29" s="382" t="s">
        <v>1481</v>
      </c>
      <c r="L29" s="383"/>
      <c r="M29" s="384">
        <f ca="1">INDIRECT("'数据-取费表'!k"&amp;$G$1)</f>
        <v>862.38999999999987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23</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10.6</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6.65</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3.95</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138.74</v>
      </c>
      <c r="G35" s="1847"/>
      <c r="H35" s="744"/>
      <c r="I35" s="1856"/>
      <c r="J35" s="1857"/>
      <c r="K35" s="1858"/>
      <c r="L35" s="1855"/>
      <c r="M35" s="1855"/>
    </row>
    <row r="36" spans="1:18" ht="18" customHeight="1">
      <c r="A36" s="1348" t="s">
        <v>1039</v>
      </c>
      <c r="B36" s="346" t="s">
        <v>1450</v>
      </c>
      <c r="C36" s="23">
        <f ca="1">ROUND(C29*F36,1)</f>
        <v>9.4</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0.9</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2.5</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104</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2085</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36.19</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24177</v>
      </c>
      <c r="D43" s="382" t="s">
        <v>1489</v>
      </c>
      <c r="E43" s="383" t="s">
        <v>1490</v>
      </c>
      <c r="F43" s="384">
        <f ca="1">INDIRECT("'数据-取费表'!k"&amp;$G$1)</f>
        <v>862.38999999999987</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-2278</v>
      </c>
      <c r="D46" s="1868" t="str">
        <f>C2</f>
        <v>万元</v>
      </c>
      <c r="E46" s="1862"/>
      <c r="F46" s="1862"/>
      <c r="I46" s="1869" t="s">
        <v>1522</v>
      </c>
      <c r="J46" s="1870"/>
      <c r="K46" s="1871"/>
      <c r="L46" s="1872">
        <f ca="1">IF(M47="住宅",0,IF(L48&gt;J51,L60,J60))</f>
        <v>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40</v>
      </c>
      <c r="M47" s="1834" t="str">
        <f>IF(ISNUMBER(FIND("住宅",C1)),"住宅","非住宅")</f>
        <v>非住宅</v>
      </c>
      <c r="O47" s="1880" t="s">
        <v>1040</v>
      </c>
      <c r="P47" s="1881" t="s">
        <v>1529</v>
      </c>
      <c r="Q47" s="1882">
        <f ca="1">C40+J29</f>
        <v>2085</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36.19</v>
      </c>
      <c r="O48" s="1880" t="s">
        <v>1041</v>
      </c>
      <c r="P48" s="1881" t="s">
        <v>1533</v>
      </c>
      <c r="Q48" s="1882">
        <f ca="1">J60</f>
        <v>8</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2017</v>
      </c>
      <c r="K49" s="1885" t="s">
        <v>1536</v>
      </c>
      <c r="L49" s="1889"/>
      <c r="O49" s="1890" t="s">
        <v>1042</v>
      </c>
      <c r="P49" s="1881" t="s">
        <v>1537</v>
      </c>
      <c r="Q49" s="1882">
        <f ca="1">C29</f>
        <v>470</v>
      </c>
      <c r="R49" s="1882" t="s">
        <v>1530</v>
      </c>
    </row>
    <row r="50" spans="1:18" s="1838" customFormat="1" ht="13.5" thickBot="1">
      <c r="A50" s="1191"/>
      <c r="B50" s="1194"/>
      <c r="C50" s="1364"/>
      <c r="D50" s="1168"/>
      <c r="E50" s="1273" t="s">
        <v>1406</v>
      </c>
      <c r="F50" s="1274">
        <f ca="1">F7</f>
        <v>862.38999999999987</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949</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36.19</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36.19</v>
      </c>
      <c r="K53" s="3253" t="s">
        <v>1549</v>
      </c>
      <c r="L53" s="3254"/>
      <c r="O53" s="1880" t="s">
        <v>1046</v>
      </c>
      <c r="P53" s="1881" t="s">
        <v>1550</v>
      </c>
      <c r="Q53" s="1882">
        <f ca="1">Q47+Q48</f>
        <v>2093</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0.38</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461</v>
      </c>
      <c r="D56" s="1910"/>
      <c r="E56" s="1911"/>
      <c r="F56" s="1903"/>
      <c r="I56" s="1912" t="s">
        <v>1554</v>
      </c>
      <c r="J56" s="1913" t="s">
        <v>3433</v>
      </c>
      <c r="K56" s="1883" t="s">
        <v>1555</v>
      </c>
      <c r="L56" s="1886" t="str">
        <f ca="1">IF(L48&lt;J51,"——",L48-J53)</f>
        <v>——</v>
      </c>
      <c r="O56" s="1880" t="s">
        <v>1040</v>
      </c>
      <c r="P56" s="1881" t="s">
        <v>1529</v>
      </c>
      <c r="Q56" s="1882">
        <f ca="1">C40+J29</f>
        <v>2085</v>
      </c>
      <c r="R56" s="1882" t="s">
        <v>1530</v>
      </c>
    </row>
    <row r="57" spans="1:18" s="1838" customFormat="1" ht="24.75" thickBot="1">
      <c r="A57" s="1914"/>
      <c r="B57" s="1165" t="s">
        <v>1479</v>
      </c>
      <c r="C57" s="281">
        <f ca="1">C29</f>
        <v>470</v>
      </c>
      <c r="D57" s="1915"/>
      <c r="E57" s="1916"/>
      <c r="F57" s="1917"/>
      <c r="I57" s="1918" t="s">
        <v>1556</v>
      </c>
      <c r="J57" s="1919">
        <f ca="1">IF(OR(M47="住宅",J51&lt;L48,J56="是"),"——",J51-L48)</f>
        <v>22.810000000000002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4</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188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3.95</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2085</v>
      </c>
      <c r="R62" s="1882" t="s">
        <v>1047</v>
      </c>
    </row>
    <row r="63" spans="1:18" s="1838" customFormat="1" ht="13.5" thickBot="1">
      <c r="A63" s="371"/>
      <c r="B63" s="1171"/>
      <c r="C63" s="28"/>
      <c r="D63" s="1181"/>
      <c r="E63" s="1165" t="s">
        <v>1448</v>
      </c>
      <c r="F63" s="347">
        <f t="shared" ca="1" si="0"/>
        <v>138.74</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9.4</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0.9</v>
      </c>
      <c r="D65" s="1179" t="s">
        <v>1455</v>
      </c>
      <c r="E65" s="1165" t="s">
        <v>1423</v>
      </c>
      <c r="F65" s="375">
        <f t="shared" ca="1" si="0"/>
        <v>2E-3</v>
      </c>
      <c r="I65" s="1925" t="s">
        <v>1579</v>
      </c>
      <c r="J65" s="1926">
        <v>40</v>
      </c>
      <c r="K65" s="1926">
        <v>30</v>
      </c>
      <c r="L65" s="1926">
        <v>50</v>
      </c>
      <c r="M65" s="1928">
        <v>0.02</v>
      </c>
      <c r="O65" s="1880" t="s">
        <v>1040</v>
      </c>
      <c r="P65" s="1881" t="s">
        <v>1529</v>
      </c>
      <c r="Q65" s="1882">
        <f ca="1">C40+J29</f>
        <v>2085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-14</v>
      </c>
      <c r="D67" s="1178" t="s">
        <v>1465</v>
      </c>
      <c r="E67" s="1183"/>
      <c r="F67" s="1184"/>
      <c r="O67" s="1890" t="s">
        <v>1042</v>
      </c>
      <c r="P67" s="1881" t="s">
        <v>1562</v>
      </c>
      <c r="Q67" s="1929">
        <f ca="1">L51</f>
        <v>949</v>
      </c>
      <c r="R67" s="1882" t="s">
        <v>1582</v>
      </c>
    </row>
    <row r="68" spans="1:18" s="1838" customFormat="1" ht="16.5" thickBot="1">
      <c r="A68" s="1162" t="s">
        <v>1032</v>
      </c>
      <c r="B68" s="1163" t="s">
        <v>1486</v>
      </c>
      <c r="C68" s="345">
        <f ca="1">ROUND(C67*(1-((1+F70)/(1+F68))^F69)/(F68-F70),0)</f>
        <v>-193</v>
      </c>
      <c r="D68" s="1180" t="s">
        <v>1470</v>
      </c>
      <c r="E68" s="1165" t="s">
        <v>1471</v>
      </c>
      <c r="F68" s="356">
        <f ca="1">F40</f>
        <v>6.5000000000000002E-2</v>
      </c>
      <c r="O68" s="1890" t="s">
        <v>1043</v>
      </c>
      <c r="P68" s="1930" t="s">
        <v>1583</v>
      </c>
      <c r="Q68" s="1882">
        <f ca="1">ROUND(Q69-Q70*Q71,0)</f>
        <v>65</v>
      </c>
      <c r="R68" s="1882" t="s">
        <v>1051</v>
      </c>
    </row>
    <row r="69" spans="1:18" s="1838" customFormat="1" ht="13.5" thickBot="1">
      <c r="A69" s="1166"/>
      <c r="B69" s="1167"/>
      <c r="C69" s="350"/>
      <c r="D69" s="1185" t="s">
        <v>1474</v>
      </c>
      <c r="E69" s="1165" t="s">
        <v>1475</v>
      </c>
      <c r="F69" s="378">
        <f ca="1">F41</f>
        <v>36.19</v>
      </c>
      <c r="O69" s="1890" t="s">
        <v>1048</v>
      </c>
      <c r="P69" s="1930" t="s">
        <v>1584</v>
      </c>
      <c r="Q69" s="1882">
        <f ca="1">C39</f>
        <v>104</v>
      </c>
      <c r="R69" s="1882" t="s">
        <v>1530</v>
      </c>
    </row>
    <row r="70" spans="1:18" s="1838" customFormat="1" ht="13.5" thickBot="1">
      <c r="A70" s="1169"/>
      <c r="B70" s="1170"/>
      <c r="C70" s="354"/>
      <c r="D70" s="1181"/>
      <c r="E70" s="1165" t="s">
        <v>1478</v>
      </c>
      <c r="F70" s="1271"/>
      <c r="O70" s="1890" t="s">
        <v>1049</v>
      </c>
      <c r="P70" s="1930" t="s">
        <v>1585</v>
      </c>
      <c r="Q70" s="1882">
        <f ca="1">C13</f>
        <v>461</v>
      </c>
      <c r="R70" s="1882" t="s">
        <v>1530</v>
      </c>
    </row>
    <row r="71" spans="1:18" s="1838" customFormat="1" ht="13.5" thickBot="1">
      <c r="A71" s="1186" t="s">
        <v>1033</v>
      </c>
      <c r="B71" s="1187" t="s">
        <v>1488</v>
      </c>
      <c r="C71" s="381">
        <f ca="1">ROUND(C68*10000/F71,0)</f>
        <v>-2238</v>
      </c>
      <c r="D71" s="1188" t="s">
        <v>1489</v>
      </c>
      <c r="E71" s="1189" t="s">
        <v>1490</v>
      </c>
      <c r="F71" s="384">
        <f ca="1">F43</f>
        <v>862.38999999999987</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39</v>
      </c>
      <c r="D75" s="1838"/>
      <c r="E75" s="1838"/>
      <c r="F75" s="1838"/>
      <c r="K75" s="1864"/>
      <c r="L75" s="1838"/>
      <c r="O75" s="1880" t="s">
        <v>1046</v>
      </c>
      <c r="P75" s="1881" t="s">
        <v>1550</v>
      </c>
      <c r="Q75" s="1882">
        <f ca="1">Q65+Q66</f>
        <v>2085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0.625</v>
      </c>
    </row>
    <row r="80" spans="1:18">
      <c r="B80" s="385" t="s">
        <v>1512</v>
      </c>
      <c r="C80" s="317">
        <f ca="1">ROUND(C75/C39,3)</f>
        <v>0.375</v>
      </c>
    </row>
    <row r="81" spans="2:3">
      <c r="B81" s="313" t="s">
        <v>1513</v>
      </c>
      <c r="C81" s="281"/>
    </row>
    <row r="82" spans="2:3">
      <c r="B82" s="316" t="s">
        <v>1514</v>
      </c>
      <c r="C82" s="318">
        <f ca="1">1-C83</f>
        <v>0.77900000000000003</v>
      </c>
    </row>
    <row r="83" spans="2:3">
      <c r="B83" s="316" t="s">
        <v>1515</v>
      </c>
      <c r="C83" s="317">
        <f ca="1">ROUND(C13/C40,3)</f>
        <v>0.221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16965.740000000005</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293" t="s">
        <v>2647</v>
      </c>
      <c r="AC4" s="3313" t="s">
        <v>2648</v>
      </c>
    </row>
    <row r="5" spans="1:29" ht="15">
      <c r="A5" s="403"/>
      <c r="B5" s="404"/>
      <c r="C5" s="3302" t="s">
        <v>2541</v>
      </c>
      <c r="D5" s="3297"/>
      <c r="E5" s="3320" t="s">
        <v>2542</v>
      </c>
      <c r="F5" s="3309"/>
      <c r="G5" s="3302" t="s">
        <v>2543</v>
      </c>
      <c r="H5" s="3297"/>
      <c r="I5" s="3302" t="s">
        <v>2544</v>
      </c>
      <c r="J5" s="3297"/>
      <c r="K5" s="609"/>
      <c r="L5" s="1126"/>
      <c r="M5" s="1127"/>
      <c r="N5" s="1127"/>
      <c r="O5" s="1127"/>
      <c r="P5" s="3316"/>
      <c r="Q5" s="3283"/>
      <c r="R5" s="3288"/>
      <c r="S5" s="3289"/>
      <c r="T5" s="3288"/>
      <c r="U5" s="3289"/>
      <c r="V5" s="3293"/>
      <c r="W5" s="3293"/>
      <c r="X5" s="1809"/>
      <c r="Y5" s="3288"/>
      <c r="Z5" s="3289"/>
      <c r="AA5" s="3306"/>
      <c r="AB5" s="3293"/>
      <c r="AC5" s="3306"/>
    </row>
    <row r="6" spans="1:29" ht="15.75" thickBot="1">
      <c r="A6" s="405"/>
      <c r="B6" s="406"/>
      <c r="C6" s="3294" t="s">
        <v>2545</v>
      </c>
      <c r="D6" s="3295"/>
      <c r="E6" s="3303" t="s">
        <v>2545</v>
      </c>
      <c r="F6" s="3304"/>
      <c r="G6" s="3294" t="s">
        <v>2545</v>
      </c>
      <c r="H6" s="3295"/>
      <c r="I6" s="3294" t="s">
        <v>2545</v>
      </c>
      <c r="J6" s="3295"/>
      <c r="K6" s="609" t="s">
        <v>2546</v>
      </c>
      <c r="L6" s="1126"/>
      <c r="M6" s="1127"/>
      <c r="N6" s="1127"/>
      <c r="O6" s="1127"/>
      <c r="P6" s="3317"/>
      <c r="Q6" s="3285"/>
      <c r="R6" s="3288"/>
      <c r="S6" s="3289"/>
      <c r="T6" s="3290"/>
      <c r="U6" s="3291"/>
      <c r="V6" s="3293"/>
      <c r="W6" s="3293"/>
      <c r="X6" s="1809"/>
      <c r="Y6" s="3290"/>
      <c r="Z6" s="3291"/>
      <c r="AA6" s="3307"/>
      <c r="AB6" s="3293"/>
      <c r="AC6" s="3307"/>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00" t="s">
        <v>2548</v>
      </c>
      <c r="Q7" s="3301"/>
      <c r="R7" s="769" t="s">
        <v>17</v>
      </c>
      <c r="S7" s="770">
        <f t="shared" ref="S7:S15" si="0">F7</f>
        <v>0</v>
      </c>
      <c r="T7" s="769" t="s">
        <v>17</v>
      </c>
      <c r="U7" s="770">
        <f t="shared" ref="U7:U15" si="1">H7</f>
        <v>0</v>
      </c>
      <c r="V7" s="769" t="s">
        <v>17</v>
      </c>
      <c r="W7" s="770">
        <f t="shared" ref="W7:W15" si="2">J7</f>
        <v>0</v>
      </c>
      <c r="X7" s="771"/>
      <c r="Y7" s="3300" t="s">
        <v>2548</v>
      </c>
      <c r="Z7" s="329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00" t="s">
        <v>2551</v>
      </c>
      <c r="Q8" s="3299"/>
      <c r="R8" s="769" t="s">
        <v>17</v>
      </c>
      <c r="S8" s="770">
        <f t="shared" si="0"/>
        <v>0</v>
      </c>
      <c r="T8" s="769" t="s">
        <v>17</v>
      </c>
      <c r="U8" s="770">
        <f t="shared" si="1"/>
        <v>0</v>
      </c>
      <c r="V8" s="769" t="s">
        <v>17</v>
      </c>
      <c r="W8" s="770">
        <f t="shared" si="2"/>
        <v>0</v>
      </c>
      <c r="X8" s="771"/>
      <c r="Y8" s="3300" t="s">
        <v>2551</v>
      </c>
      <c r="Z8" s="3299"/>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8"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8"/>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8"/>
      <c r="Q11" s="1791" t="str">
        <f t="shared" si="6"/>
        <v>容积率</v>
      </c>
      <c r="R11" s="769" t="s">
        <v>17</v>
      </c>
      <c r="S11" s="770" t="e">
        <f t="shared" si="0"/>
        <v>#N/A</v>
      </c>
      <c r="T11" s="769" t="s">
        <v>17</v>
      </c>
      <c r="U11" s="770" t="e">
        <f t="shared" si="1"/>
        <v>#N/A</v>
      </c>
      <c r="V11" s="769" t="s">
        <v>17</v>
      </c>
      <c r="W11" s="770" t="e">
        <f t="shared" si="2"/>
        <v>#N/A</v>
      </c>
      <c r="X11" s="771"/>
      <c r="Y11" s="3108"/>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8"/>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8"/>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8"/>
      <c r="Q14" s="1791">
        <f t="shared" si="6"/>
        <v>111</v>
      </c>
      <c r="R14" s="769" t="s">
        <v>17</v>
      </c>
      <c r="S14" s="770">
        <f t="shared" si="0"/>
        <v>100</v>
      </c>
      <c r="T14" s="769" t="s">
        <v>17</v>
      </c>
      <c r="U14" s="770">
        <f t="shared" si="1"/>
        <v>100</v>
      </c>
      <c r="V14" s="769" t="s">
        <v>17</v>
      </c>
      <c r="W14" s="770">
        <f t="shared" si="2"/>
        <v>100</v>
      </c>
      <c r="X14" s="771"/>
      <c r="Y14" s="3108"/>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64" t="s">
        <v>2559</v>
      </c>
      <c r="Q15" s="1806" t="str">
        <f t="shared" si="6"/>
        <v>商业繁华度</v>
      </c>
      <c r="R15" s="773" t="s">
        <v>17</v>
      </c>
      <c r="S15" s="774">
        <f t="shared" si="0"/>
        <v>100</v>
      </c>
      <c r="T15" s="773" t="s">
        <v>17</v>
      </c>
      <c r="U15" s="774">
        <f t="shared" si="1"/>
        <v>100</v>
      </c>
      <c r="V15" s="773" t="s">
        <v>17</v>
      </c>
      <c r="W15" s="774">
        <f t="shared" si="2"/>
        <v>100</v>
      </c>
      <c r="X15" s="1809"/>
      <c r="Y15" s="3266"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65"/>
      <c r="Q16" s="1806"/>
      <c r="R16" s="773"/>
      <c r="S16" s="774"/>
      <c r="T16" s="773"/>
      <c r="U16" s="774"/>
      <c r="V16" s="773"/>
      <c r="W16" s="774"/>
      <c r="X16" s="1809"/>
      <c r="Y16" s="3267"/>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65"/>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65"/>
      <c r="Q18" s="1806"/>
      <c r="R18" s="773"/>
      <c r="S18" s="774"/>
      <c r="T18" s="773"/>
      <c r="U18" s="774"/>
      <c r="V18" s="773"/>
      <c r="W18" s="774"/>
      <c r="X18" s="1809"/>
      <c r="Y18" s="3267"/>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65"/>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65"/>
      <c r="Q20" s="1806"/>
      <c r="R20" s="773"/>
      <c r="S20" s="774"/>
      <c r="T20" s="773"/>
      <c r="U20" s="774"/>
      <c r="V20" s="773"/>
      <c r="W20" s="774"/>
      <c r="X20" s="1809"/>
      <c r="Y20" s="3267"/>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65"/>
      <c r="Q22" s="1806"/>
      <c r="R22" s="773"/>
      <c r="S22" s="774"/>
      <c r="T22" s="773"/>
      <c r="U22" s="774"/>
      <c r="V22" s="773"/>
      <c r="W22" s="774"/>
      <c r="X22" s="1809"/>
      <c r="Y22" s="3267"/>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65"/>
      <c r="Q23" s="1806" t="str">
        <f>B23</f>
        <v>自然及人文环境</v>
      </c>
      <c r="R23" s="773" t="s">
        <v>17</v>
      </c>
      <c r="S23" s="774">
        <f>F23</f>
        <v>100</v>
      </c>
      <c r="T23" s="773" t="s">
        <v>17</v>
      </c>
      <c r="U23" s="774">
        <f>H23</f>
        <v>100</v>
      </c>
      <c r="V23" s="773" t="s">
        <v>17</v>
      </c>
      <c r="W23" s="774">
        <f>J23</f>
        <v>100</v>
      </c>
      <c r="X23" s="1809"/>
      <c r="Y23" s="3267"/>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65"/>
      <c r="Q24" s="1806"/>
      <c r="R24" s="773"/>
      <c r="S24" s="774"/>
      <c r="T24" s="773"/>
      <c r="U24" s="774"/>
      <c r="V24" s="773"/>
      <c r="W24" s="774"/>
      <c r="X24" s="1809"/>
      <c r="Y24" s="3267"/>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65"/>
      <c r="Q25" s="1806" t="str">
        <f t="shared" ref="Q25:Q46" si="11">B25</f>
        <v>临街状况</v>
      </c>
      <c r="R25" s="773" t="s">
        <v>17</v>
      </c>
      <c r="S25" s="774">
        <f>F25</f>
        <v>100</v>
      </c>
      <c r="T25" s="773" t="s">
        <v>17</v>
      </c>
      <c r="U25" s="774">
        <f>H25</f>
        <v>100</v>
      </c>
      <c r="V25" s="773" t="s">
        <v>17</v>
      </c>
      <c r="W25" s="774">
        <f>J25</f>
        <v>100</v>
      </c>
      <c r="X25" s="1809"/>
      <c r="Y25" s="3267"/>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65"/>
      <c r="Q26" s="1806" t="str">
        <f t="shared" si="11"/>
        <v>平面位置/可视性</v>
      </c>
      <c r="R26" s="773" t="s">
        <v>17</v>
      </c>
      <c r="S26" s="774">
        <f>F26</f>
        <v>100</v>
      </c>
      <c r="T26" s="773" t="s">
        <v>17</v>
      </c>
      <c r="U26" s="774">
        <f>H26</f>
        <v>100</v>
      </c>
      <c r="V26" s="773" t="s">
        <v>17</v>
      </c>
      <c r="W26" s="774">
        <f>J26</f>
        <v>100</v>
      </c>
      <c r="X26" s="1809"/>
      <c r="Y26" s="3267"/>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65"/>
      <c r="Q27" s="1791" t="str">
        <f t="shared" si="11"/>
        <v>人流量</v>
      </c>
      <c r="R27" s="769" t="s">
        <v>17</v>
      </c>
      <c r="S27" s="770">
        <f>F27</f>
        <v>100</v>
      </c>
      <c r="T27" s="769" t="s">
        <v>17</v>
      </c>
      <c r="U27" s="770">
        <f>H27</f>
        <v>100</v>
      </c>
      <c r="V27" s="769" t="s">
        <v>17</v>
      </c>
      <c r="W27" s="770">
        <f>J27</f>
        <v>100</v>
      </c>
      <c r="X27" s="771"/>
      <c r="Y27" s="3267"/>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65"/>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67"/>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65"/>
      <c r="Q29" s="1806">
        <f t="shared" si="11"/>
        <v>111</v>
      </c>
      <c r="R29" s="773" t="s">
        <v>17</v>
      </c>
      <c r="S29" s="774">
        <f t="shared" si="12"/>
        <v>100</v>
      </c>
      <c r="T29" s="773" t="s">
        <v>17</v>
      </c>
      <c r="U29" s="774">
        <f t="shared" si="13"/>
        <v>100</v>
      </c>
      <c r="V29" s="773" t="s">
        <v>17</v>
      </c>
      <c r="W29" s="774">
        <f t="shared" si="14"/>
        <v>100</v>
      </c>
      <c r="X29" s="1809"/>
      <c r="Y29" s="3267"/>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65"/>
      <c r="Q30" s="1806">
        <f t="shared" si="11"/>
        <v>111</v>
      </c>
      <c r="R30" s="773" t="s">
        <v>17</v>
      </c>
      <c r="S30" s="774">
        <f t="shared" si="12"/>
        <v>100</v>
      </c>
      <c r="T30" s="773" t="s">
        <v>17</v>
      </c>
      <c r="U30" s="774">
        <f t="shared" si="13"/>
        <v>100</v>
      </c>
      <c r="V30" s="773" t="s">
        <v>17</v>
      </c>
      <c r="W30" s="774">
        <f t="shared" si="14"/>
        <v>100</v>
      </c>
      <c r="X30" s="1809"/>
      <c r="Y30" s="3267"/>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65"/>
      <c r="Q31" s="1806">
        <f t="shared" si="11"/>
        <v>111</v>
      </c>
      <c r="R31" s="773" t="s">
        <v>17</v>
      </c>
      <c r="S31" s="774">
        <f t="shared" si="12"/>
        <v>100</v>
      </c>
      <c r="T31" s="773" t="s">
        <v>17</v>
      </c>
      <c r="U31" s="774">
        <f t="shared" si="13"/>
        <v>100</v>
      </c>
      <c r="V31" s="773" t="s">
        <v>17</v>
      </c>
      <c r="W31" s="774">
        <f t="shared" si="14"/>
        <v>100</v>
      </c>
      <c r="X31" s="1809"/>
      <c r="Y31" s="3267"/>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68" t="s">
        <v>2564</v>
      </c>
      <c r="Q32" s="1806" t="str">
        <f t="shared" si="11"/>
        <v>商业类型</v>
      </c>
      <c r="R32" s="773" t="s">
        <v>17</v>
      </c>
      <c r="S32" s="774">
        <f t="shared" si="12"/>
        <v>100</v>
      </c>
      <c r="T32" s="773" t="s">
        <v>17</v>
      </c>
      <c r="U32" s="774">
        <f t="shared" si="13"/>
        <v>100</v>
      </c>
      <c r="V32" s="773" t="s">
        <v>17</v>
      </c>
      <c r="W32" s="774">
        <f t="shared" si="14"/>
        <v>100</v>
      </c>
      <c r="X32" s="1809"/>
      <c r="Y32" s="3271"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69"/>
      <c r="Q33" s="775" t="str">
        <f t="shared" si="11"/>
        <v>项目建筑规模</v>
      </c>
      <c r="R33" s="776" t="s">
        <v>17</v>
      </c>
      <c r="S33" s="777" t="e">
        <f t="shared" si="12"/>
        <v>#N/A</v>
      </c>
      <c r="T33" s="776" t="s">
        <v>17</v>
      </c>
      <c r="U33" s="777" t="e">
        <f t="shared" si="13"/>
        <v>#N/A</v>
      </c>
      <c r="V33" s="776" t="s">
        <v>17</v>
      </c>
      <c r="W33" s="777" t="e">
        <f t="shared" si="14"/>
        <v>#N/A</v>
      </c>
      <c r="X33" s="778"/>
      <c r="Y33" s="3271"/>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69"/>
      <c r="Q34" s="1806" t="str">
        <f t="shared" si="11"/>
        <v>建筑结构</v>
      </c>
      <c r="R34" s="773" t="s">
        <v>17</v>
      </c>
      <c r="S34" s="774">
        <f t="shared" si="12"/>
        <v>100</v>
      </c>
      <c r="T34" s="773" t="s">
        <v>17</v>
      </c>
      <c r="U34" s="774">
        <f t="shared" si="13"/>
        <v>100</v>
      </c>
      <c r="V34" s="773" t="s">
        <v>17</v>
      </c>
      <c r="W34" s="774">
        <f t="shared" si="14"/>
        <v>100</v>
      </c>
      <c r="X34" s="1809"/>
      <c r="Y34" s="3271"/>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69"/>
      <c r="Q35" s="1806" t="str">
        <f t="shared" si="11"/>
        <v>公共部分装修</v>
      </c>
      <c r="R35" s="773" t="s">
        <v>17</v>
      </c>
      <c r="S35" s="774">
        <f t="shared" si="12"/>
        <v>100</v>
      </c>
      <c r="T35" s="773" t="s">
        <v>17</v>
      </c>
      <c r="U35" s="774">
        <f t="shared" si="13"/>
        <v>100</v>
      </c>
      <c r="V35" s="773" t="s">
        <v>17</v>
      </c>
      <c r="W35" s="774">
        <f t="shared" si="14"/>
        <v>100</v>
      </c>
      <c r="X35" s="1809"/>
      <c r="Y35" s="3271"/>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69"/>
      <c r="Q36" s="1806" t="str">
        <f t="shared" si="11"/>
        <v>成新度</v>
      </c>
      <c r="R36" s="773" t="s">
        <v>17</v>
      </c>
      <c r="S36" s="774" t="e">
        <f t="shared" si="12"/>
        <v>#N/A</v>
      </c>
      <c r="T36" s="773" t="s">
        <v>17</v>
      </c>
      <c r="U36" s="774" t="e">
        <f t="shared" si="13"/>
        <v>#N/A</v>
      </c>
      <c r="V36" s="773" t="s">
        <v>17</v>
      </c>
      <c r="W36" s="774" t="e">
        <f t="shared" si="14"/>
        <v>#N/A</v>
      </c>
      <c r="X36" s="1809"/>
      <c r="Y36" s="3271"/>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69"/>
      <c r="Q37" s="1791" t="str">
        <f t="shared" si="11"/>
        <v>市政基础设施</v>
      </c>
      <c r="R37" s="769" t="s">
        <v>17</v>
      </c>
      <c r="S37" s="770">
        <f t="shared" si="12"/>
        <v>100</v>
      </c>
      <c r="T37" s="769" t="s">
        <v>17</v>
      </c>
      <c r="U37" s="770">
        <f t="shared" si="13"/>
        <v>100</v>
      </c>
      <c r="V37" s="769" t="s">
        <v>17</v>
      </c>
      <c r="W37" s="770">
        <f t="shared" si="14"/>
        <v>100</v>
      </c>
      <c r="X37" s="771"/>
      <c r="Y37" s="3271"/>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69" t="s">
        <v>2564</v>
      </c>
      <c r="Q38" s="1806" t="str">
        <f t="shared" si="11"/>
        <v>业态</v>
      </c>
      <c r="R38" s="773" t="s">
        <v>17</v>
      </c>
      <c r="S38" s="774">
        <f t="shared" si="12"/>
        <v>100</v>
      </c>
      <c r="T38" s="773" t="s">
        <v>17</v>
      </c>
      <c r="U38" s="774">
        <f t="shared" si="13"/>
        <v>100</v>
      </c>
      <c r="V38" s="773" t="s">
        <v>17</v>
      </c>
      <c r="W38" s="774">
        <f t="shared" si="14"/>
        <v>100</v>
      </c>
      <c r="X38" s="1809"/>
      <c r="Y38" s="3271"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69"/>
      <c r="Q39" s="1806" t="str">
        <f t="shared" si="11"/>
        <v>层高</v>
      </c>
      <c r="R39" s="773" t="s">
        <v>17</v>
      </c>
      <c r="S39" s="774">
        <f t="shared" si="12"/>
        <v>100</v>
      </c>
      <c r="T39" s="773" t="s">
        <v>17</v>
      </c>
      <c r="U39" s="774">
        <f t="shared" si="13"/>
        <v>100</v>
      </c>
      <c r="V39" s="773" t="s">
        <v>17</v>
      </c>
      <c r="W39" s="774">
        <f t="shared" si="14"/>
        <v>100</v>
      </c>
      <c r="X39" s="1809"/>
      <c r="Y39" s="3271"/>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69"/>
      <c r="Q40" s="1806" t="str">
        <f t="shared" si="11"/>
        <v>单套建筑面积</v>
      </c>
      <c r="R40" s="773" t="s">
        <v>17</v>
      </c>
      <c r="S40" s="774">
        <f t="shared" si="12"/>
        <v>100</v>
      </c>
      <c r="T40" s="773" t="s">
        <v>17</v>
      </c>
      <c r="U40" s="774">
        <f t="shared" si="13"/>
        <v>100</v>
      </c>
      <c r="V40" s="773" t="s">
        <v>17</v>
      </c>
      <c r="W40" s="774">
        <f t="shared" si="14"/>
        <v>100</v>
      </c>
      <c r="X40" s="1809"/>
      <c r="Y40" s="3271"/>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69"/>
      <c r="Q41" s="775" t="str">
        <f t="shared" si="11"/>
        <v>进深比</v>
      </c>
      <c r="R41" s="776" t="s">
        <v>17</v>
      </c>
      <c r="S41" s="777">
        <f t="shared" si="12"/>
        <v>100</v>
      </c>
      <c r="T41" s="776" t="s">
        <v>17</v>
      </c>
      <c r="U41" s="777">
        <f t="shared" si="13"/>
        <v>100</v>
      </c>
      <c r="V41" s="776" t="s">
        <v>17</v>
      </c>
      <c r="W41" s="777">
        <f t="shared" si="14"/>
        <v>100</v>
      </c>
      <c r="X41" s="778"/>
      <c r="Y41" s="3271"/>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69"/>
      <c r="Q42" s="1806" t="str">
        <f t="shared" si="11"/>
        <v>内部装修</v>
      </c>
      <c r="R42" s="773" t="s">
        <v>17</v>
      </c>
      <c r="S42" s="774">
        <f t="shared" si="12"/>
        <v>100</v>
      </c>
      <c r="T42" s="773" t="s">
        <v>17</v>
      </c>
      <c r="U42" s="774">
        <f t="shared" si="13"/>
        <v>100</v>
      </c>
      <c r="V42" s="773" t="s">
        <v>17</v>
      </c>
      <c r="W42" s="774">
        <f t="shared" si="14"/>
        <v>100</v>
      </c>
      <c r="X42" s="1809"/>
      <c r="Y42" s="3271"/>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69"/>
      <c r="Q43" s="1806" t="str">
        <f t="shared" si="11"/>
        <v>内部装修维护情况</v>
      </c>
      <c r="R43" s="773" t="s">
        <v>17</v>
      </c>
      <c r="S43" s="774">
        <f t="shared" si="12"/>
        <v>100</v>
      </c>
      <c r="T43" s="773" t="s">
        <v>17</v>
      </c>
      <c r="U43" s="774">
        <f t="shared" si="13"/>
        <v>100</v>
      </c>
      <c r="V43" s="773" t="s">
        <v>17</v>
      </c>
      <c r="W43" s="774">
        <f t="shared" si="14"/>
        <v>100</v>
      </c>
      <c r="X43" s="1809"/>
      <c r="Y43" s="3271"/>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69"/>
      <c r="Q44" s="1791">
        <f t="shared" si="11"/>
        <v>111</v>
      </c>
      <c r="R44" s="769" t="s">
        <v>17</v>
      </c>
      <c r="S44" s="770">
        <f t="shared" si="12"/>
        <v>100</v>
      </c>
      <c r="T44" s="769" t="s">
        <v>17</v>
      </c>
      <c r="U44" s="770">
        <f t="shared" si="13"/>
        <v>100</v>
      </c>
      <c r="V44" s="769" t="s">
        <v>17</v>
      </c>
      <c r="W44" s="770">
        <f t="shared" si="14"/>
        <v>100</v>
      </c>
      <c r="X44" s="771"/>
      <c r="Y44" s="3271"/>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69"/>
      <c r="Q45" s="1806">
        <f t="shared" si="11"/>
        <v>111</v>
      </c>
      <c r="R45" s="773" t="s">
        <v>17</v>
      </c>
      <c r="S45" s="774">
        <f t="shared" si="12"/>
        <v>100</v>
      </c>
      <c r="T45" s="773" t="s">
        <v>17</v>
      </c>
      <c r="U45" s="774">
        <f t="shared" si="13"/>
        <v>100</v>
      </c>
      <c r="V45" s="773" t="s">
        <v>17</v>
      </c>
      <c r="W45" s="774">
        <f t="shared" si="14"/>
        <v>100</v>
      </c>
      <c r="X45" s="1809"/>
      <c r="Y45" s="3271"/>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0"/>
      <c r="Q46" s="1806">
        <f t="shared" si="11"/>
        <v>111</v>
      </c>
      <c r="R46" s="773" t="s">
        <v>17</v>
      </c>
      <c r="S46" s="774">
        <f t="shared" si="12"/>
        <v>100</v>
      </c>
      <c r="T46" s="773" t="s">
        <v>17</v>
      </c>
      <c r="U46" s="774">
        <f t="shared" si="13"/>
        <v>100</v>
      </c>
      <c r="V46" s="773" t="s">
        <v>17</v>
      </c>
      <c r="W46" s="774">
        <f t="shared" si="14"/>
        <v>100</v>
      </c>
      <c r="X46" s="1809"/>
      <c r="Y46" s="3272"/>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59" t="str">
        <f>A47</f>
        <v>成交单价（元/平方米）</v>
      </c>
      <c r="Q47" s="3259"/>
      <c r="R47" s="3293">
        <f>E47</f>
        <v>0</v>
      </c>
      <c r="S47" s="3293"/>
      <c r="T47" s="3293">
        <f>G47</f>
        <v>0</v>
      </c>
      <c r="U47" s="3293"/>
      <c r="V47" s="3293">
        <f>I47</f>
        <v>0</v>
      </c>
      <c r="W47" s="3293"/>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310" t="str">
        <f>A49</f>
        <v>估价对象XX用房的比较价值（楼面单价，元/平方米）</v>
      </c>
      <c r="Q49" s="3311"/>
      <c r="R49" s="3312" t="e">
        <f>IF(F1="售价",ROUND(AVERAGE(R48:V48),0),ROUND(AVERAGE(R48:V48),1))</f>
        <v>#DIV/0!</v>
      </c>
      <c r="S49" s="3312"/>
      <c r="T49" s="3312"/>
      <c r="U49" s="3312"/>
      <c r="V49" s="3312"/>
      <c r="W49" s="3312"/>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17" sqref="K11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3436</v>
      </c>
      <c r="H1" s="2412" t="str">
        <f>IF(G1="现房","——","估价对象范围")</f>
        <v>——</v>
      </c>
      <c r="I1" s="2413"/>
    </row>
    <row r="2" spans="1:12" ht="21.75" customHeight="1" thickBot="1">
      <c r="A2" s="3190" t="str">
        <f>项目基本情况!S2</f>
        <v>北京市大兴区黄村镇房地产</v>
      </c>
      <c r="B2" s="3191"/>
      <c r="C2" s="3191"/>
      <c r="D2" s="3191"/>
      <c r="E2" s="3191"/>
      <c r="F2" s="3191"/>
      <c r="G2" s="3191"/>
      <c r="H2" s="3191"/>
      <c r="I2" s="3192"/>
    </row>
    <row r="3" spans="1:12" ht="12.75">
      <c r="A3" s="3194" t="s">
        <v>2118</v>
      </c>
      <c r="B3" s="3195"/>
      <c r="C3" s="3195"/>
      <c r="D3" s="3195"/>
      <c r="E3" s="3195"/>
      <c r="F3" s="3195"/>
      <c r="G3" s="3195"/>
      <c r="H3" s="3195"/>
      <c r="I3" s="3195"/>
    </row>
    <row r="4" spans="1:12" ht="14.25">
      <c r="A4" s="2416" t="s">
        <v>2119</v>
      </c>
      <c r="B4" s="2417" t="s">
        <v>2120</v>
      </c>
      <c r="C4" s="2418" t="s">
        <v>3429</v>
      </c>
      <c r="D4" s="2418" t="s">
        <v>3423</v>
      </c>
      <c r="E4" s="3187" t="s">
        <v>2121</v>
      </c>
      <c r="F4" s="3188"/>
      <c r="G4" s="3188"/>
      <c r="H4" s="3188"/>
      <c r="I4" s="3196"/>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70" t="s">
        <v>2122</v>
      </c>
      <c r="B5" s="3108">
        <v>25</v>
      </c>
      <c r="C5" s="3173"/>
      <c r="D5" s="3193"/>
      <c r="E5" s="139" t="s">
        <v>2123</v>
      </c>
      <c r="F5" s="2420"/>
      <c r="G5" s="2420"/>
      <c r="H5" s="2420"/>
      <c r="I5" s="1827"/>
    </row>
    <row r="6" spans="1:12" ht="12.75">
      <c r="A6" s="3170"/>
      <c r="B6" s="3108"/>
      <c r="C6" s="3174"/>
      <c r="D6" s="3193"/>
      <c r="E6" s="139" t="s">
        <v>2124</v>
      </c>
      <c r="F6" s="2420"/>
      <c r="G6" s="2420"/>
      <c r="H6" s="2420"/>
      <c r="I6" s="1827"/>
    </row>
    <row r="7" spans="1:12" ht="12.75">
      <c r="A7" s="3170"/>
      <c r="B7" s="3108"/>
      <c r="C7" s="3175"/>
      <c r="D7" s="3193"/>
      <c r="E7" s="139" t="s">
        <v>2125</v>
      </c>
      <c r="F7" s="2420"/>
      <c r="G7" s="2420"/>
      <c r="H7" s="2420"/>
      <c r="I7" s="1827"/>
    </row>
    <row r="8" spans="1:12" ht="12.75">
      <c r="A8" s="3170" t="s">
        <v>2126</v>
      </c>
      <c r="B8" s="3108">
        <v>15</v>
      </c>
      <c r="C8" s="3173"/>
      <c r="D8" s="3193"/>
      <c r="E8" s="139" t="s">
        <v>2127</v>
      </c>
      <c r="F8" s="2420"/>
      <c r="G8" s="2420"/>
      <c r="H8" s="2420"/>
      <c r="I8" s="1827"/>
    </row>
    <row r="9" spans="1:12" ht="12.75">
      <c r="A9" s="3170"/>
      <c r="B9" s="3108"/>
      <c r="C9" s="3175"/>
      <c r="D9" s="3193"/>
      <c r="E9" s="139" t="s">
        <v>2128</v>
      </c>
      <c r="F9" s="2420"/>
      <c r="G9" s="2420"/>
      <c r="H9" s="2420"/>
      <c r="I9" s="1827"/>
    </row>
    <row r="10" spans="1:12" ht="12.75">
      <c r="A10" s="3170" t="s">
        <v>2129</v>
      </c>
      <c r="B10" s="3108">
        <v>15</v>
      </c>
      <c r="C10" s="3173"/>
      <c r="D10" s="3193"/>
      <c r="E10" s="139" t="s">
        <v>2130</v>
      </c>
      <c r="F10" s="2420"/>
      <c r="G10" s="2420"/>
      <c r="H10" s="2420"/>
      <c r="I10" s="1827"/>
    </row>
    <row r="11" spans="1:12" ht="12.75">
      <c r="A11" s="3170"/>
      <c r="B11" s="3108"/>
      <c r="C11" s="3175"/>
      <c r="D11" s="3193"/>
      <c r="E11" s="139" t="s">
        <v>2131</v>
      </c>
      <c r="F11" s="2420"/>
      <c r="G11" s="2420"/>
      <c r="H11" s="2420"/>
      <c r="I11" s="1827"/>
    </row>
    <row r="12" spans="1:12" ht="12.75">
      <c r="A12" s="3170" t="s">
        <v>2132</v>
      </c>
      <c r="B12" s="3108">
        <v>15</v>
      </c>
      <c r="C12" s="3173"/>
      <c r="D12" s="3193"/>
      <c r="E12" s="139" t="s">
        <v>2133</v>
      </c>
      <c r="F12" s="2420"/>
      <c r="G12" s="2420"/>
      <c r="H12" s="2420"/>
      <c r="I12" s="1827"/>
    </row>
    <row r="13" spans="1:12" ht="12.75">
      <c r="A13" s="3170"/>
      <c r="B13" s="3108"/>
      <c r="C13" s="3175"/>
      <c r="D13" s="3193"/>
      <c r="E13" s="139" t="s">
        <v>2134</v>
      </c>
      <c r="F13" s="2420"/>
      <c r="G13" s="2420"/>
      <c r="H13" s="2420"/>
      <c r="I13" s="1827"/>
    </row>
    <row r="14" spans="1:12" ht="12.75">
      <c r="A14" s="3170" t="s">
        <v>2135</v>
      </c>
      <c r="B14" s="3108">
        <v>30</v>
      </c>
      <c r="C14" s="3173">
        <v>4</v>
      </c>
      <c r="D14" s="3193">
        <v>6</v>
      </c>
      <c r="E14" s="139" t="s">
        <v>2136</v>
      </c>
      <c r="F14" s="2420"/>
      <c r="G14" s="2420"/>
      <c r="H14" s="2420"/>
      <c r="I14" s="1827"/>
    </row>
    <row r="15" spans="1:12" ht="12.75">
      <c r="A15" s="3170"/>
      <c r="B15" s="3108"/>
      <c r="C15" s="3174"/>
      <c r="D15" s="3193"/>
      <c r="E15" s="139" t="s">
        <v>2137</v>
      </c>
      <c r="F15" s="2420"/>
      <c r="G15" s="2420"/>
      <c r="H15" s="2420"/>
      <c r="I15" s="1827"/>
    </row>
    <row r="16" spans="1:12" ht="12.75">
      <c r="A16" s="3170"/>
      <c r="B16" s="3108"/>
      <c r="C16" s="3175"/>
      <c r="D16" s="3193"/>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3026.9400000000051</v>
      </c>
      <c r="M18" s="2419">
        <f>IF(C1="",'数据-汇总表'!E3,SUMIF(项目类型,C1,'数据-汇总表'!E17:E26))</f>
        <v>3026.9400000000051</v>
      </c>
    </row>
    <row r="19" spans="1:35" ht="15">
      <c r="A19" s="2425" t="s">
        <v>2144</v>
      </c>
      <c r="B19" s="2426" t="s">
        <v>2145</v>
      </c>
      <c r="C19" s="142">
        <f ca="1">SUMIF(INDIRECT("'"&amp;C4&amp;"'"&amp;"!A:A"),'结果表（地下车库）'!B19,INDIRECT("'"&amp;C4&amp;"'"&amp;"!B:B"))</f>
        <v>1469</v>
      </c>
      <c r="D19" s="143">
        <f ca="1">SUMIF(INDIRECT("'"&amp;D4&amp;"'"&amp;"!A:A"),'结果表（地下车库）'!B19,INDIRECT("'"&amp;D4&amp;"'"&amp;"!B:B"))</f>
        <v>2763</v>
      </c>
      <c r="E19" s="2425" t="s">
        <v>2146</v>
      </c>
      <c r="F19" s="2426" t="s">
        <v>2145</v>
      </c>
      <c r="G19" s="144">
        <f ca="1">ROUND(C19*$C$18+D19*$D$18,0)</f>
        <v>2245</v>
      </c>
      <c r="H19" s="2427" t="s">
        <v>2147</v>
      </c>
      <c r="I19" s="137"/>
      <c r="K19" s="2419" t="s">
        <v>2148</v>
      </c>
      <c r="L19" s="2419">
        <f>IF(C1="",'数据-汇总表'!D3,SUMIF(项目类型,C1,'数据-汇总表'!D17:D26)+SUMIF(项目类型,C1,'数据-汇总表'!H17:H27))</f>
        <v>486.95</v>
      </c>
      <c r="M19" s="2419">
        <f>IF(C1="",'数据-汇总表'!D3,SUMIF(项目类型,C1,'数据-汇总表'!D17:D26))</f>
        <v>486.95</v>
      </c>
    </row>
    <row r="20" spans="1:35" ht="15">
      <c r="A20" s="2428"/>
      <c r="B20" s="1243" t="s">
        <v>2149</v>
      </c>
      <c r="C20" s="145">
        <f ca="1">SUMIF(INDIRECT("'"&amp;C4&amp;"'"&amp;"!A:A"),'结果表（地下车库）'!B20,INDIRECT("'"&amp;C4&amp;"'"&amp;"!B:B"))</f>
        <v>4853</v>
      </c>
      <c r="D20" s="146">
        <f ca="1">SUMIF(INDIRECT("'"&amp;D4&amp;"'"&amp;"!A:A"),'结果表（地下车库）'!B20,INDIRECT("'"&amp;D4&amp;"'"&amp;"!B:B"))</f>
        <v>9128</v>
      </c>
      <c r="E20" s="2428"/>
      <c r="F20" s="1243" t="s">
        <v>2149</v>
      </c>
      <c r="G20" s="147">
        <f ca="1">ROUND(C20*$C$18+D20*$D$18,0)</f>
        <v>7418</v>
      </c>
      <c r="H20" s="976" t="s">
        <v>2150</v>
      </c>
      <c r="I20" s="137"/>
    </row>
    <row r="21" spans="1:35" ht="15" customHeight="1" thickBot="1">
      <c r="A21" s="996"/>
      <c r="B21" s="2429" t="s">
        <v>2151</v>
      </c>
      <c r="C21" s="788">
        <f ca="1">ROUND(C19*10000/L19,0)</f>
        <v>30167</v>
      </c>
      <c r="D21" s="789">
        <f ca="1">ROUND(D19*10000/L19,0)</f>
        <v>56741</v>
      </c>
      <c r="E21" s="996"/>
      <c r="F21" s="2429" t="s">
        <v>2151</v>
      </c>
      <c r="G21" s="148">
        <f ca="1">ROUND(G19*10000/L19,0)</f>
        <v>46103</v>
      </c>
      <c r="H21" s="2430" t="s">
        <v>2150</v>
      </c>
      <c r="I21" s="137"/>
    </row>
    <row r="22" spans="1:35" ht="15" thickBot="1">
      <c r="A22" s="2273" t="s">
        <v>2152</v>
      </c>
      <c r="B22" s="2431"/>
      <c r="C22" s="2432"/>
      <c r="D22" s="790">
        <f ca="1">IF(C19&lt;D19,D19/C19-1,C19/D19-1)</f>
        <v>0.8808713410483322</v>
      </c>
      <c r="E22" s="137"/>
      <c r="F22" s="137"/>
      <c r="G22" s="137"/>
      <c r="H22" s="137"/>
      <c r="I22" s="137"/>
    </row>
    <row r="23" spans="1:35" ht="13.5" thickBot="1">
      <c r="A23" s="2409"/>
      <c r="B23" s="2409"/>
      <c r="C23" s="2409"/>
      <c r="D23" s="2409"/>
      <c r="E23" s="137"/>
      <c r="F23" s="137"/>
      <c r="G23" s="137"/>
      <c r="H23" s="137"/>
      <c r="I23" s="137"/>
    </row>
    <row r="24" spans="1:35" ht="14.25">
      <c r="A24" s="3164" t="s">
        <v>2153</v>
      </c>
      <c r="B24" s="2426" t="s">
        <v>2145</v>
      </c>
      <c r="C24" s="144">
        <f>IF(B30=0,0,D30)</f>
        <v>0</v>
      </c>
      <c r="D24" s="2433"/>
      <c r="E24" s="137"/>
      <c r="F24" s="137"/>
      <c r="G24" s="137"/>
      <c r="H24" s="137"/>
      <c r="I24" s="137"/>
    </row>
    <row r="25" spans="1:35" ht="14.25">
      <c r="A25" s="3165"/>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2245</v>
      </c>
      <c r="D32" s="2440" t="s">
        <v>2160</v>
      </c>
      <c r="E32" s="137"/>
      <c r="F32" s="137"/>
      <c r="G32" s="137"/>
      <c r="H32" s="137"/>
      <c r="I32" s="137"/>
    </row>
    <row r="33" spans="1:15" ht="15">
      <c r="A33" s="953" t="s">
        <v>2161</v>
      </c>
      <c r="B33" s="2441"/>
      <c r="C33" s="2442" t="s">
        <v>3437</v>
      </c>
      <c r="D33" s="2443" t="s">
        <v>3429</v>
      </c>
      <c r="E33" s="2444" t="s">
        <v>2162</v>
      </c>
      <c r="F33" s="2970" t="str">
        <f>IF(D32="楼面单价","取值（单价）","取值（总价）")</f>
        <v>取值（总价）</v>
      </c>
      <c r="G33" s="137"/>
      <c r="H33" s="137"/>
      <c r="I33" s="137"/>
    </row>
    <row r="34" spans="1:15" ht="15">
      <c r="A34" s="2446"/>
      <c r="B34" s="2447" t="s">
        <v>2163</v>
      </c>
      <c r="C34" s="156">
        <f ca="1">IF(C33="自定义",F34,C32-C35)</f>
        <v>595</v>
      </c>
      <c r="D34" s="1051">
        <f ca="1">IF(C33="自定义",ROUND(C34/C32,3),IF(C33="收益比率",SUMIF(INDIRECT("'"&amp;D33&amp;"'"&amp;"!b:b"),"土地收益比率",INDIRECT("'"&amp;D33&amp;"'"&amp;"!c:c")),SUMIF(INDIRECT("'"&amp;D33&amp;"'"&amp;"!b:b"),"土地成本比率",INDIRECT("'"&amp;D33&amp;"'"&amp;"!c:c"))))</f>
        <v>0.26500000000000001</v>
      </c>
      <c r="E34" s="2448" t="s">
        <v>2164</v>
      </c>
      <c r="F34" s="1732"/>
      <c r="G34" s="137"/>
      <c r="H34" s="137"/>
      <c r="I34" s="137"/>
    </row>
    <row r="35" spans="1:15" ht="15.75" thickBot="1">
      <c r="A35" s="2449"/>
      <c r="B35" s="2450" t="s">
        <v>2165</v>
      </c>
      <c r="C35" s="1437">
        <f ca="1">IF(C33="自定义",F35,ROUND(C32*D35,0))</f>
        <v>1650</v>
      </c>
      <c r="D35" s="1438">
        <f ca="1">IF(C33="自定义",ROUND(C35/C32,3),IF(C33="收益比率",SUMIF(INDIRECT("'"&amp;D33&amp;"'"&amp;"!b:b"),"建筑物收益比率",INDIRECT("'"&amp;D33&amp;"'"&amp;"!c:c")),SUMIF(INDIRECT("'"&amp;D33&amp;"'"&amp;"!b:b"),"建筑物成本比率",INDIRECT("'"&amp;D33&amp;"'"&amp;"!c:c"))))</f>
        <v>0.73499999999999999</v>
      </c>
      <c r="E35" s="2451" t="s">
        <v>2166</v>
      </c>
      <c r="F35" s="162"/>
      <c r="G35" s="137"/>
      <c r="H35" s="137"/>
      <c r="I35" s="137"/>
    </row>
    <row r="36" spans="1:15" ht="15.75" thickBot="1">
      <c r="A36" s="3182" t="s">
        <v>2167</v>
      </c>
      <c r="B36" s="2452" t="s">
        <v>2168</v>
      </c>
      <c r="C36" s="153"/>
      <c r="D36" s="2453"/>
      <c r="E36" s="2454"/>
      <c r="F36" s="2455"/>
      <c r="G36" s="137"/>
      <c r="H36" s="137"/>
      <c r="I36" s="137"/>
    </row>
    <row r="37" spans="1:15" ht="15.75" thickBot="1">
      <c r="A37" s="3183"/>
      <c r="B37" s="2259" t="s">
        <v>2169</v>
      </c>
      <c r="C37" s="155"/>
      <c r="D37" s="1388"/>
      <c r="E37" s="1388"/>
      <c r="F37" s="2455"/>
      <c r="G37" s="137"/>
      <c r="H37" s="137"/>
      <c r="I37" s="137"/>
    </row>
    <row r="38" spans="1:15" ht="15.75" thickBot="1">
      <c r="A38" s="3184"/>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61" t="s">
        <v>2181</v>
      </c>
      <c r="B45" s="3162"/>
      <c r="C45" s="3163"/>
      <c r="D45" s="163">
        <f ca="1">ROUND(H101*F45,0)</f>
        <v>2245</v>
      </c>
      <c r="E45" s="164" t="s">
        <v>2182</v>
      </c>
      <c r="F45" s="165">
        <v>1</v>
      </c>
      <c r="G45" s="166" t="s">
        <v>2183</v>
      </c>
      <c r="H45" s="137"/>
      <c r="I45" s="137"/>
      <c r="J45" s="3221" t="s">
        <v>2184</v>
      </c>
      <c r="K45" s="3221"/>
      <c r="L45" s="3221"/>
      <c r="M45" s="3221"/>
      <c r="N45" s="3221"/>
      <c r="O45" s="3221"/>
    </row>
    <row r="46" spans="1:15" ht="14.25" customHeight="1">
      <c r="A46" s="3158" t="s">
        <v>2185</v>
      </c>
      <c r="B46" s="3159"/>
      <c r="C46" s="3159"/>
      <c r="D46" s="3159"/>
      <c r="E46" s="3159"/>
      <c r="F46" s="3159"/>
      <c r="G46" s="3160"/>
      <c r="H46" s="2471"/>
      <c r="I46" s="167"/>
      <c r="J46" s="2982">
        <v>1</v>
      </c>
      <c r="K46" s="3221" t="s">
        <v>2186</v>
      </c>
      <c r="L46" s="3221"/>
      <c r="M46" s="3241"/>
      <c r="N46" s="3241"/>
      <c r="O46" s="3241"/>
    </row>
    <row r="47" spans="1:15" ht="12" customHeight="1">
      <c r="A47" s="168" t="s">
        <v>2187</v>
      </c>
      <c r="B47" s="169"/>
      <c r="C47" s="170"/>
      <c r="D47" s="171" t="s">
        <v>2188</v>
      </c>
      <c r="E47" s="23" t="s">
        <v>2189</v>
      </c>
      <c r="F47" s="172" t="s">
        <v>2190</v>
      </c>
      <c r="G47" s="173" t="s">
        <v>2191</v>
      </c>
      <c r="H47" s="2471"/>
      <c r="I47" s="167"/>
      <c r="J47" s="2982">
        <v>2</v>
      </c>
      <c r="K47" s="3221" t="s">
        <v>2192</v>
      </c>
      <c r="L47" s="3221"/>
      <c r="M47" s="3242">
        <f>'数据-取费表'!B2</f>
        <v>43182</v>
      </c>
      <c r="N47" s="3242"/>
      <c r="O47" s="3242"/>
    </row>
    <row r="48" spans="1:15" ht="25.5">
      <c r="A48" s="3189" t="s">
        <v>2193</v>
      </c>
      <c r="B48" s="3172"/>
      <c r="C48" s="3172"/>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221" t="s">
        <v>2196</v>
      </c>
      <c r="L48" s="3221"/>
      <c r="M48" s="3243">
        <f ca="1">H101</f>
        <v>2245</v>
      </c>
      <c r="N48" s="3243"/>
      <c r="O48" s="3243"/>
    </row>
    <row r="49" spans="1:35" ht="25.5" customHeight="1">
      <c r="A49" s="175" t="s">
        <v>2197</v>
      </c>
      <c r="B49" s="3157" t="s">
        <v>2198</v>
      </c>
      <c r="C49" s="3157"/>
      <c r="D49" s="176">
        <v>0</v>
      </c>
      <c r="E49" s="22" t="s">
        <v>2199</v>
      </c>
      <c r="F49" s="27" t="s">
        <v>34</v>
      </c>
      <c r="G49" s="3227"/>
      <c r="H49" s="137"/>
      <c r="I49" s="2474"/>
      <c r="J49" s="2982">
        <v>4</v>
      </c>
      <c r="K49" s="3221" t="str">
        <f>IF(项目基本情况!E8="房地产抵押价值","房地产抵押价值","抵押担保权已注销时的房地产抵押价值")</f>
        <v>抵押担保权已注销时的房地产抵押价值</v>
      </c>
      <c r="L49" s="3221"/>
      <c r="M49" s="3243">
        <f ca="1">IF(项目基本情况!E8="房地产抵押价值",H107,H109)</f>
        <v>2245</v>
      </c>
      <c r="N49" s="3243"/>
      <c r="O49" s="3243"/>
    </row>
    <row r="50" spans="1:35" ht="25.5" customHeight="1">
      <c r="A50" s="177"/>
      <c r="B50" s="3157" t="s">
        <v>2200</v>
      </c>
      <c r="C50" s="3157"/>
      <c r="D50" s="178"/>
      <c r="E50" s="30"/>
      <c r="F50" s="179"/>
      <c r="G50" s="3228"/>
      <c r="H50" s="137"/>
      <c r="I50" s="2474"/>
      <c r="J50" s="3221" t="s">
        <v>2201</v>
      </c>
      <c r="K50" s="3221"/>
      <c r="L50" s="3221"/>
      <c r="M50" s="3221"/>
      <c r="N50" s="3221"/>
      <c r="O50" s="3221"/>
    </row>
    <row r="51" spans="1:35" ht="12" customHeight="1">
      <c r="A51" s="180"/>
      <c r="B51" s="3157" t="s">
        <v>2202</v>
      </c>
      <c r="C51" s="3157"/>
      <c r="D51" s="181"/>
      <c r="E51" s="29"/>
      <c r="F51" s="179"/>
      <c r="G51" s="3229"/>
      <c r="H51" s="137"/>
      <c r="I51" s="2474"/>
      <c r="J51" s="2981" t="s">
        <v>2203</v>
      </c>
      <c r="K51" s="3221" t="s">
        <v>2204</v>
      </c>
      <c r="L51" s="3221"/>
      <c r="M51" s="2981" t="s">
        <v>2205</v>
      </c>
      <c r="N51" s="2981" t="s">
        <v>2206</v>
      </c>
      <c r="O51" s="2981" t="s">
        <v>2207</v>
      </c>
    </row>
    <row r="52" spans="1:35" ht="24" customHeight="1">
      <c r="A52" s="182" t="s">
        <v>2208</v>
      </c>
      <c r="B52" s="3157" t="s">
        <v>2209</v>
      </c>
      <c r="C52" s="3157"/>
      <c r="D52" s="181">
        <f ca="1">ROUND(D45*'数据-取费表'!B41/(1+'数据-取费表'!C42),0)</f>
        <v>118</v>
      </c>
      <c r="E52" s="11" t="s">
        <v>2210</v>
      </c>
      <c r="F52" s="183">
        <f>'数据-取费表'!B41</f>
        <v>5.5000000000000007E-2</v>
      </c>
      <c r="G52" s="2476"/>
      <c r="H52" s="137"/>
      <c r="I52" s="2474"/>
      <c r="J52" s="2982">
        <v>1</v>
      </c>
      <c r="K52" s="3222" t="s">
        <v>2211</v>
      </c>
      <c r="L52" s="3222"/>
      <c r="M52" s="1747">
        <f>D48</f>
        <v>0</v>
      </c>
      <c r="N52" s="2982" t="str">
        <f>E48</f>
        <v>销售额×税（费）率</v>
      </c>
      <c r="O52" s="1748" t="str">
        <f>F48</f>
        <v>免征</v>
      </c>
    </row>
    <row r="53" spans="1:35" ht="12" customHeight="1">
      <c r="A53" s="182" t="s">
        <v>2212</v>
      </c>
      <c r="B53" s="3180" t="s">
        <v>2213</v>
      </c>
      <c r="C53" s="3181"/>
      <c r="D53" s="181">
        <f ca="1">ROUND(D45*'数据-取费表'!B41/(1+'数据-取费表'!C42),0)</f>
        <v>118</v>
      </c>
      <c r="E53" s="11" t="s">
        <v>2210</v>
      </c>
      <c r="F53" s="183">
        <f>'数据-取费表'!B41</f>
        <v>5.5000000000000007E-2</v>
      </c>
      <c r="G53" s="2476"/>
      <c r="H53" s="137"/>
      <c r="I53" s="2474"/>
      <c r="J53" s="2982">
        <v>2</v>
      </c>
      <c r="K53" s="3222" t="s">
        <v>2214</v>
      </c>
      <c r="L53" s="3222"/>
      <c r="M53" s="1747">
        <f t="shared" ref="M53:O54" ca="1" si="0">D55</f>
        <v>1</v>
      </c>
      <c r="N53" s="2982" t="str">
        <f t="shared" si="0"/>
        <v>销售额×税（费）率</v>
      </c>
      <c r="O53" s="1748">
        <f t="shared" si="0"/>
        <v>5.0000000000000001E-4</v>
      </c>
    </row>
    <row r="54" spans="1:35" ht="12" customHeight="1">
      <c r="A54" s="182" t="s">
        <v>2215</v>
      </c>
      <c r="B54" s="3180" t="s">
        <v>2216</v>
      </c>
      <c r="C54" s="3181"/>
      <c r="D54" s="181">
        <f ca="1">C68</f>
        <v>118</v>
      </c>
      <c r="E54" s="29" t="s">
        <v>2217</v>
      </c>
      <c r="F54" s="183">
        <f>'数据-取费表'!B41</f>
        <v>5.5000000000000007E-2</v>
      </c>
      <c r="G54" s="2476"/>
      <c r="H54" s="2477"/>
      <c r="I54" s="2474"/>
      <c r="J54" s="2982">
        <v>3</v>
      </c>
      <c r="K54" s="3222" t="s">
        <v>2218</v>
      </c>
      <c r="L54" s="3222"/>
      <c r="M54" s="1747">
        <f t="shared" ca="1" si="0"/>
        <v>1272</v>
      </c>
      <c r="N54" s="2982" t="str">
        <f t="shared" si="0"/>
        <v>增值额×税（费）率</v>
      </c>
      <c r="O54" s="1749" t="str">
        <f t="shared" si="0"/>
        <v>——</v>
      </c>
    </row>
    <row r="55" spans="1:35" ht="24" customHeight="1">
      <c r="A55" s="3171" t="s">
        <v>2219</v>
      </c>
      <c r="B55" s="3172"/>
      <c r="C55" s="3172"/>
      <c r="D55" s="184">
        <f ca="1">IF(H55="个人住宅",0,ROUND(D45*I55,0))</f>
        <v>1</v>
      </c>
      <c r="E55" s="11" t="s">
        <v>2220</v>
      </c>
      <c r="F55" s="183">
        <f>IF(H55="正常",I55,"免征")</f>
        <v>5.0000000000000001E-4</v>
      </c>
      <c r="G55" s="2476"/>
      <c r="H55" s="2473" t="s">
        <v>2221</v>
      </c>
      <c r="I55" s="185">
        <f>'数据-取费表'!B49</f>
        <v>5.0000000000000001E-4</v>
      </c>
      <c r="J55" s="2982" t="str">
        <f>IF(H59="非个人房产","",4)</f>
        <v/>
      </c>
      <c r="K55" s="3222" t="str">
        <f>IF(H59="非个人房产","——","个人所得税")</f>
        <v>——</v>
      </c>
      <c r="L55" s="3222"/>
      <c r="M55" s="1750" t="str">
        <f>D59</f>
        <v>——</v>
      </c>
      <c r="N55" s="2983" t="str">
        <f>E59</f>
        <v>——</v>
      </c>
      <c r="O55" s="1751" t="str">
        <f>F59</f>
        <v>——</v>
      </c>
    </row>
    <row r="56" spans="1:35" ht="24.75">
      <c r="A56" s="3171" t="s">
        <v>2222</v>
      </c>
      <c r="B56" s="3172"/>
      <c r="C56" s="3172"/>
      <c r="D56" s="184">
        <f ca="1">IF(H56="个人住宅",D57,D58)</f>
        <v>1272</v>
      </c>
      <c r="E56" s="11" t="s">
        <v>2223</v>
      </c>
      <c r="F56" s="183" t="str">
        <f>IF(H56="正常",F58,"免征")</f>
        <v>——</v>
      </c>
      <c r="G56" s="2478" t="s">
        <v>2224</v>
      </c>
      <c r="H56" s="2479" t="s">
        <v>2221</v>
      </c>
      <c r="I56" s="2480"/>
      <c r="J56" s="2982" t="str">
        <f>IF(项目基本情况!K6="上海银行",IF(J55="",4,J55+1),"")</f>
        <v/>
      </c>
      <c r="K56" s="3245" t="str">
        <f>IF(项目基本情况!K6="上海银行","其他处置费用","")</f>
        <v/>
      </c>
      <c r="L56" s="3246"/>
      <c r="M56" s="1747" t="str">
        <f>IF(项目基本情况!K6="上海银行",M69,"")</f>
        <v/>
      </c>
      <c r="N56" s="3248" t="str">
        <f>IF(项目基本情况!K6="上海银行","包含处置中涉及的律师、诉讼、拍卖、评估等费用","")</f>
        <v/>
      </c>
      <c r="O56" s="3249"/>
    </row>
    <row r="57" spans="1:35" ht="12.75">
      <c r="A57" s="182" t="s">
        <v>2197</v>
      </c>
      <c r="B57" s="3187" t="s">
        <v>2225</v>
      </c>
      <c r="C57" s="3196"/>
      <c r="D57" s="186">
        <v>0</v>
      </c>
      <c r="E57" s="22" t="s">
        <v>2199</v>
      </c>
      <c r="F57" s="154"/>
      <c r="G57" s="2476"/>
      <c r="H57" s="2480"/>
      <c r="I57" s="2480"/>
      <c r="J57" s="3222">
        <f>IF(AND(J55="",J56=""),4,IF(项目基本情况!K6="上海银行",'结果表（地下车库）'!J56+1,'结果表（地下车库）'!J55+1))</f>
        <v>4</v>
      </c>
      <c r="K57" s="3222" t="s">
        <v>2226</v>
      </c>
      <c r="L57" s="2481" t="s">
        <v>2227</v>
      </c>
      <c r="M57" s="1752"/>
      <c r="N57" s="1753">
        <f ca="1">SUMIF(M52:M56,"&lt;9e307")</f>
        <v>1273</v>
      </c>
      <c r="O57" s="2482"/>
      <c r="P57" s="1746">
        <f ca="1">N57/M49</f>
        <v>0.56703786191536754</v>
      </c>
    </row>
    <row r="58" spans="1:35" ht="24.75">
      <c r="A58" s="182" t="s">
        <v>2208</v>
      </c>
      <c r="B58" s="3187" t="s">
        <v>2228</v>
      </c>
      <c r="C58" s="3188"/>
      <c r="D58" s="184">
        <f ca="1">IF(H58="转让取得",C81,C97)</f>
        <v>1272</v>
      </c>
      <c r="E58" s="11" t="s">
        <v>2223</v>
      </c>
      <c r="F58" s="23" t="s">
        <v>34</v>
      </c>
      <c r="G58" s="2476"/>
      <c r="H58" s="2479" t="s">
        <v>2229</v>
      </c>
      <c r="I58" s="2480"/>
      <c r="J58" s="3222"/>
      <c r="K58" s="3222"/>
      <c r="L58" s="2481" t="s">
        <v>2230</v>
      </c>
      <c r="M58" s="1754"/>
      <c r="N58" s="2483" t="str">
        <f ca="1">NUMBERSTRING(INT(N57*10000),2)&amp;"元整"</f>
        <v>壹仟贰佰柒拾叁万元整</v>
      </c>
      <c r="O58" s="2484"/>
    </row>
    <row r="59" spans="1:35" ht="24.75" thickBot="1">
      <c r="A59" s="3225" t="s">
        <v>2231</v>
      </c>
      <c r="B59" s="3226"/>
      <c r="C59" s="3226"/>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223">
        <f>J57+1</f>
        <v>5</v>
      </c>
      <c r="K59" s="3222" t="s">
        <v>2233</v>
      </c>
      <c r="L59" s="2982" t="s">
        <v>2227</v>
      </c>
      <c r="M59" s="1755"/>
      <c r="N59" s="1756">
        <f ca="1">M49-N57</f>
        <v>972</v>
      </c>
      <c r="O59" s="2486"/>
    </row>
    <row r="60" spans="1:35" ht="12" customHeight="1">
      <c r="A60" s="2487"/>
      <c r="B60" s="2409"/>
      <c r="C60" s="2409"/>
      <c r="D60" s="2409"/>
      <c r="E60" s="2159"/>
      <c r="F60" s="2480"/>
      <c r="G60" s="2480"/>
      <c r="H60" s="2488"/>
      <c r="I60" s="137"/>
      <c r="J60" s="3224"/>
      <c r="K60" s="3222"/>
      <c r="L60" s="2481" t="s">
        <v>2230</v>
      </c>
      <c r="M60" s="1754"/>
      <c r="N60" s="2483" t="str">
        <f ca="1">NUMBERSTRING(INT(N59*10000),2)&amp;"元整"</f>
        <v>玖佰柒拾贰万元整</v>
      </c>
      <c r="O60" s="2484"/>
    </row>
    <row r="61" spans="1:35" ht="13.5" thickBot="1">
      <c r="A61" s="3169" t="s">
        <v>2234</v>
      </c>
      <c r="B61" s="3169"/>
      <c r="C61" s="3169"/>
      <c r="D61" s="3169"/>
      <c r="E61" s="3169"/>
      <c r="F61" s="2480"/>
      <c r="G61" s="2480"/>
      <c r="H61" s="2488"/>
      <c r="I61" s="137"/>
      <c r="J61" s="2982">
        <f>J59+1</f>
        <v>6</v>
      </c>
      <c r="K61" s="3222" t="s">
        <v>2235</v>
      </c>
      <c r="L61" s="3222"/>
      <c r="M61" s="1757"/>
      <c r="N61" s="1758">
        <f ca="1">ROUND(N59*10000/'数据-汇总表'!E3,0)</f>
        <v>573</v>
      </c>
      <c r="O61" s="2489"/>
    </row>
    <row r="62" spans="1:35" ht="12.75">
      <c r="A62" s="3185" t="s">
        <v>2236</v>
      </c>
      <c r="B62" s="3186"/>
      <c r="C62" s="2977"/>
      <c r="D62" s="2977" t="s">
        <v>2237</v>
      </c>
      <c r="E62" s="191" t="s">
        <v>2238</v>
      </c>
      <c r="F62" s="2480"/>
      <c r="G62" s="2480"/>
      <c r="H62" s="2488"/>
      <c r="I62" s="137"/>
    </row>
    <row r="63" spans="1:35" ht="12.75">
      <c r="A63" s="202" t="s">
        <v>775</v>
      </c>
      <c r="B63" s="192" t="s">
        <v>2239</v>
      </c>
      <c r="C63" s="193">
        <f ca="1">ROUND((C64+C65)/(1+'数据-取费表'!C42),0)</f>
        <v>2138</v>
      </c>
      <c r="D63" s="194"/>
      <c r="E63" s="195"/>
      <c r="F63" s="2480"/>
      <c r="G63" s="2480"/>
      <c r="H63" s="2488"/>
      <c r="I63" s="137"/>
      <c r="J63" s="3247" t="s">
        <v>2240</v>
      </c>
      <c r="K63" s="2986" t="s">
        <v>2241</v>
      </c>
      <c r="L63" s="1745">
        <f ca="1">IF(M49&gt;10000,M49*0.5%,IF(AND(M49&gt;1000,M49&lt;=10000),M49*1%,IF(AND(M49&gt;100,M49&lt;=1000),M49*3%,IF(AND(M49&gt;10,M49&lt;=100),M49*5%,M49*8%))))</f>
        <v>22.45</v>
      </c>
      <c r="M63" s="23">
        <f ca="1">ROUND(L63,1)</f>
        <v>22.5</v>
      </c>
      <c r="Z63" s="2414"/>
      <c r="AI63" s="2415"/>
    </row>
    <row r="64" spans="1:35" ht="14.25" customHeight="1">
      <c r="A64" s="196" t="s">
        <v>770</v>
      </c>
      <c r="B64" s="197" t="s">
        <v>2242</v>
      </c>
      <c r="C64" s="198">
        <f ca="1">D45</f>
        <v>2245</v>
      </c>
      <c r="D64" s="199" t="s">
        <v>32</v>
      </c>
      <c r="E64" s="200"/>
      <c r="F64" s="2480"/>
      <c r="G64" s="2480"/>
      <c r="H64" s="2488"/>
      <c r="I64" s="137"/>
      <c r="J64" s="3247"/>
      <c r="K64" s="2986" t="s">
        <v>2243</v>
      </c>
      <c r="L64" s="1745">
        <f ca="1">IF(M49&gt;2000,M49*0.5%,IF(AND(M49&gt;1000,M49&lt;=2000),M49*0.6%,IF(AND(M49&gt;500,M49&lt;=1000),M49*0.7%,IF(AND(M49&gt;200,M49&lt;=500),M49*0.8%,IF(AND(M49&gt;100,M49&lt;=200),M49*0.9%,IF(AND(M49&gt;50,M49&lt;=100),M49*1%,IF(AND(M49&gt;20,M49&lt;=50),M49*1.5%,IF(AND(M49&gt;10,M49&lt;=20),M49*2%,IF(AND(M49&gt;1,M49&lt;=10),M49*2.5%)))))))))</f>
        <v>11.225</v>
      </c>
      <c r="M64" s="23">
        <f t="shared" ref="M64:M65" ca="1" si="1">ROUND(L64,1)</f>
        <v>11.2</v>
      </c>
      <c r="N64" s="137" t="s">
        <v>2244</v>
      </c>
      <c r="Z64" s="2414"/>
      <c r="AI64" s="2415"/>
    </row>
    <row r="65" spans="1:35" ht="14.25" customHeight="1">
      <c r="A65" s="196" t="s">
        <v>771</v>
      </c>
      <c r="B65" s="197" t="s">
        <v>2245</v>
      </c>
      <c r="C65" s="201"/>
      <c r="D65" s="199"/>
      <c r="E65" s="200"/>
      <c r="F65" s="2480"/>
      <c r="G65" s="2480"/>
      <c r="H65" s="2488"/>
      <c r="I65" s="137"/>
      <c r="J65" s="3247"/>
      <c r="K65" s="2986" t="s">
        <v>2246</v>
      </c>
      <c r="L65" s="1745">
        <f ca="1">IF(M49&gt;1000,M49*0.1%,IF(AND(M49&gt;500,M49&lt;=1000),M49*0.5%,IF(AND(M49&gt;50,M49&lt;=500),M49*1%,IF(AND(M49&gt;1,M49&lt;=50),M49*1.5%))))</f>
        <v>2.2450000000000001</v>
      </c>
      <c r="M65" s="23">
        <f t="shared" ca="1" si="1"/>
        <v>2.2000000000000002</v>
      </c>
      <c r="N65" s="137" t="s">
        <v>2244</v>
      </c>
      <c r="Z65" s="2414"/>
      <c r="AI65" s="2415"/>
    </row>
    <row r="66" spans="1:35" ht="14.25" customHeight="1">
      <c r="A66" s="202" t="s">
        <v>772</v>
      </c>
      <c r="B66" s="203" t="s">
        <v>2247</v>
      </c>
      <c r="C66" s="204"/>
      <c r="D66" s="205" t="s">
        <v>32</v>
      </c>
      <c r="E66" s="1769" t="s">
        <v>1371</v>
      </c>
      <c r="F66" s="2480"/>
      <c r="G66" s="2480"/>
      <c r="H66" s="2488"/>
      <c r="I66" s="137"/>
      <c r="J66" s="3247"/>
      <c r="K66" s="2986" t="s">
        <v>2248</v>
      </c>
      <c r="L66" s="1745">
        <f ca="1">M49*0.5%</f>
        <v>11.225</v>
      </c>
      <c r="M66" s="23">
        <f ca="1">IF(L66&gt;0.5,0.5,ROUND(L66,0))</f>
        <v>0.5</v>
      </c>
      <c r="N66" s="137" t="s">
        <v>2249</v>
      </c>
      <c r="Z66" s="2414"/>
      <c r="AI66" s="2415"/>
    </row>
    <row r="67" spans="1:35" ht="14.25" customHeight="1">
      <c r="A67" s="202" t="s">
        <v>773</v>
      </c>
      <c r="B67" s="203" t="s">
        <v>2250</v>
      </c>
      <c r="C67" s="206">
        <f ca="1">C63-C66</f>
        <v>2138</v>
      </c>
      <c r="D67" s="199" t="s">
        <v>32</v>
      </c>
      <c r="E67" s="200"/>
      <c r="F67" s="2480"/>
      <c r="G67" s="2480"/>
      <c r="H67" s="2488"/>
      <c r="I67" s="137"/>
      <c r="J67" s="3247"/>
      <c r="K67" s="2986"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118</v>
      </c>
      <c r="D68" s="210">
        <f>'数据-取费表'!B41</f>
        <v>5.5000000000000007E-2</v>
      </c>
      <c r="E68" s="211"/>
      <c r="F68" s="2480"/>
      <c r="G68" s="2480"/>
      <c r="H68" s="2488"/>
      <c r="I68" s="137"/>
      <c r="J68" s="3247"/>
      <c r="K68" s="2986" t="s">
        <v>2253</v>
      </c>
      <c r="L68" s="1745">
        <f ca="1">IF(M49&gt;10000,M49*0.5%,IF(AND(M49&gt;5000,M49&lt;=10000),M49*1%,IF(AND(M49&gt;1000,M49&lt;=5000),M49*2%,IF(AND(M49&gt;200,M49&lt;=1000),M49*3%,M49*5%))))</f>
        <v>44.9</v>
      </c>
      <c r="M68" s="23">
        <f ca="1">ROUND(L68,1)</f>
        <v>44.9</v>
      </c>
      <c r="Z68" s="2414"/>
      <c r="AI68" s="2415"/>
    </row>
    <row r="69" spans="1:35" s="2437" customFormat="1" ht="16.5" customHeight="1">
      <c r="A69" s="2491"/>
      <c r="B69" s="2492"/>
      <c r="C69" s="2493"/>
      <c r="D69" s="2494"/>
      <c r="E69" s="2495"/>
      <c r="F69" s="2159"/>
      <c r="G69" s="2159"/>
      <c r="H69" s="2158"/>
      <c r="I69" s="2409"/>
      <c r="J69" s="3247"/>
      <c r="K69" s="2986" t="s">
        <v>2254</v>
      </c>
      <c r="L69" s="2496"/>
      <c r="M69" s="23">
        <f ca="1">ROUND(SUM(M63:M68),0)</f>
        <v>84</v>
      </c>
      <c r="N69" s="1746">
        <f ca="1">M69/M49</f>
        <v>3.7416481069042315E-2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206" t="s">
        <v>2255</v>
      </c>
      <c r="B70" s="3207"/>
      <c r="C70" s="3207"/>
      <c r="D70" s="3207"/>
      <c r="E70" s="3207"/>
      <c r="F70" s="3207"/>
      <c r="G70" s="3207"/>
      <c r="H70" s="320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85" t="s">
        <v>2236</v>
      </c>
      <c r="B71" s="3186"/>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2138</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11</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0" t="s">
        <v>2264</v>
      </c>
      <c r="F76" s="3157"/>
      <c r="G76" s="3157"/>
      <c r="H76" s="320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11</v>
      </c>
      <c r="D78" s="225">
        <f>'数据-取费表'!B43</f>
        <v>5.000000000000001E-3</v>
      </c>
      <c r="E78" s="3166" t="s">
        <v>2269</v>
      </c>
      <c r="F78" s="3167"/>
      <c r="G78" s="3167"/>
      <c r="H78" s="317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2127</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193.36363636363637</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1272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06" t="s">
        <v>2273</v>
      </c>
      <c r="B83" s="3207"/>
      <c r="C83" s="3207"/>
      <c r="D83" s="3207"/>
      <c r="E83" s="3207"/>
      <c r="F83" s="3207"/>
      <c r="G83" s="3207"/>
      <c r="H83" s="320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85" t="s">
        <v>2236</v>
      </c>
      <c r="B84" s="3186"/>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2138</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11</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66" t="s">
        <v>2282</v>
      </c>
      <c r="F91" s="3167"/>
      <c r="G91" s="3167"/>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66" t="s">
        <v>2286</v>
      </c>
      <c r="F92" s="3167"/>
      <c r="G92" s="3167"/>
      <c r="H92" s="317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11</v>
      </c>
      <c r="D93" s="225">
        <f>'数据-取费表'!B43</f>
        <v>5.000000000000001E-3</v>
      </c>
      <c r="E93" s="3166" t="s">
        <v>2269</v>
      </c>
      <c r="F93" s="3167"/>
      <c r="G93" s="3167"/>
      <c r="H93" s="317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77" t="s">
        <v>2290</v>
      </c>
      <c r="F94" s="3178"/>
      <c r="G94" s="3178"/>
      <c r="H94" s="3179"/>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2127</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193.36363636363637</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1272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51" t="s">
        <v>2292</v>
      </c>
      <c r="B100" s="3152"/>
      <c r="C100" s="3152"/>
      <c r="D100" s="3168"/>
      <c r="E100" s="3152" t="s">
        <v>2293</v>
      </c>
      <c r="F100" s="3152"/>
      <c r="G100" s="3152"/>
      <c r="H100" s="3168"/>
      <c r="I100" s="137"/>
    </row>
    <row r="101" spans="1:35" ht="18.75" customHeight="1">
      <c r="A101" s="3230" t="s">
        <v>2294</v>
      </c>
      <c r="B101" s="3231"/>
      <c r="C101" s="735" t="str">
        <f>C4</f>
        <v>成本法（地下车库）</v>
      </c>
      <c r="D101" s="736" t="str">
        <f>D4</f>
        <v>收益法（地下车库）</v>
      </c>
      <c r="E101" s="3244" t="s">
        <v>2295</v>
      </c>
      <c r="F101" s="3198"/>
      <c r="G101" s="2511" t="s">
        <v>2296</v>
      </c>
      <c r="H101" s="1041">
        <f ca="1">H118</f>
        <v>2245</v>
      </c>
      <c r="I101" s="137"/>
    </row>
    <row r="102" spans="1:35" ht="18.75" customHeight="1">
      <c r="A102" s="3200" t="s">
        <v>2297</v>
      </c>
      <c r="B102" s="2511" t="s">
        <v>2296</v>
      </c>
      <c r="C102" s="735">
        <f ca="1">C19</f>
        <v>1469</v>
      </c>
      <c r="D102" s="736">
        <f ca="1">D19</f>
        <v>2763</v>
      </c>
      <c r="E102" s="3244"/>
      <c r="F102" s="3198"/>
      <c r="G102" s="2511" t="s">
        <v>2298</v>
      </c>
      <c r="H102" s="370">
        <f ca="1">I118</f>
        <v>7417</v>
      </c>
      <c r="I102" s="137"/>
    </row>
    <row r="103" spans="1:35" ht="42.75" customHeight="1">
      <c r="A103" s="3200"/>
      <c r="B103" s="2511" t="s">
        <v>2298</v>
      </c>
      <c r="C103" s="737">
        <f ca="1">C20</f>
        <v>4853</v>
      </c>
      <c r="D103" s="738">
        <f ca="1">D20</f>
        <v>9128</v>
      </c>
      <c r="E103" s="3239" t="s">
        <v>2299</v>
      </c>
      <c r="F103" s="3240"/>
      <c r="G103" s="2512" t="s">
        <v>2300</v>
      </c>
      <c r="H103" s="1041">
        <f>IF(D36="正常操作",H104+H105+H106,H105+H106)</f>
        <v>0</v>
      </c>
      <c r="I103" s="137"/>
    </row>
    <row r="104" spans="1:35" ht="18.75" customHeight="1">
      <c r="A104" s="3200" t="s">
        <v>2301</v>
      </c>
      <c r="B104" s="2513" t="s">
        <v>2296</v>
      </c>
      <c r="C104" s="739">
        <f ca="1">H118</f>
        <v>2245</v>
      </c>
      <c r="D104" s="740"/>
      <c r="E104" s="2259" t="s">
        <v>2302</v>
      </c>
      <c r="F104" s="2251"/>
      <c r="G104" s="2512" t="s">
        <v>2300</v>
      </c>
      <c r="H104" s="1042">
        <f>IF(D36="同一抵押权人同一抵押物续贷",C36&amp;"（未扣减，详见特别提示）",C36)</f>
        <v>0</v>
      </c>
      <c r="I104" s="137"/>
    </row>
    <row r="105" spans="1:35" ht="18.75" customHeight="1" thickBot="1">
      <c r="A105" s="3201"/>
      <c r="B105" s="2514" t="s">
        <v>2298</v>
      </c>
      <c r="C105" s="741">
        <f ca="1">I118</f>
        <v>7417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97" t="str">
        <f>IF(项目基本情况!E8="已注销","——","3.房地产抵押价值")</f>
        <v>——</v>
      </c>
      <c r="F107" s="3198"/>
      <c r="G107" s="2511" t="s">
        <v>2296</v>
      </c>
      <c r="H107" s="1041" t="str">
        <f>IF(E107="——","——",H101-H103)</f>
        <v>——</v>
      </c>
      <c r="I107" s="137"/>
    </row>
    <row r="108" spans="1:35" ht="18.75" customHeight="1">
      <c r="A108" s="137"/>
      <c r="B108" s="137"/>
      <c r="C108" s="137"/>
      <c r="D108" s="137"/>
      <c r="E108" s="3197"/>
      <c r="F108" s="3198"/>
      <c r="G108" s="2511" t="s">
        <v>2298</v>
      </c>
      <c r="H108" s="370" t="e">
        <f>ROUND(H107*10000/'数据-汇总表'!E3,0)</f>
        <v>#VALUE!</v>
      </c>
      <c r="I108" s="137"/>
    </row>
    <row r="109" spans="1:35" ht="18.75" customHeight="1">
      <c r="A109" s="137"/>
      <c r="B109" s="137"/>
      <c r="C109" s="137"/>
      <c r="D109" s="137"/>
      <c r="E109" s="3197" t="str">
        <f>IF(项目基本情况!E8="已注销及未注销","4.抵押担保权已注销时的房地产抵押价值",IF(项目基本情况!E8="已注销","3.抵押担保权已注销时的房地产抵押价值","——"))</f>
        <v>3.抵押担保权已注销时的房地产抵押价值</v>
      </c>
      <c r="F109" s="3198"/>
      <c r="G109" s="2511" t="s">
        <v>2296</v>
      </c>
      <c r="H109" s="347">
        <f ca="1">IF(E109="——","——",H101-H105-H106)</f>
        <v>2245</v>
      </c>
      <c r="I109" s="137"/>
    </row>
    <row r="110" spans="1:35" ht="18.75" customHeight="1">
      <c r="A110" s="137"/>
      <c r="B110" s="137"/>
      <c r="C110" s="137"/>
      <c r="D110" s="137"/>
      <c r="E110" s="3197"/>
      <c r="F110" s="3198"/>
      <c r="G110" s="2511" t="s">
        <v>2298</v>
      </c>
      <c r="H110" s="370">
        <f ca="1">IF(H109="——","——",ROUND(H109*10000/'数据-汇总表'!E3,0))</f>
        <v>1323</v>
      </c>
      <c r="I110" s="137"/>
    </row>
    <row r="111" spans="1:35" ht="18.75" customHeight="1">
      <c r="A111" s="137"/>
      <c r="B111" s="137"/>
      <c r="C111" s="137"/>
      <c r="D111" s="137"/>
      <c r="E111" s="3232" t="str">
        <f>IF(项目基本情况!E9="抵押净值",IF(OR(项目基本情况!E8="已注销",项目基本情况!E8="房地产抵押价值"),"4.抵押净值","5.抵押净值"),"——")</f>
        <v>——</v>
      </c>
      <c r="F111" s="3233"/>
      <c r="G111" s="2511" t="s">
        <v>2296</v>
      </c>
      <c r="H111" s="1041" t="str">
        <f>IF(E111="——","——",N59)</f>
        <v>——</v>
      </c>
      <c r="I111" s="137"/>
    </row>
    <row r="112" spans="1:35" ht="18.75" customHeight="1" thickBot="1">
      <c r="A112" s="137"/>
      <c r="B112" s="137"/>
      <c r="C112" s="137"/>
      <c r="D112" s="137"/>
      <c r="E112" s="3234"/>
      <c r="F112" s="3235"/>
      <c r="G112" s="2516" t="s">
        <v>2298</v>
      </c>
      <c r="H112" s="789" t="str">
        <f>IF(E111="——","——",N61)</f>
        <v>——</v>
      </c>
      <c r="I112" s="137"/>
    </row>
    <row r="113" spans="1:11" ht="18.75" customHeight="1">
      <c r="A113" s="137"/>
      <c r="B113" s="137"/>
      <c r="C113" s="137"/>
      <c r="D113" s="137"/>
      <c r="E113" s="3202" t="s">
        <v>2304</v>
      </c>
      <c r="F113" s="3202"/>
      <c r="G113" s="3202"/>
      <c r="H113" s="3202"/>
      <c r="I113" s="137"/>
    </row>
    <row r="114" spans="1:11" ht="3.75" customHeight="1">
      <c r="A114" s="2409"/>
      <c r="B114" s="2409"/>
      <c r="C114" s="2409"/>
      <c r="D114" s="2409"/>
      <c r="E114" s="2487"/>
      <c r="F114" s="2487"/>
      <c r="G114" s="2487"/>
      <c r="H114" s="2487"/>
      <c r="I114" s="2409"/>
    </row>
    <row r="115" spans="1:11" ht="18.75" customHeight="1">
      <c r="A115" s="3215" t="s">
        <v>2306</v>
      </c>
      <c r="B115" s="3216"/>
      <c r="C115" s="3216"/>
      <c r="D115" s="3216"/>
      <c r="E115" s="3216"/>
      <c r="F115" s="3216"/>
      <c r="G115" s="3216"/>
      <c r="H115" s="3216"/>
      <c r="I115" s="3217"/>
    </row>
    <row r="116" spans="1:11" ht="27" customHeight="1">
      <c r="A116" s="3108" t="s">
        <v>2307</v>
      </c>
      <c r="B116" s="3203" t="s">
        <v>2308</v>
      </c>
      <c r="C116" s="3203" t="s">
        <v>2309</v>
      </c>
      <c r="D116" s="3219" t="s">
        <v>2310</v>
      </c>
      <c r="E116" s="3220"/>
      <c r="F116" s="3211" t="s">
        <v>2311</v>
      </c>
      <c r="G116" s="3211"/>
      <c r="H116" s="3108" t="s">
        <v>2312</v>
      </c>
      <c r="I116" s="3108"/>
    </row>
    <row r="117" spans="1:11" ht="18.75" customHeight="1">
      <c r="A117" s="3108"/>
      <c r="B117" s="3204"/>
      <c r="C117" s="3204"/>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3026.9400000000051</v>
      </c>
      <c r="C118" s="2969">
        <f>M19</f>
        <v>486.95</v>
      </c>
      <c r="D118" s="2969">
        <f ca="1">ROUND(IF(D32="总价",C34,E118*B118/10000),0)</f>
        <v>595</v>
      </c>
      <c r="E118" s="2969">
        <f ca="1">ROUND(IF(C33="自定义",IF(D32="楼面单价",C34,D118*10000/B118),I118-G118),0)</f>
        <v>1966</v>
      </c>
      <c r="F118" s="2969">
        <f ca="1">ROUND(IF(D32="总价",C35,G118*B118/10000),0)</f>
        <v>1650</v>
      </c>
      <c r="G118" s="2969">
        <f ca="1">ROUND(IF(D32="楼面单价",C35,F118*10000/B118),0)</f>
        <v>5451</v>
      </c>
      <c r="H118" s="2969">
        <f ca="1">ROUND(IF(D32="总价",C32,I118*B118/10000),0)</f>
        <v>2245</v>
      </c>
      <c r="I118" s="2969">
        <f ca="1">ROUND(IF(D32="楼面单价",C32,H118*10000/B118),0)</f>
        <v>7417</v>
      </c>
    </row>
    <row r="119" spans="1:11" ht="18.75" customHeight="1">
      <c r="A119" s="3108" t="s">
        <v>2316</v>
      </c>
      <c r="B119" s="3108"/>
      <c r="C119" s="3108"/>
      <c r="D119" s="3208" t="str">
        <f ca="1">NUMBERSTRING(INT(D118*10000),2)&amp;"元整"</f>
        <v>伍佰玖拾伍万元整</v>
      </c>
      <c r="E119" s="3210"/>
      <c r="F119" s="3208" t="str">
        <f ca="1">NUMBERSTRING(INT(F118*10000),2)&amp;"元整"</f>
        <v>壹仟陆佰伍拾万元整</v>
      </c>
      <c r="G119" s="3210"/>
      <c r="H119" s="3208" t="str">
        <f ca="1">NUMBERSTRING(INT(H118*10000),2)&amp;"元整"</f>
        <v>贰仟贰佰肆拾伍万元整</v>
      </c>
      <c r="I119" s="3210"/>
    </row>
    <row r="120" spans="1:11" ht="18.75" customHeight="1">
      <c r="A120" s="3236" t="str">
        <f>IF(项目基本情况!B9="房地产市场价值","",MID(E103,3,LEN(E103)-2))</f>
        <v>估价师知悉的法定优先受偿款</v>
      </c>
      <c r="B120" s="3237"/>
      <c r="C120" s="3238"/>
      <c r="D120" s="3236">
        <f>H103</f>
        <v>0</v>
      </c>
      <c r="E120" s="3237"/>
      <c r="F120" s="3237"/>
      <c r="G120" s="3237"/>
      <c r="H120" s="3237"/>
      <c r="I120" s="3238"/>
      <c r="K120" s="2414" t="str">
        <f>IF(D120=0,"故，本次评估不存在"&amp;A120,"故，本次评估"&amp;A120&amp;"为人民币"&amp;D120&amp;"万元整。")</f>
        <v>故，本次评估不存在估价师知悉的法定优先受偿款</v>
      </c>
    </row>
    <row r="121" spans="1:11" ht="18.75" customHeight="1">
      <c r="A121" s="3212" t="s">
        <v>2316</v>
      </c>
      <c r="B121" s="3213"/>
      <c r="C121" s="3214"/>
      <c r="D121" s="3208" t="str">
        <f>IF(D120=0,"零元整",NUMBERSTRING(INT(D120*10000),2)&amp;"元整")</f>
        <v>零元整</v>
      </c>
      <c r="E121" s="3209"/>
      <c r="F121" s="3209"/>
      <c r="G121" s="3209"/>
      <c r="H121" s="3209"/>
      <c r="I121" s="3210"/>
    </row>
    <row r="122" spans="1:11" ht="18.75" customHeight="1">
      <c r="A122" s="3199" t="str">
        <f>IF(项目基本情况!B9="房地产市场价值","",MID(E107,3,LEN(E107)-2))</f>
        <v/>
      </c>
      <c r="B122" s="3199"/>
      <c r="C122" s="3199"/>
      <c r="D122" s="3236" t="str">
        <f>H107</f>
        <v>——</v>
      </c>
      <c r="E122" s="3237"/>
      <c r="F122" s="3237"/>
      <c r="G122" s="3237"/>
      <c r="H122" s="3237"/>
      <c r="I122" s="3238"/>
    </row>
    <row r="123" spans="1:11" ht="18.75" customHeight="1">
      <c r="A123" s="3108" t="s">
        <v>2316</v>
      </c>
      <c r="B123" s="3108"/>
      <c r="C123" s="3108"/>
      <c r="D123" s="3208" t="e">
        <f>NUMBERSTRING(INT(D122*10000),2)&amp;"元整"</f>
        <v>#VALUE!</v>
      </c>
      <c r="E123" s="3209"/>
      <c r="F123" s="3209"/>
      <c r="G123" s="3209"/>
      <c r="H123" s="3209"/>
      <c r="I123" s="3210"/>
    </row>
    <row r="124" spans="1:11" ht="18.75" customHeight="1">
      <c r="A124" s="3199" t="str">
        <f>IF(项目基本情况!B9="房地产市场价值","",MID(E109,3,LEN(E109)-2))</f>
        <v>抵押担保权已注销时的房地产抵押价值</v>
      </c>
      <c r="B124" s="3199"/>
      <c r="C124" s="3199"/>
      <c r="D124" s="3236">
        <f ca="1">H109</f>
        <v>2245</v>
      </c>
      <c r="E124" s="3237"/>
      <c r="F124" s="3237"/>
      <c r="G124" s="3237"/>
      <c r="H124" s="3237"/>
      <c r="I124" s="3238"/>
    </row>
    <row r="125" spans="1:11" ht="18.75" customHeight="1">
      <c r="A125" s="3108" t="s">
        <v>2316</v>
      </c>
      <c r="B125" s="3108"/>
      <c r="C125" s="3108"/>
      <c r="D125" s="3208" t="str">
        <f ca="1">NUMBERSTRING(INT(D124*10000),2)&amp;"元整"</f>
        <v>贰仟贰佰肆拾伍万元整</v>
      </c>
      <c r="E125" s="3209"/>
      <c r="F125" s="3209"/>
      <c r="G125" s="3209"/>
      <c r="H125" s="3209"/>
      <c r="I125" s="3210"/>
    </row>
    <row r="126" spans="1:11" ht="18.75" customHeight="1">
      <c r="A126" s="3199" t="str">
        <f>IF(项目基本情况!B9="房地产市场价值","",MID(E111,3,LEN(E111)-2))</f>
        <v/>
      </c>
      <c r="B126" s="3199"/>
      <c r="C126" s="3199"/>
      <c r="D126" s="3236" t="str">
        <f>H111</f>
        <v>——</v>
      </c>
      <c r="E126" s="3237"/>
      <c r="F126" s="3237"/>
      <c r="G126" s="3237"/>
      <c r="H126" s="3237"/>
      <c r="I126" s="3238"/>
    </row>
    <row r="127" spans="1:11" ht="18.75" customHeight="1">
      <c r="A127" s="3108" t="s">
        <v>2316</v>
      </c>
      <c r="B127" s="3108"/>
      <c r="C127" s="3108"/>
      <c r="D127" s="3208" t="e">
        <f>NUMBERSTRING(INT(D126*10000),2)&amp;"元整"</f>
        <v>#VALUE!</v>
      </c>
      <c r="E127" s="3209"/>
      <c r="F127" s="3209"/>
      <c r="G127" s="3209"/>
      <c r="H127" s="3209"/>
      <c r="I127" s="3210"/>
    </row>
    <row r="128" spans="1:11" ht="21.75" customHeight="1">
      <c r="A128" s="3218" t="s">
        <v>2317</v>
      </c>
      <c r="B128" s="3218"/>
      <c r="C128" s="3218"/>
      <c r="D128" s="3218"/>
      <c r="E128" s="3218"/>
      <c r="F128" s="3218"/>
      <c r="G128" s="3218"/>
      <c r="H128" s="3218"/>
      <c r="I128" s="3218"/>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1469</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4853</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283</v>
      </c>
      <c r="D5" s="254" t="s">
        <v>2333</v>
      </c>
      <c r="E5" s="255" t="s">
        <v>2334</v>
      </c>
      <c r="F5" s="255" t="s">
        <v>2335</v>
      </c>
      <c r="G5" s="256"/>
    </row>
    <row r="6" spans="1:9" s="257" customFormat="1" ht="13.5" customHeight="1">
      <c r="A6" s="945" t="s">
        <v>791</v>
      </c>
      <c r="B6" s="258" t="s">
        <v>2337</v>
      </c>
      <c r="C6" s="259">
        <f>'土地比较法-住宅、综合'!F65</f>
        <v>275</v>
      </c>
      <c r="D6" s="260"/>
      <c r="E6" s="261"/>
      <c r="F6" s="261"/>
      <c r="G6" s="262"/>
    </row>
    <row r="7" spans="1:9" s="257" customFormat="1" ht="13.5" customHeight="1">
      <c r="A7" s="945" t="s">
        <v>792</v>
      </c>
      <c r="B7" s="258" t="s">
        <v>2339</v>
      </c>
      <c r="C7" s="263">
        <f>ROUND(C6*F7,0)</f>
        <v>8</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61</v>
      </c>
      <c r="D10" s="1028">
        <f ca="1">IF(B1="",'数据-汇总表'!E6,IF(INDIRECT("'数据-取费表'!c"&amp;$G$1)="住宅",INDIRECT("'数据-取费表'!s"&amp;$G$1),INDIRECT("'数据-取费表'!k"&amp;$G$1)+INDIRECT("'数据-取费表'!s"&amp;$G$1)))</f>
        <v>3026.9400000000051</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3026.9400000000051</v>
      </c>
      <c r="E19" s="254">
        <f>'数据-取费表'!B31</f>
        <v>200</v>
      </c>
      <c r="F19" s="274"/>
      <c r="G19" s="2543" t="s">
        <v>3054</v>
      </c>
    </row>
    <row r="20" spans="1:7" s="257" customFormat="1" ht="13.5" customHeight="1">
      <c r="A20" s="298" t="s">
        <v>2357</v>
      </c>
      <c r="B20" s="253" t="s">
        <v>2358</v>
      </c>
      <c r="C20" s="275">
        <f>ROUND((C5+C19)*F20,0)</f>
        <v>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42</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42</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0</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29</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29</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390</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852</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757</v>
      </c>
      <c r="D34" s="260"/>
      <c r="E34" s="263"/>
      <c r="F34" s="300">
        <f ca="1">IF('数据-取费表'!B24=0,1,IF(B1="",'数据-取费表'!N16,INDIRECT("'数据-取费表'!n"&amp;$G$1)))</f>
        <v>1</v>
      </c>
      <c r="G34" s="262" t="s">
        <v>2390</v>
      </c>
    </row>
    <row r="35" spans="1:7" ht="13.5" customHeight="1">
      <c r="A35" s="947" t="s">
        <v>796</v>
      </c>
      <c r="B35" s="258" t="s">
        <v>2391</v>
      </c>
      <c r="C35" s="263">
        <f ca="1">ROUND(C34*F35,0)</f>
        <v>23</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61</v>
      </c>
      <c r="D37" s="260">
        <f ca="1">D19</f>
        <v>3026.9400000000051</v>
      </c>
      <c r="E37" s="292">
        <f>'数据-取费表'!B35</f>
        <v>200</v>
      </c>
      <c r="F37" s="302"/>
      <c r="G37" s="304" t="s">
        <v>2396</v>
      </c>
    </row>
    <row r="38" spans="1:7" ht="13.5" customHeight="1">
      <c r="A38" s="947" t="s">
        <v>799</v>
      </c>
      <c r="B38" s="258" t="s">
        <v>2397</v>
      </c>
      <c r="C38" s="263">
        <f ca="1">ROUND(C34*F38,0)</f>
        <v>11</v>
      </c>
      <c r="D38" s="263"/>
      <c r="E38" s="263"/>
      <c r="F38" s="302">
        <f>'数据-取费表'!B36</f>
        <v>1.4999999999999999E-2</v>
      </c>
      <c r="G38" s="262" t="s">
        <v>2392</v>
      </c>
    </row>
    <row r="39" spans="1:7" s="257" customFormat="1" ht="13.5" customHeight="1">
      <c r="A39" s="298" t="s">
        <v>2355</v>
      </c>
      <c r="B39" s="253" t="s">
        <v>2358</v>
      </c>
      <c r="C39" s="275">
        <f ca="1">ROUND(C33*F20,0)</f>
        <v>17</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62</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61</v>
      </c>
      <c r="D42" s="281"/>
      <c r="E42" s="281"/>
      <c r="F42" s="282"/>
      <c r="G42" s="3250" t="s">
        <v>2408</v>
      </c>
    </row>
    <row r="43" spans="1:7" ht="13.5" customHeight="1">
      <c r="A43" s="947" t="s">
        <v>792</v>
      </c>
      <c r="B43" s="258" t="s">
        <v>2370</v>
      </c>
      <c r="C43" s="281">
        <f ca="1">ROUND(IF('数据-取费表'!B22&lt;=1,C39*F22*'数据-取费表'!B21/2,C39*(POWER((1+F22),'数据-取费表'!B21/2)-1)),0)</f>
        <v>1</v>
      </c>
      <c r="D43" s="281"/>
      <c r="E43" s="281"/>
      <c r="F43" s="282"/>
      <c r="G43" s="3251"/>
    </row>
    <row r="44" spans="1:7" ht="13.5" customHeight="1">
      <c r="A44" s="947" t="s">
        <v>793</v>
      </c>
      <c r="B44" s="258" t="s">
        <v>2373</v>
      </c>
      <c r="C44" s="281">
        <f ca="1">ROUND(IF('数据-取费表'!B22&lt;=1,C40*F22*'数据-取费表'!B21/2,C40*(POWER((1+F22),'数据-取费表'!B21/2)-1)),4)</f>
        <v>1.4E-3</v>
      </c>
      <c r="D44" s="281"/>
      <c r="E44" s="281"/>
      <c r="F44" s="282"/>
      <c r="G44" s="3252"/>
    </row>
    <row r="45" spans="1:7" s="257" customFormat="1" ht="13.5" customHeight="1">
      <c r="A45" s="298" t="s">
        <v>2364</v>
      </c>
      <c r="B45" s="287" t="s">
        <v>2377</v>
      </c>
      <c r="C45" s="288">
        <f ca="1">C46</f>
        <v>87</v>
      </c>
      <c r="D45" s="278">
        <f ca="1">C47</f>
        <v>2E-3</v>
      </c>
      <c r="E45" s="279" t="s">
        <v>2403</v>
      </c>
      <c r="F45" s="289"/>
      <c r="G45" s="290" t="s">
        <v>2412</v>
      </c>
    </row>
    <row r="46" spans="1:7" s="257" customFormat="1" ht="13.5" customHeight="1">
      <c r="A46" s="947" t="s">
        <v>791</v>
      </c>
      <c r="B46" s="291" t="s">
        <v>2413</v>
      </c>
      <c r="C46" s="292">
        <f ca="1">ROUND((C33+C39)*F27,0)</f>
        <v>87</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1101</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1079</v>
      </c>
      <c r="D51" s="275"/>
      <c r="E51" s="275"/>
      <c r="F51" s="307"/>
      <c r="G51" s="277" t="s">
        <v>2424</v>
      </c>
    </row>
    <row r="52" spans="1:7" s="251" customFormat="1" ht="16.5" thickBot="1">
      <c r="A52" s="308" t="s">
        <v>2425</v>
      </c>
      <c r="B52" s="309"/>
      <c r="C52" s="310">
        <f ca="1">C31+C51</f>
        <v>1469</v>
      </c>
      <c r="D52" s="309"/>
      <c r="E52" s="309"/>
      <c r="F52" s="309"/>
      <c r="G52" s="311"/>
    </row>
    <row r="55" spans="1:7" ht="15">
      <c r="B55" s="313" t="s">
        <v>2426</v>
      </c>
      <c r="C55" s="314"/>
    </row>
    <row r="56" spans="1:7">
      <c r="B56" s="316" t="s">
        <v>1514</v>
      </c>
      <c r="C56" s="318">
        <f ca="1">1-C57</f>
        <v>0.26500000000000001</v>
      </c>
    </row>
    <row r="57" spans="1:7">
      <c r="B57" s="316" t="s">
        <v>1515</v>
      </c>
      <c r="C57" s="317">
        <f ca="1">ROUND(C51/C52,3)</f>
        <v>0.73499999999999999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估价对象为北京市大兴区黄村镇房地产，为所有。根据《国有土地使用证》，估价对象（分摊）出让国有建设用地使用权面积为2729.33平方米，建筑面积为16965.74平方米。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估价对象为北京市大兴区黄村镇房地产,属开发建设的，该项目尚在开发建设中。根据《国有土地使用证》，估价对象（分摊）出让国有建设用地使用权面积为2729.33平方米，规划建筑面积为16965.74平方米。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2018年3月23日（评估专业人员实地查勘之日）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46" sqref="J4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2763</v>
      </c>
      <c r="C2" s="1841" t="s">
        <v>1517</v>
      </c>
      <c r="D2" s="1841"/>
      <c r="E2" s="1842"/>
      <c r="F2" s="1843"/>
      <c r="G2" s="1844"/>
      <c r="H2" s="1836"/>
      <c r="I2" s="1836"/>
      <c r="J2" s="1836"/>
      <c r="K2" s="1837"/>
      <c r="L2" s="1836"/>
      <c r="M2" s="1836"/>
    </row>
    <row r="3" spans="1:37" ht="18" customHeight="1" thickBot="1">
      <c r="A3" s="1845" t="s">
        <v>1518</v>
      </c>
      <c r="B3" s="1846">
        <f ca="1">IF(ISERROR(B2*10000/F43),0,ROUND(B2*10000/F43,0))</f>
        <v>9128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157</v>
      </c>
      <c r="D5" s="1818" t="s">
        <v>1402</v>
      </c>
      <c r="E5" s="1289"/>
      <c r="F5" s="1290"/>
      <c r="G5" s="1847"/>
      <c r="H5" s="343">
        <v>1</v>
      </c>
      <c r="I5" s="344" t="s">
        <v>1401</v>
      </c>
      <c r="J5" s="1288">
        <f ca="1">J6+J10+J12</f>
        <v>0</v>
      </c>
      <c r="K5" s="1818" t="s">
        <v>1402</v>
      </c>
      <c r="L5" s="1289"/>
      <c r="M5" s="1290"/>
    </row>
    <row r="6" spans="1:37" ht="18" customHeight="1">
      <c r="A6" s="1287" t="s">
        <v>1035</v>
      </c>
      <c r="B6" s="3255" t="s">
        <v>1403</v>
      </c>
      <c r="C6" s="1292">
        <f ca="1">ROUND(F6*F8*F7*(1-F9)/10000,0)</f>
        <v>157</v>
      </c>
      <c r="D6" s="163" t="s">
        <v>3034</v>
      </c>
      <c r="E6" s="346" t="s">
        <v>1405</v>
      </c>
      <c r="F6" s="347">
        <f ca="1">INDIRECT("'数据-取费表'!u"&amp;$G$1)</f>
        <v>1.5</v>
      </c>
      <c r="G6" s="1847"/>
      <c r="H6" s="1287" t="s">
        <v>1035</v>
      </c>
      <c r="I6" s="3255" t="s">
        <v>1403</v>
      </c>
      <c r="J6" s="345">
        <f ca="1">ROUND(M6*M8*M7*(1-M9)/10000,0)</f>
        <v>0</v>
      </c>
      <c r="K6" s="163" t="s">
        <v>3033</v>
      </c>
      <c r="L6" s="346" t="s">
        <v>1405</v>
      </c>
      <c r="M6" s="347">
        <f ca="1">INDIRECT("'数据-取费表'!z"&amp;$G$1)</f>
        <v>0</v>
      </c>
    </row>
    <row r="7" spans="1:37" ht="18" customHeight="1">
      <c r="A7" s="1291"/>
      <c r="B7" s="3256"/>
      <c r="C7" s="1293"/>
      <c r="D7" s="351"/>
      <c r="E7" s="2988" t="s">
        <v>1406</v>
      </c>
      <c r="F7" s="347">
        <f ca="1">IF(INDIRECT("'数据-取费表'!ah"&amp;$G$1)="",INDIRECT("'数据-取费表'!k"&amp;$G$1),INDIRECT("'数据-取费表'!ah"&amp;$G$1))</f>
        <v>3026.9400000000051</v>
      </c>
      <c r="G7" s="1847"/>
      <c r="H7" s="348"/>
      <c r="I7" s="3256"/>
      <c r="J7" s="350"/>
      <c r="K7" s="351"/>
      <c r="L7" s="346" t="s">
        <v>1406</v>
      </c>
      <c r="M7" s="347">
        <f ca="1">F7</f>
        <v>3026.9400000000051</v>
      </c>
    </row>
    <row r="8" spans="1:37" ht="18" customHeight="1">
      <c r="A8" s="348"/>
      <c r="B8" s="3256"/>
      <c r="C8" s="350"/>
      <c r="D8" s="351"/>
      <c r="E8" s="346" t="s">
        <v>1407</v>
      </c>
      <c r="F8" s="347">
        <f ca="1">INDIRECT("'数据-取费表'!ai"&amp;$G$1)</f>
        <v>365</v>
      </c>
      <c r="G8" s="1847"/>
      <c r="H8" s="348"/>
      <c r="I8" s="3256"/>
      <c r="J8" s="350"/>
      <c r="K8" s="351"/>
      <c r="L8" s="346" t="s">
        <v>1407</v>
      </c>
      <c r="M8" s="347">
        <f ca="1">INDIRECT("'数据-取费表'!ai"&amp;$G$1)</f>
        <v>365</v>
      </c>
    </row>
    <row r="9" spans="1:37" ht="18" customHeight="1">
      <c r="A9" s="348"/>
      <c r="B9" s="3257"/>
      <c r="C9" s="350"/>
      <c r="D9" s="351"/>
      <c r="E9" s="346" t="s">
        <v>1408</v>
      </c>
      <c r="F9" s="356">
        <f ca="1">INDIRECT("'数据-取费表'!w"&amp;$G$1)</f>
        <v>0.05</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3435</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1079</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757</v>
      </c>
      <c r="D14" s="2976" t="s">
        <v>1419</v>
      </c>
      <c r="E14" s="2971"/>
      <c r="F14" s="363"/>
      <c r="G14" s="1847"/>
      <c r="H14" s="1197" t="s">
        <v>1035</v>
      </c>
      <c r="I14" s="346" t="s">
        <v>1420</v>
      </c>
      <c r="J14" s="23">
        <f ca="1">C29</f>
        <v>1101</v>
      </c>
      <c r="K14" s="2987"/>
      <c r="L14" s="975"/>
      <c r="M14" s="976"/>
    </row>
    <row r="15" spans="1:37" s="1854" customFormat="1" ht="18" customHeight="1" thickBot="1">
      <c r="A15" s="1197" t="s">
        <v>1036</v>
      </c>
      <c r="B15" s="346" t="s">
        <v>1421</v>
      </c>
      <c r="C15" s="23">
        <f ca="1">ROUND(C14*F15,0)</f>
        <v>23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31</v>
      </c>
      <c r="K16" s="1333" t="s">
        <v>1426</v>
      </c>
      <c r="L16" s="2978"/>
      <c r="M16" s="1290"/>
    </row>
    <row r="17" spans="1:37" s="1854" customFormat="1" ht="18" customHeight="1">
      <c r="A17" s="1197" t="s">
        <v>1390</v>
      </c>
      <c r="B17" s="346" t="s">
        <v>1427</v>
      </c>
      <c r="C17" s="23">
        <f ca="1">ROUND(F17*(F43+INDIRECT("'数据-取费表'!S"&amp;$G$1))/10000,0)</f>
        <v>61</v>
      </c>
      <c r="D17" s="346" t="s">
        <v>1428</v>
      </c>
      <c r="E17" s="346" t="s">
        <v>1429</v>
      </c>
      <c r="F17" s="25">
        <f>'数据-取费表'!B35</f>
        <v>200</v>
      </c>
      <c r="G17" s="1850"/>
      <c r="H17" s="1197" t="s">
        <v>1035</v>
      </c>
      <c r="I17" s="346" t="s">
        <v>1430</v>
      </c>
      <c r="J17" s="23">
        <f ca="1">ROUND(IF(项目基本情况!B11="自然人",J5*M17,J18+J19+J20),1)</f>
        <v>9.3000000000000007</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11</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852</v>
      </c>
      <c r="D19" s="139" t="s">
        <v>1437</v>
      </c>
      <c r="E19" s="2985"/>
      <c r="F19" s="25"/>
      <c r="G19" s="1847"/>
      <c r="H19" s="1197" t="s">
        <v>1036</v>
      </c>
      <c r="I19" s="346" t="s">
        <v>1438</v>
      </c>
      <c r="J19" s="23">
        <f ca="1">IF(K19="按租金收入计税",ROUND(J5*M19,2),ROUND(C29*M19*0.7,2))</f>
        <v>9.25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17</v>
      </c>
      <c r="D20" s="368" t="s">
        <v>1441</v>
      </c>
      <c r="E20" s="346" t="s">
        <v>1423</v>
      </c>
      <c r="F20" s="366">
        <f>'数据-取费表'!B37</f>
        <v>0.02</v>
      </c>
      <c r="G20" s="1850"/>
      <c r="H20" s="1197" t="s">
        <v>1389</v>
      </c>
      <c r="I20" s="163" t="s">
        <v>1442</v>
      </c>
      <c r="J20" s="24">
        <f ca="1">ROUND(M20*M21/10000,2)</f>
        <v>7.0000000000000007E-2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486.95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22</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62</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-31</v>
      </c>
      <c r="K25" s="1341" t="s">
        <v>1465</v>
      </c>
      <c r="L25" s="1342"/>
      <c r="M25" s="1343"/>
    </row>
    <row r="26" spans="1:37">
      <c r="A26" s="1197" t="s">
        <v>1034</v>
      </c>
      <c r="B26" s="346" t="s">
        <v>1466</v>
      </c>
      <c r="C26" s="23">
        <f ca="1">ROUND((C19+C20)*F26,0)</f>
        <v>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1101</v>
      </c>
      <c r="D29" s="1338"/>
      <c r="E29" s="1336"/>
      <c r="F29" s="1339"/>
      <c r="G29" s="1850"/>
      <c r="H29" s="379" t="s">
        <v>1033</v>
      </c>
      <c r="I29" s="380" t="s">
        <v>1480</v>
      </c>
      <c r="J29" s="381">
        <f ca="1">ROUND(J26/(1+F40)^F41,0)</f>
        <v>0</v>
      </c>
      <c r="K29" s="382" t="s">
        <v>1481</v>
      </c>
      <c r="L29" s="383"/>
      <c r="M29" s="384">
        <f ca="1">INDIRECT("'数据-取费表'!k"&amp;$G$1)</f>
        <v>3026.9400000000051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45</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17.5</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8.2200000000000006</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9.25</v>
      </c>
      <c r="D33" s="1824" t="s">
        <v>3439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7.0000000000000007E-2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486.95</v>
      </c>
      <c r="G35" s="1847"/>
      <c r="H35" s="744"/>
      <c r="I35" s="1856"/>
      <c r="J35" s="1857"/>
      <c r="K35" s="1858"/>
      <c r="L35" s="1855"/>
      <c r="M35" s="1855"/>
    </row>
    <row r="36" spans="1:18" ht="18" customHeight="1">
      <c r="A36" s="1348" t="s">
        <v>1039</v>
      </c>
      <c r="B36" s="346" t="s">
        <v>1450</v>
      </c>
      <c r="C36" s="23">
        <f ca="1">ROUND(C29*F36,1)</f>
        <v>22</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2.2000000000000002</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3.1</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112</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2755</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9102</v>
      </c>
      <c r="D43" s="382" t="s">
        <v>1489</v>
      </c>
      <c r="E43" s="383" t="s">
        <v>1490</v>
      </c>
      <c r="F43" s="384">
        <f ca="1">INDIRECT("'数据-取费表'!k"&amp;$G$1)</f>
        <v>3026.9400000000051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-3364</v>
      </c>
      <c r="D46" s="1868" t="str">
        <f>C2</f>
        <v>万元</v>
      </c>
      <c r="E46" s="1862"/>
      <c r="F46" s="1862"/>
      <c r="I46" s="1869" t="s">
        <v>1522</v>
      </c>
      <c r="J46" s="1870"/>
      <c r="K46" s="1871"/>
      <c r="L46" s="1872">
        <f ca="1">IF(M47="住宅",0,IF(L48&gt;J51,L60,J60))</f>
        <v>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3407</v>
      </c>
      <c r="K47" s="1878" t="s">
        <v>1528</v>
      </c>
      <c r="L47" s="1879">
        <f ca="1">INDIRECT("'数据-取费表'!d"&amp;$G$1)</f>
        <v>50</v>
      </c>
      <c r="M47" s="1834" t="str">
        <f>IF(ISNUMBER(FIND("住宅",C1)),"住宅","非住宅")</f>
        <v>非住宅</v>
      </c>
      <c r="O47" s="1880" t="s">
        <v>1040</v>
      </c>
      <c r="P47" s="1881" t="s">
        <v>1529</v>
      </c>
      <c r="Q47" s="1882">
        <f ca="1">C40+J29</f>
        <v>2755</v>
      </c>
      <c r="R47" s="1882" t="s">
        <v>1530</v>
      </c>
    </row>
    <row r="48" spans="1:18" s="1838" customFormat="1" ht="28.5" thickBot="1">
      <c r="A48" s="1356" t="s">
        <v>1135</v>
      </c>
      <c r="B48" s="344" t="s">
        <v>1401</v>
      </c>
      <c r="C48" s="2984">
        <f ca="1">C49+C53+C55</f>
        <v>0</v>
      </c>
      <c r="D48" s="1358"/>
      <c r="E48" s="1359"/>
      <c r="F48" s="1177"/>
      <c r="G48" s="791"/>
      <c r="H48" s="792"/>
      <c r="I48" s="1883" t="s">
        <v>1531</v>
      </c>
      <c r="J48" s="1884" t="s">
        <v>3432</v>
      </c>
      <c r="K48" s="1885" t="s">
        <v>1532</v>
      </c>
      <c r="L48" s="1886">
        <f ca="1">INDIRECT("'数据-取费表'!f"&amp;$G$1)</f>
        <v>46.2</v>
      </c>
      <c r="O48" s="1880" t="s">
        <v>1041</v>
      </c>
      <c r="P48" s="1881" t="s">
        <v>1533</v>
      </c>
      <c r="Q48" s="1882">
        <f ca="1">J60</f>
        <v>8</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2017</v>
      </c>
      <c r="K49" s="1885" t="s">
        <v>1536</v>
      </c>
      <c r="L49" s="1889"/>
      <c r="O49" s="1890" t="s">
        <v>1042</v>
      </c>
      <c r="P49" s="1881" t="s">
        <v>1537</v>
      </c>
      <c r="Q49" s="1882">
        <f ca="1">C29</f>
        <v>1101</v>
      </c>
      <c r="R49" s="1882" t="s">
        <v>1530</v>
      </c>
    </row>
    <row r="50" spans="1:18" s="1838" customFormat="1" ht="13.5" thickBot="1">
      <c r="A50" s="1191"/>
      <c r="B50" s="1194"/>
      <c r="C50" s="1364"/>
      <c r="D50" s="1168"/>
      <c r="E50" s="1273" t="s">
        <v>1406</v>
      </c>
      <c r="F50" s="1274">
        <f ca="1">F7</f>
        <v>3026.9400000000051</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59</v>
      </c>
      <c r="K51" s="1896" t="s">
        <v>1542</v>
      </c>
      <c r="L51" s="1897">
        <f ca="1">ROUND(-PV(INDIRECT("'数据-取费表'!h"&amp;$G$1),L48,(C39-C13*C76),0),0)</f>
        <v>392</v>
      </c>
      <c r="M51" s="1898"/>
      <c r="O51" s="1890" t="s">
        <v>1044</v>
      </c>
      <c r="P51" s="1881" t="s">
        <v>1543</v>
      </c>
      <c r="Q51" s="1893">
        <f>J52</f>
        <v>0.09</v>
      </c>
      <c r="R51" s="1882"/>
    </row>
    <row r="52" spans="1:18" s="1838" customFormat="1" ht="13.5" thickBot="1">
      <c r="A52" s="1192"/>
      <c r="B52" s="1194"/>
      <c r="C52" s="1195"/>
      <c r="D52" s="1168"/>
      <c r="E52" s="1196" t="s">
        <v>1408</v>
      </c>
      <c r="F52" s="1271"/>
      <c r="I52" s="1899" t="s">
        <v>1544</v>
      </c>
      <c r="J52" s="1900">
        <v>0.09</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46.2</v>
      </c>
      <c r="K53" s="3253" t="s">
        <v>1549</v>
      </c>
      <c r="L53" s="3254"/>
      <c r="O53" s="1880" t="s">
        <v>1046</v>
      </c>
      <c r="P53" s="1881" t="s">
        <v>1550</v>
      </c>
      <c r="Q53" s="1882">
        <f ca="1">Q47+Q48</f>
        <v>2763</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0.21299999999999999</v>
      </c>
      <c r="K55" s="1908" t="s">
        <v>1553</v>
      </c>
      <c r="L55" s="1909" t="s">
        <v>3434</v>
      </c>
      <c r="O55" s="1873" t="s">
        <v>1523</v>
      </c>
      <c r="P55" s="1874" t="s">
        <v>1524</v>
      </c>
      <c r="Q55" s="1875" t="s">
        <v>1525</v>
      </c>
      <c r="R55" s="1875" t="s">
        <v>1526</v>
      </c>
    </row>
    <row r="56" spans="1:18" s="1838" customFormat="1" ht="25.5" thickTop="1" thickBot="1">
      <c r="A56" s="1172">
        <v>2</v>
      </c>
      <c r="B56" s="1173" t="s">
        <v>1415</v>
      </c>
      <c r="C56" s="275">
        <f ca="1">C13</f>
        <v>1079</v>
      </c>
      <c r="D56" s="1910"/>
      <c r="E56" s="1911"/>
      <c r="F56" s="1903"/>
      <c r="I56" s="1912" t="s">
        <v>1554</v>
      </c>
      <c r="J56" s="1913" t="s">
        <v>3433</v>
      </c>
      <c r="K56" s="1883" t="s">
        <v>1555</v>
      </c>
      <c r="L56" s="1886" t="str">
        <f ca="1">IF(L48&lt;J51,"——",L48-J53)</f>
        <v>——</v>
      </c>
      <c r="O56" s="1880" t="s">
        <v>1040</v>
      </c>
      <c r="P56" s="1881" t="s">
        <v>1529</v>
      </c>
      <c r="Q56" s="1882">
        <f ca="1">C40+J29</f>
        <v>2755</v>
      </c>
      <c r="R56" s="1882" t="s">
        <v>1530</v>
      </c>
    </row>
    <row r="57" spans="1:18" s="1838" customFormat="1" ht="24.75" thickBot="1">
      <c r="A57" s="1914"/>
      <c r="B57" s="1165" t="s">
        <v>1479</v>
      </c>
      <c r="C57" s="281">
        <f ca="1">C29</f>
        <v>1101</v>
      </c>
      <c r="D57" s="1915"/>
      <c r="E57" s="1916"/>
      <c r="F57" s="1917"/>
      <c r="I57" s="1918" t="s">
        <v>1556</v>
      </c>
      <c r="J57" s="1919">
        <f ca="1">IF(OR(M47="住宅",J51&lt;L48,J56="是"),"——",J51-L48)</f>
        <v>12.799999999999997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34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9.3000000000000007</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440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9.25</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7.0000000000000007E-2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2755</v>
      </c>
      <c r="R62" s="1882" t="s">
        <v>1047</v>
      </c>
    </row>
    <row r="63" spans="1:18" s="1838" customFormat="1" ht="13.5" thickBot="1">
      <c r="A63" s="371"/>
      <c r="B63" s="1171"/>
      <c r="C63" s="28"/>
      <c r="D63" s="1181"/>
      <c r="E63" s="1165" t="s">
        <v>1448</v>
      </c>
      <c r="F63" s="347">
        <f t="shared" ca="1" si="0"/>
        <v>486.95</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22</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2.2000000000000002</v>
      </c>
      <c r="D65" s="1179" t="s">
        <v>1455</v>
      </c>
      <c r="E65" s="1165" t="s">
        <v>1423</v>
      </c>
      <c r="F65" s="375">
        <f t="shared" ca="1" si="0"/>
        <v>2E-3</v>
      </c>
      <c r="I65" s="1925" t="s">
        <v>1579</v>
      </c>
      <c r="J65" s="1926">
        <v>40</v>
      </c>
      <c r="K65" s="1926">
        <v>30</v>
      </c>
      <c r="L65" s="1926">
        <v>50</v>
      </c>
      <c r="M65" s="1928">
        <v>0.02</v>
      </c>
      <c r="O65" s="1880" t="s">
        <v>1040</v>
      </c>
      <c r="P65" s="1881" t="s">
        <v>1529</v>
      </c>
      <c r="Q65" s="1882">
        <f ca="1">C40+J29</f>
        <v>2755</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-34</v>
      </c>
      <c r="D67" s="1178" t="s">
        <v>1465</v>
      </c>
      <c r="E67" s="1183"/>
      <c r="F67" s="1184"/>
      <c r="O67" s="1890" t="s">
        <v>1042</v>
      </c>
      <c r="P67" s="1881" t="s">
        <v>1562</v>
      </c>
      <c r="Q67" s="1929">
        <f ca="1">L51</f>
        <v>392</v>
      </c>
      <c r="R67" s="1882" t="s">
        <v>1582</v>
      </c>
    </row>
    <row r="68" spans="1:18" s="1838" customFormat="1" ht="16.5" thickBot="1">
      <c r="A68" s="1162" t="s">
        <v>1032</v>
      </c>
      <c r="B68" s="1163" t="s">
        <v>1486</v>
      </c>
      <c r="C68" s="345">
        <f ca="1">ROUND(C67*(1-((1+F70)/(1+F68))^F69)/(F68-F70),0)</f>
        <v>-609</v>
      </c>
      <c r="D68" s="1180" t="s">
        <v>1470</v>
      </c>
      <c r="E68" s="1165" t="s">
        <v>1471</v>
      </c>
      <c r="F68" s="356">
        <f ca="1">F40</f>
        <v>0.05</v>
      </c>
      <c r="O68" s="1890" t="s">
        <v>1043</v>
      </c>
      <c r="P68" s="1930" t="s">
        <v>1583</v>
      </c>
      <c r="Q68" s="1882">
        <f ca="1">ROUND(Q69-Q70*Q71,0)</f>
        <v>20</v>
      </c>
      <c r="R68" s="1882" t="s">
        <v>1051</v>
      </c>
    </row>
    <row r="69" spans="1:18" s="1838" customFormat="1" ht="13.5" thickBot="1">
      <c r="A69" s="1166"/>
      <c r="B69" s="1167"/>
      <c r="C69" s="350"/>
      <c r="D69" s="1185" t="s">
        <v>1474</v>
      </c>
      <c r="E69" s="1165" t="s">
        <v>1475</v>
      </c>
      <c r="F69" s="378">
        <f ca="1">F41</f>
        <v>46.2</v>
      </c>
      <c r="O69" s="1890" t="s">
        <v>1048</v>
      </c>
      <c r="P69" s="1930" t="s">
        <v>1584</v>
      </c>
      <c r="Q69" s="1882">
        <f ca="1">C39</f>
        <v>112</v>
      </c>
      <c r="R69" s="1882" t="s">
        <v>1530</v>
      </c>
    </row>
    <row r="70" spans="1:18" s="1838" customFormat="1" ht="13.5" thickBot="1">
      <c r="A70" s="1169"/>
      <c r="B70" s="1170"/>
      <c r="C70" s="354"/>
      <c r="D70" s="1181"/>
      <c r="E70" s="1165" t="s">
        <v>1478</v>
      </c>
      <c r="F70" s="1271"/>
      <c r="O70" s="1890" t="s">
        <v>1049</v>
      </c>
      <c r="P70" s="1930" t="s">
        <v>1585</v>
      </c>
      <c r="Q70" s="1882">
        <f ca="1">C13</f>
        <v>1079</v>
      </c>
      <c r="R70" s="1882" t="s">
        <v>1530</v>
      </c>
    </row>
    <row r="71" spans="1:18" s="1838" customFormat="1" ht="13.5" thickBot="1">
      <c r="A71" s="1186" t="s">
        <v>1033</v>
      </c>
      <c r="B71" s="1187" t="s">
        <v>1488</v>
      </c>
      <c r="C71" s="381">
        <f ca="1">ROUND(C68*10000/F71,0)</f>
        <v>-2012</v>
      </c>
      <c r="D71" s="1188" t="s">
        <v>1489</v>
      </c>
      <c r="E71" s="1189" t="s">
        <v>1490</v>
      </c>
      <c r="F71" s="384">
        <f ca="1">F43</f>
        <v>3026.9400000000051</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92</v>
      </c>
      <c r="D75" s="1838"/>
      <c r="E75" s="1838"/>
      <c r="F75" s="1838"/>
      <c r="K75" s="1864"/>
      <c r="L75" s="1838"/>
      <c r="O75" s="1880" t="s">
        <v>1046</v>
      </c>
      <c r="P75" s="1881" t="s">
        <v>1550</v>
      </c>
      <c r="Q75" s="1882">
        <f ca="1">Q65+Q66</f>
        <v>2755</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0.17900000000000005</v>
      </c>
    </row>
    <row r="80" spans="1:18">
      <c r="B80" s="385" t="s">
        <v>1512</v>
      </c>
      <c r="C80" s="317">
        <f ca="1">ROUND(C75/C39,3)</f>
        <v>0.82099999999999995</v>
      </c>
    </row>
    <row r="81" spans="2:3">
      <c r="B81" s="313" t="s">
        <v>1513</v>
      </c>
      <c r="C81" s="281"/>
    </row>
    <row r="82" spans="2:3">
      <c r="B82" s="316" t="s">
        <v>1514</v>
      </c>
      <c r="C82" s="318">
        <f ca="1">1-C83</f>
        <v>0.60799999999999998</v>
      </c>
    </row>
    <row r="83" spans="2:3">
      <c r="B83" s="316" t="s">
        <v>1515</v>
      </c>
      <c r="C83" s="317">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55" t="s">
        <v>1403</v>
      </c>
      <c r="C6" s="1292">
        <f ca="1">ROUND(F6*F8*F7*(1-F9),0)</f>
        <v>0</v>
      </c>
      <c r="D6" s="163" t="s">
        <v>3029</v>
      </c>
      <c r="E6" s="346" t="s">
        <v>1405</v>
      </c>
      <c r="F6" s="347">
        <f ca="1">INDIRECT("'数据-取费表'!u"&amp;$G$1)</f>
        <v>0</v>
      </c>
      <c r="G6" s="1847"/>
      <c r="H6" s="1287" t="s">
        <v>1035</v>
      </c>
      <c r="I6" s="3255" t="s">
        <v>1403</v>
      </c>
      <c r="J6" s="345">
        <f ca="1">ROUND(M6*M8*M7*(1-M9),0)</f>
        <v>0</v>
      </c>
      <c r="K6" s="1830" t="s">
        <v>3032</v>
      </c>
      <c r="L6" s="346" t="s">
        <v>1405</v>
      </c>
      <c r="M6" s="347">
        <f ca="1">INDIRECT("'数据-取费表'!z"&amp;$G$1)</f>
        <v>0</v>
      </c>
    </row>
    <row r="7" spans="1:37" ht="18" customHeight="1">
      <c r="A7" s="1291"/>
      <c r="B7" s="3256"/>
      <c r="C7" s="1293"/>
      <c r="D7" s="351"/>
      <c r="E7" s="1294" t="s">
        <v>1406</v>
      </c>
      <c r="F7" s="347">
        <f ca="1">IF(INDIRECT("'数据-取费表'!ah"&amp;$G$1)="",INDIRECT("'数据-取费表'!k"&amp;$G$1),INDIRECT("'数据-取费表'!ah"&amp;$G$1))</f>
        <v>0</v>
      </c>
      <c r="G7" s="1847"/>
      <c r="H7" s="348"/>
      <c r="I7" s="3256"/>
      <c r="J7" s="350"/>
      <c r="K7" s="351"/>
      <c r="L7" s="346" t="s">
        <v>1406</v>
      </c>
      <c r="M7" s="347">
        <f ca="1">F7</f>
        <v>0</v>
      </c>
    </row>
    <row r="8" spans="1:37" ht="18" customHeight="1">
      <c r="A8" s="348"/>
      <c r="B8" s="3256"/>
      <c r="C8" s="350"/>
      <c r="D8" s="351"/>
      <c r="E8" s="346" t="s">
        <v>1407</v>
      </c>
      <c r="F8" s="347">
        <f ca="1">INDIRECT("'数据-取费表'!ai"&amp;$G$1)</f>
        <v>0</v>
      </c>
      <c r="G8" s="1847"/>
      <c r="H8" s="348"/>
      <c r="I8" s="3256"/>
      <c r="J8" s="350"/>
      <c r="K8" s="351"/>
      <c r="L8" s="346" t="s">
        <v>1407</v>
      </c>
      <c r="M8" s="347">
        <f ca="1">INDIRECT("'数据-取费表'!ai"&amp;$G$1)</f>
        <v>0</v>
      </c>
    </row>
    <row r="9" spans="1:37" ht="18" customHeight="1">
      <c r="A9" s="348"/>
      <c r="B9" s="3257"/>
      <c r="C9" s="350"/>
      <c r="D9" s="351"/>
      <c r="E9" s="346" t="s">
        <v>1408</v>
      </c>
      <c r="F9" s="356">
        <f ca="1">INDIRECT("'数据-取费表'!w"&amp;$G$1)</f>
        <v>0</v>
      </c>
      <c r="G9" s="1847"/>
      <c r="H9" s="348"/>
      <c r="I9" s="3257"/>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53" t="s">
        <v>1549</v>
      </c>
      <c r="L53" s="3254"/>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2763</v>
      </c>
      <c r="C2" s="2559" t="s">
        <v>2518</v>
      </c>
      <c r="D2" s="2560" t="s">
        <v>2519</v>
      </c>
      <c r="E2" s="2561">
        <f>SUM(E6:E13)</f>
        <v>3026.9400000000051</v>
      </c>
    </row>
    <row r="3" spans="1:6" ht="15.75">
      <c r="A3" s="2557" t="s">
        <v>1395</v>
      </c>
      <c r="B3" s="2558">
        <f ca="1">ROUND(B2*10000/E2,0)</f>
        <v>9128</v>
      </c>
      <c r="C3" s="2559" t="s">
        <v>2526</v>
      </c>
      <c r="D3" s="2562"/>
      <c r="E3" s="2563"/>
    </row>
    <row r="4" spans="1:6" ht="15.75">
      <c r="A4" s="2564"/>
      <c r="B4" s="2562"/>
      <c r="C4" s="2562"/>
      <c r="D4" s="2562"/>
      <c r="E4" s="2563"/>
    </row>
    <row r="5" spans="1:6" ht="15">
      <c r="A5" s="2565" t="s">
        <v>2520</v>
      </c>
      <c r="B5" s="3321" t="s">
        <v>2521</v>
      </c>
      <c r="C5" s="3321"/>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3433</v>
      </c>
    </row>
    <row r="7" spans="1:6">
      <c r="A7" s="2569" t="str">
        <f>'数据-取费表'!AN7</f>
        <v>收益法（商业）</v>
      </c>
      <c r="B7" s="2568">
        <f>IF(F7="是",'数据-取费表'!AO7,0)</f>
        <v>0</v>
      </c>
      <c r="C7" s="2559" t="s">
        <v>2518</v>
      </c>
      <c r="D7" s="2562"/>
      <c r="E7" s="2570">
        <f>IF(OR(A7=0,F7="否"),0,'数据-取费表'!K7+'数据-取费表'!S7)</f>
        <v>0</v>
      </c>
      <c r="F7" s="2571" t="s">
        <v>3433</v>
      </c>
    </row>
    <row r="8" spans="1:6">
      <c r="A8" s="2569" t="str">
        <f>'数据-取费表'!AN8</f>
        <v>收益法（地下车库）</v>
      </c>
      <c r="B8" s="2568">
        <f ca="1">IF(F8="是",'数据-取费表'!AO8,0)</f>
        <v>2763</v>
      </c>
      <c r="C8" s="2559" t="s">
        <v>2518</v>
      </c>
      <c r="D8" s="2562"/>
      <c r="E8" s="2570">
        <f>IF(OR(A8=0,F8="否"),0,'数据-取费表'!K8+'数据-取费表'!S8)</f>
        <v>3026.9400000000051</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8" t="s">
        <v>1076</v>
      </c>
      <c r="B1" s="3339"/>
      <c r="C1" s="3340"/>
      <c r="D1" s="3341">
        <f>SUM(I10,I15,I20,I21,I23)</f>
        <v>0</v>
      </c>
      <c r="E1" s="3341"/>
      <c r="F1" s="3341"/>
      <c r="G1" s="3341"/>
      <c r="H1" s="3341"/>
      <c r="I1" s="3342"/>
    </row>
    <row r="2" spans="1:9">
      <c r="A2" s="3328" t="s">
        <v>1077</v>
      </c>
      <c r="B2" s="3329" t="s">
        <v>1078</v>
      </c>
      <c r="C2" s="3329"/>
      <c r="D2" s="1297" t="s">
        <v>1079</v>
      </c>
      <c r="E2" s="1297" t="s">
        <v>1080</v>
      </c>
      <c r="F2" s="1297" t="s">
        <v>1081</v>
      </c>
      <c r="G2" s="1297" t="s">
        <v>1082</v>
      </c>
      <c r="H2" s="1297" t="s">
        <v>1083</v>
      </c>
      <c r="I2" s="1298" t="s">
        <v>1084</v>
      </c>
    </row>
    <row r="3" spans="1:9">
      <c r="A3" s="3328"/>
      <c r="B3" s="3329" t="s">
        <v>1085</v>
      </c>
      <c r="C3" s="3329"/>
      <c r="D3" s="1299"/>
      <c r="E3" s="1297"/>
      <c r="F3" s="1300"/>
      <c r="G3" s="1300"/>
      <c r="H3" s="1301"/>
      <c r="I3" s="1302">
        <f>ROUND(D3*E3*F3*G3*H3/10000,0)</f>
        <v>0</v>
      </c>
    </row>
    <row r="4" spans="1:9">
      <c r="A4" s="3328"/>
      <c r="B4" s="3329" t="s">
        <v>1086</v>
      </c>
      <c r="C4" s="3329"/>
      <c r="D4" s="1299"/>
      <c r="E4" s="1297"/>
      <c r="F4" s="1300"/>
      <c r="G4" s="1300"/>
      <c r="H4" s="1301"/>
      <c r="I4" s="1302">
        <f t="shared" ref="I4:I9" si="0">ROUND(D4*E4*F4*G4*H4/10000,0)</f>
        <v>0</v>
      </c>
    </row>
    <row r="5" spans="1:9">
      <c r="A5" s="3328"/>
      <c r="B5" s="3329" t="s">
        <v>1087</v>
      </c>
      <c r="C5" s="3329"/>
      <c r="D5" s="1299"/>
      <c r="E5" s="1297"/>
      <c r="F5" s="1300"/>
      <c r="G5" s="1300"/>
      <c r="H5" s="1301"/>
      <c r="I5" s="1302">
        <f t="shared" si="0"/>
        <v>0</v>
      </c>
    </row>
    <row r="6" spans="1:9">
      <c r="A6" s="3328"/>
      <c r="B6" s="3329" t="s">
        <v>1088</v>
      </c>
      <c r="C6" s="3329"/>
      <c r="D6" s="1299"/>
      <c r="E6" s="1297"/>
      <c r="F6" s="1300"/>
      <c r="G6" s="1300"/>
      <c r="H6" s="1301"/>
      <c r="I6" s="1302">
        <f t="shared" si="0"/>
        <v>0</v>
      </c>
    </row>
    <row r="7" spans="1:9">
      <c r="A7" s="3328"/>
      <c r="B7" s="3329" t="s">
        <v>1089</v>
      </c>
      <c r="C7" s="3329"/>
      <c r="D7" s="1299"/>
      <c r="E7" s="1297"/>
      <c r="F7" s="1300"/>
      <c r="G7" s="1300"/>
      <c r="H7" s="1301"/>
      <c r="I7" s="1302">
        <f t="shared" si="0"/>
        <v>0</v>
      </c>
    </row>
    <row r="8" spans="1:9">
      <c r="A8" s="3328"/>
      <c r="B8" s="3329" t="s">
        <v>1090</v>
      </c>
      <c r="C8" s="3329"/>
      <c r="D8" s="1299"/>
      <c r="E8" s="1297"/>
      <c r="F8" s="1300"/>
      <c r="G8" s="1300"/>
      <c r="H8" s="1301"/>
      <c r="I8" s="1302">
        <f t="shared" si="0"/>
        <v>0</v>
      </c>
    </row>
    <row r="9" spans="1:9">
      <c r="A9" s="3328"/>
      <c r="B9" s="3329" t="s">
        <v>1091</v>
      </c>
      <c r="C9" s="3329"/>
      <c r="D9" s="1299"/>
      <c r="E9" s="1297"/>
      <c r="F9" s="1300"/>
      <c r="G9" s="1300"/>
      <c r="H9" s="1301"/>
      <c r="I9" s="1302">
        <f t="shared" si="0"/>
        <v>0</v>
      </c>
    </row>
    <row r="10" spans="1:9">
      <c r="A10" s="3328"/>
      <c r="B10" s="3330" t="s">
        <v>1092</v>
      </c>
      <c r="C10" s="3330"/>
      <c r="D10" s="1303"/>
      <c r="E10" s="1303" t="e">
        <f>ROUND(D1*10000/D10/H9,0)</f>
        <v>#DIV/0!</v>
      </c>
      <c r="F10" s="1304"/>
      <c r="G10" s="1304"/>
      <c r="H10" s="1305"/>
      <c r="I10" s="1306">
        <f>SUM(I3:I9)</f>
        <v>0</v>
      </c>
    </row>
    <row r="11" spans="1:9" ht="14.25">
      <c r="A11" s="3328" t="s">
        <v>1093</v>
      </c>
      <c r="B11" s="3329" t="s">
        <v>1094</v>
      </c>
      <c r="C11" s="3329"/>
      <c r="D11" s="1299" t="s">
        <v>1095</v>
      </c>
      <c r="E11" s="1299" t="s">
        <v>1096</v>
      </c>
      <c r="F11" s="1300" t="s">
        <v>1097</v>
      </c>
      <c r="G11" s="1300" t="s">
        <v>1083</v>
      </c>
      <c r="H11" s="1307" t="s">
        <v>1098</v>
      </c>
      <c r="I11" s="1298" t="s">
        <v>1084</v>
      </c>
    </row>
    <row r="12" spans="1:9">
      <c r="A12" s="3328"/>
      <c r="B12" s="3329" t="s">
        <v>1099</v>
      </c>
      <c r="C12" s="3329"/>
      <c r="D12" s="1299"/>
      <c r="E12" s="1299"/>
      <c r="F12" s="1300"/>
      <c r="G12" s="1301"/>
      <c r="H12" s="1308"/>
      <c r="I12" s="1298">
        <f>ROUND(D12*E12*F12*G12/10000,0)</f>
        <v>0</v>
      </c>
    </row>
    <row r="13" spans="1:9">
      <c r="A13" s="3328"/>
      <c r="B13" s="3329" t="s">
        <v>1100</v>
      </c>
      <c r="C13" s="3329"/>
      <c r="D13" s="1299"/>
      <c r="E13" s="1299"/>
      <c r="F13" s="1300"/>
      <c r="G13" s="1301"/>
      <c r="H13" s="1308"/>
      <c r="I13" s="1298">
        <f>ROUND(D13*E13*F13*G13/10000,0)</f>
        <v>0</v>
      </c>
    </row>
    <row r="14" spans="1:9">
      <c r="A14" s="3328"/>
      <c r="B14" s="3329" t="s">
        <v>1101</v>
      </c>
      <c r="C14" s="3329"/>
      <c r="D14" s="1299"/>
      <c r="E14" s="1299"/>
      <c r="F14" s="1300"/>
      <c r="G14" s="1301"/>
      <c r="H14" s="1308"/>
      <c r="I14" s="1298">
        <f>ROUND(D14*E14*F14*G14/10000,0)</f>
        <v>0</v>
      </c>
    </row>
    <row r="15" spans="1:9">
      <c r="A15" s="3328"/>
      <c r="B15" s="3330" t="s">
        <v>1092</v>
      </c>
      <c r="C15" s="3330"/>
      <c r="D15" s="1303"/>
      <c r="E15" s="1303">
        <f>SUM(E12:E14)</f>
        <v>0</v>
      </c>
      <c r="F15" s="1304"/>
      <c r="G15" s="1301"/>
      <c r="H15" s="1308"/>
      <c r="I15" s="1309">
        <f>SUM(I12:I14)</f>
        <v>0</v>
      </c>
    </row>
    <row r="16" spans="1:9" ht="24">
      <c r="A16" s="3328" t="s">
        <v>1102</v>
      </c>
      <c r="B16" s="3329" t="s">
        <v>1103</v>
      </c>
      <c r="C16" s="3329"/>
      <c r="D16" s="1299" t="s">
        <v>1079</v>
      </c>
      <c r="E16" s="1310" t="s">
        <v>1104</v>
      </c>
      <c r="F16" s="1300" t="s">
        <v>1105</v>
      </c>
      <c r="G16" s="1301" t="s">
        <v>1083</v>
      </c>
      <c r="H16" s="1307" t="s">
        <v>1098</v>
      </c>
      <c r="I16" s="1298" t="s">
        <v>1084</v>
      </c>
    </row>
    <row r="17" spans="1:9" ht="14.25">
      <c r="A17" s="3328"/>
      <c r="B17" s="3329" t="s">
        <v>1106</v>
      </c>
      <c r="C17" s="3329"/>
      <c r="D17" s="1299"/>
      <c r="E17" s="1299"/>
      <c r="F17" s="1300"/>
      <c r="G17" s="1301"/>
      <c r="H17" s="1311"/>
      <c r="I17" s="1312">
        <f>ROUND(D17*E17*F17*G17/10000,0)</f>
        <v>0</v>
      </c>
    </row>
    <row r="18" spans="1:9" ht="14.25">
      <c r="A18" s="3328"/>
      <c r="B18" s="3329" t="s">
        <v>1107</v>
      </c>
      <c r="C18" s="3329"/>
      <c r="D18" s="1299"/>
      <c r="E18" s="1299"/>
      <c r="F18" s="1300"/>
      <c r="G18" s="1301"/>
      <c r="H18" s="1311"/>
      <c r="I18" s="1312">
        <f>ROUND(D18*E18*F18*G18/10000,0)</f>
        <v>0</v>
      </c>
    </row>
    <row r="19" spans="1:9" ht="14.25">
      <c r="A19" s="3328"/>
      <c r="B19" s="3329" t="s">
        <v>1108</v>
      </c>
      <c r="C19" s="3329"/>
      <c r="D19" s="1299"/>
      <c r="E19" s="1299"/>
      <c r="F19" s="1300"/>
      <c r="G19" s="1301"/>
      <c r="H19" s="1311"/>
      <c r="I19" s="1312">
        <f>ROUND(D19*E19*F19*G19/10000,0)</f>
        <v>0</v>
      </c>
    </row>
    <row r="20" spans="1:9">
      <c r="A20" s="3328"/>
      <c r="B20" s="3330" t="s">
        <v>1092</v>
      </c>
      <c r="C20" s="3330"/>
      <c r="D20" s="1303">
        <f>SUM(D17:D19)</f>
        <v>0</v>
      </c>
      <c r="E20" s="1303"/>
      <c r="F20" s="1304"/>
      <c r="G20" s="1301"/>
      <c r="H20" s="1308"/>
      <c r="I20" s="1309">
        <f>SUM(I17:I19)</f>
        <v>0</v>
      </c>
    </row>
    <row r="21" spans="1:9">
      <c r="A21" s="3328" t="s">
        <v>1109</v>
      </c>
      <c r="B21" s="3331"/>
      <c r="C21" s="3331"/>
      <c r="D21" s="3331"/>
      <c r="E21" s="3331"/>
      <c r="F21" s="3331"/>
      <c r="G21" s="3331"/>
      <c r="H21" s="1761">
        <v>0.1</v>
      </c>
      <c r="I21" s="1306">
        <f>ROUND(I10*H21,0)</f>
        <v>0</v>
      </c>
    </row>
    <row r="22" spans="1:9" ht="14.25">
      <c r="A22" s="3332" t="s">
        <v>1110</v>
      </c>
      <c r="B22" s="3333"/>
      <c r="C22" s="3334"/>
      <c r="D22" s="1313" t="s">
        <v>1111</v>
      </c>
      <c r="E22" s="1313" t="s">
        <v>1112</v>
      </c>
      <c r="F22" s="1314" t="s">
        <v>1113</v>
      </c>
      <c r="G22" s="1314" t="s">
        <v>1114</v>
      </c>
      <c r="H22" s="1307" t="s">
        <v>1115</v>
      </c>
      <c r="I22" s="1298" t="s">
        <v>1116</v>
      </c>
    </row>
    <row r="23" spans="1:9" ht="14.25" thickBot="1">
      <c r="A23" s="3335"/>
      <c r="B23" s="3336"/>
      <c r="C23" s="3337"/>
      <c r="D23" s="1315"/>
      <c r="E23" s="1315"/>
      <c r="F23" s="1315"/>
      <c r="G23" s="1316"/>
      <c r="H23" s="1317"/>
      <c r="I23" s="1318">
        <f>ROUND(E23*D23*F23*(1-G23)/10000,0)</f>
        <v>0</v>
      </c>
    </row>
    <row r="26" spans="1:9">
      <c r="A26" s="1319" t="s">
        <v>1117</v>
      </c>
      <c r="B26" s="1319"/>
      <c r="C26" s="1319"/>
      <c r="D26" s="1319"/>
      <c r="E26" s="3325">
        <f>C27-C30-C31-C32</f>
        <v>0</v>
      </c>
      <c r="F26" s="3325"/>
      <c r="G26" s="3325"/>
      <c r="H26" s="1733" t="s">
        <v>1340</v>
      </c>
    </row>
    <row r="27" spans="1:9">
      <c r="A27" s="1320">
        <v>1</v>
      </c>
      <c r="B27" s="1321" t="s">
        <v>1118</v>
      </c>
      <c r="C27" s="1321">
        <f>C28+C29</f>
        <v>0</v>
      </c>
      <c r="D27" s="1321"/>
      <c r="E27" s="3326"/>
      <c r="F27" s="3326"/>
      <c r="G27" s="3326"/>
    </row>
    <row r="28" spans="1:9">
      <c r="A28" s="1322" t="s">
        <v>1119</v>
      </c>
      <c r="B28" s="1321" t="s">
        <v>1120</v>
      </c>
      <c r="C28" s="1321"/>
      <c r="D28" s="1321"/>
      <c r="E28" s="3326"/>
      <c r="F28" s="3326"/>
      <c r="G28" s="3326"/>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7"/>
      <c r="F32" s="3327"/>
      <c r="G32" s="3327"/>
    </row>
    <row r="33" spans="1:7" hidden="1">
      <c r="A33" s="3322" t="s">
        <v>1129</v>
      </c>
      <c r="B33" s="3323"/>
      <c r="C33" s="3323"/>
      <c r="D33" s="3324"/>
      <c r="E33" s="3325"/>
      <c r="F33" s="3325"/>
      <c r="G33" s="3325"/>
    </row>
    <row r="34" spans="1:7" hidden="1">
      <c r="A34" s="1324">
        <v>1</v>
      </c>
      <c r="B34" s="1321" t="s">
        <v>1130</v>
      </c>
      <c r="C34" s="1321"/>
      <c r="D34" s="1321"/>
      <c r="E34" s="3326"/>
      <c r="F34" s="3326"/>
      <c r="G34" s="3326"/>
    </row>
    <row r="35" spans="1:7" hidden="1">
      <c r="A35" s="1324">
        <v>2</v>
      </c>
      <c r="B35" s="1321" t="s">
        <v>1131</v>
      </c>
      <c r="C35" s="1321"/>
      <c r="D35" s="1321"/>
      <c r="E35" s="3326"/>
      <c r="F35" s="3326"/>
      <c r="G35" s="3326"/>
    </row>
    <row r="36" spans="1:7" hidden="1">
      <c r="A36" s="1324">
        <v>3</v>
      </c>
      <c r="B36" s="1321" t="s">
        <v>1132</v>
      </c>
      <c r="C36" s="1321"/>
      <c r="D36" s="1321"/>
      <c r="E36" s="3326"/>
      <c r="F36" s="3326"/>
      <c r="G36" s="3326"/>
    </row>
    <row r="37" spans="1:7" hidden="1">
      <c r="A37" s="1324">
        <v>4</v>
      </c>
      <c r="B37" s="1321" t="s">
        <v>1133</v>
      </c>
      <c r="C37" s="1321"/>
      <c r="D37" s="1321"/>
      <c r="E37" s="3326"/>
      <c r="F37" s="3326"/>
      <c r="G37" s="3326"/>
    </row>
    <row r="38" spans="1:7" hidden="1">
      <c r="A38" s="3322" t="s">
        <v>1134</v>
      </c>
      <c r="B38" s="3323"/>
      <c r="C38" s="3323"/>
      <c r="D38" s="3324"/>
      <c r="E38" s="3325"/>
      <c r="F38" s="3325"/>
      <c r="G38" s="3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16965.740000000005</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76" t="s">
        <v>2535</v>
      </c>
      <c r="D4" s="3277"/>
      <c r="E4" s="3278" t="s">
        <v>2536</v>
      </c>
      <c r="F4" s="3279"/>
      <c r="G4" s="3276" t="s">
        <v>2537</v>
      </c>
      <c r="H4" s="3277"/>
      <c r="I4" s="3276" t="s">
        <v>2538</v>
      </c>
      <c r="J4" s="3277"/>
      <c r="K4" s="2589" t="s">
        <v>2539</v>
      </c>
      <c r="L4" s="1126"/>
      <c r="M4" s="1127"/>
      <c r="N4" s="1127"/>
      <c r="O4" s="1127"/>
      <c r="P4" s="3314" t="s">
        <v>2540</v>
      </c>
      <c r="Q4" s="3315"/>
      <c r="R4" s="3318" t="s">
        <v>2536</v>
      </c>
      <c r="S4" s="3319"/>
      <c r="T4" s="3318" t="s">
        <v>2537</v>
      </c>
      <c r="U4" s="3319"/>
      <c r="V4" s="3293" t="s">
        <v>2538</v>
      </c>
      <c r="W4" s="3293"/>
      <c r="X4" s="1809"/>
      <c r="Y4" s="3318" t="s">
        <v>2540</v>
      </c>
      <c r="Z4" s="3319"/>
      <c r="AA4" s="3313" t="s">
        <v>2536</v>
      </c>
      <c r="AB4" s="3313" t="s">
        <v>2537</v>
      </c>
      <c r="AC4" s="3313" t="s">
        <v>2538</v>
      </c>
    </row>
    <row r="5" spans="1:29" ht="15">
      <c r="A5" s="403"/>
      <c r="B5" s="404"/>
      <c r="C5" s="3302" t="s">
        <v>2541</v>
      </c>
      <c r="D5" s="3297"/>
      <c r="E5" s="3320" t="s">
        <v>2542</v>
      </c>
      <c r="F5" s="3309"/>
      <c r="G5" s="3302" t="s">
        <v>2543</v>
      </c>
      <c r="H5" s="3297"/>
      <c r="I5" s="3302" t="s">
        <v>2544</v>
      </c>
      <c r="J5" s="3297"/>
      <c r="K5" s="2590"/>
      <c r="L5" s="1126"/>
      <c r="M5" s="1127"/>
      <c r="N5" s="1127"/>
      <c r="O5" s="1127"/>
      <c r="P5" s="3316"/>
      <c r="Q5" s="3283"/>
      <c r="R5" s="3288"/>
      <c r="S5" s="3289"/>
      <c r="T5" s="3288"/>
      <c r="U5" s="3289"/>
      <c r="V5" s="3293"/>
      <c r="W5" s="3293"/>
      <c r="X5" s="1809"/>
      <c r="Y5" s="3288"/>
      <c r="Z5" s="3289"/>
      <c r="AA5" s="3306"/>
      <c r="AB5" s="3306"/>
      <c r="AC5" s="3306"/>
    </row>
    <row r="6" spans="1:29" ht="15.75" thickBot="1">
      <c r="A6" s="405"/>
      <c r="B6" s="406"/>
      <c r="C6" s="3294" t="s">
        <v>2545</v>
      </c>
      <c r="D6" s="3295"/>
      <c r="E6" s="3303" t="s">
        <v>2545</v>
      </c>
      <c r="F6" s="3304"/>
      <c r="G6" s="3294" t="s">
        <v>2545</v>
      </c>
      <c r="H6" s="3295"/>
      <c r="I6" s="3294" t="s">
        <v>2545</v>
      </c>
      <c r="J6" s="3295"/>
      <c r="K6" s="2590" t="s">
        <v>2546</v>
      </c>
      <c r="L6" s="1126"/>
      <c r="M6" s="1127"/>
      <c r="N6" s="1127"/>
      <c r="O6" s="1127"/>
      <c r="P6" s="3317"/>
      <c r="Q6" s="3285"/>
      <c r="R6" s="3288"/>
      <c r="S6" s="3289"/>
      <c r="T6" s="3290"/>
      <c r="U6" s="3291"/>
      <c r="V6" s="3293"/>
      <c r="W6" s="3293"/>
      <c r="X6" s="1809"/>
      <c r="Y6" s="3290"/>
      <c r="Z6" s="3291"/>
      <c r="AA6" s="3307"/>
      <c r="AB6" s="3307"/>
      <c r="AC6" s="3307"/>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300" t="s">
        <v>2548</v>
      </c>
      <c r="Q7" s="3301"/>
      <c r="R7" s="769" t="s">
        <v>23</v>
      </c>
      <c r="S7" s="770">
        <f t="shared" ref="S7:S15" si="0">F7</f>
        <v>0</v>
      </c>
      <c r="T7" s="769" t="s">
        <v>23</v>
      </c>
      <c r="U7" s="770">
        <f t="shared" ref="U7:U15" si="1">H7</f>
        <v>0</v>
      </c>
      <c r="V7" s="769" t="s">
        <v>23</v>
      </c>
      <c r="W7" s="770">
        <f t="shared" ref="W7:W15" si="2">J7</f>
        <v>0</v>
      </c>
      <c r="X7" s="771"/>
      <c r="Y7" s="3300" t="s">
        <v>2548</v>
      </c>
      <c r="Z7" s="3299"/>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300" t="s">
        <v>2551</v>
      </c>
      <c r="Q8" s="3299"/>
      <c r="R8" s="769" t="s">
        <v>23</v>
      </c>
      <c r="S8" s="770">
        <f t="shared" si="0"/>
        <v>0</v>
      </c>
      <c r="T8" s="769" t="s">
        <v>23</v>
      </c>
      <c r="U8" s="770">
        <f t="shared" si="1"/>
        <v>0</v>
      </c>
      <c r="V8" s="769" t="s">
        <v>23</v>
      </c>
      <c r="W8" s="770">
        <f t="shared" si="2"/>
        <v>0</v>
      </c>
      <c r="X8" s="771"/>
      <c r="Y8" s="3300" t="s">
        <v>2551</v>
      </c>
      <c r="Z8" s="3299"/>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58"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58"/>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58"/>
      <c r="Q11" s="1791" t="str">
        <f t="shared" si="6"/>
        <v>容积率</v>
      </c>
      <c r="R11" s="769" t="s">
        <v>21</v>
      </c>
      <c r="S11" s="770" t="e">
        <f t="shared" si="0"/>
        <v>#N/A</v>
      </c>
      <c r="T11" s="769" t="s">
        <v>21</v>
      </c>
      <c r="U11" s="770" t="e">
        <f t="shared" si="1"/>
        <v>#N/A</v>
      </c>
      <c r="V11" s="769" t="s">
        <v>21</v>
      </c>
      <c r="W11" s="770" t="e">
        <f t="shared" si="2"/>
        <v>#N/A</v>
      </c>
      <c r="X11" s="771"/>
      <c r="Y11" s="3108"/>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58"/>
      <c r="Q12" s="1791">
        <f t="shared" si="6"/>
        <v>111</v>
      </c>
      <c r="R12" s="769" t="s">
        <v>21</v>
      </c>
      <c r="S12" s="770">
        <f t="shared" si="0"/>
        <v>100</v>
      </c>
      <c r="T12" s="769" t="s">
        <v>21</v>
      </c>
      <c r="U12" s="770">
        <f t="shared" si="1"/>
        <v>100</v>
      </c>
      <c r="V12" s="769" t="s">
        <v>21</v>
      </c>
      <c r="W12" s="770">
        <f t="shared" si="2"/>
        <v>100</v>
      </c>
      <c r="X12" s="771"/>
      <c r="Y12" s="3108"/>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58"/>
      <c r="Q13" s="1791">
        <f t="shared" si="6"/>
        <v>111</v>
      </c>
      <c r="R13" s="769" t="s">
        <v>21</v>
      </c>
      <c r="S13" s="770">
        <f t="shared" si="0"/>
        <v>100</v>
      </c>
      <c r="T13" s="769" t="s">
        <v>21</v>
      </c>
      <c r="U13" s="770">
        <f t="shared" si="1"/>
        <v>100</v>
      </c>
      <c r="V13" s="769" t="s">
        <v>21</v>
      </c>
      <c r="W13" s="770">
        <f t="shared" si="2"/>
        <v>100</v>
      </c>
      <c r="X13" s="771"/>
      <c r="Y13" s="3108"/>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58"/>
      <c r="Q14" s="1791">
        <f t="shared" si="6"/>
        <v>111</v>
      </c>
      <c r="R14" s="769" t="s">
        <v>21</v>
      </c>
      <c r="S14" s="770">
        <f t="shared" si="0"/>
        <v>100</v>
      </c>
      <c r="T14" s="769" t="s">
        <v>21</v>
      </c>
      <c r="U14" s="770">
        <f t="shared" si="1"/>
        <v>100</v>
      </c>
      <c r="V14" s="769" t="s">
        <v>21</v>
      </c>
      <c r="W14" s="770">
        <f t="shared" si="2"/>
        <v>100</v>
      </c>
      <c r="X14" s="771"/>
      <c r="Y14" s="3108"/>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64" t="s">
        <v>2559</v>
      </c>
      <c r="Q15" s="1806" t="str">
        <f t="shared" si="6"/>
        <v>居住社区成熟度</v>
      </c>
      <c r="R15" s="773" t="s">
        <v>21</v>
      </c>
      <c r="S15" s="774">
        <f t="shared" si="0"/>
        <v>100</v>
      </c>
      <c r="T15" s="773" t="s">
        <v>21</v>
      </c>
      <c r="U15" s="774">
        <f t="shared" si="1"/>
        <v>100</v>
      </c>
      <c r="V15" s="773" t="s">
        <v>21</v>
      </c>
      <c r="W15" s="774">
        <f t="shared" si="2"/>
        <v>100</v>
      </c>
      <c r="X15" s="1809"/>
      <c r="Y15" s="3266"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65"/>
      <c r="Q16" s="1806"/>
      <c r="R16" s="773"/>
      <c r="S16" s="774"/>
      <c r="T16" s="773"/>
      <c r="U16" s="774"/>
      <c r="V16" s="773"/>
      <c r="W16" s="774"/>
      <c r="X16" s="1809"/>
      <c r="Y16" s="3267"/>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65"/>
      <c r="Q17" s="1806" t="str">
        <f>B17</f>
        <v>交通便捷度</v>
      </c>
      <c r="R17" s="773" t="s">
        <v>21</v>
      </c>
      <c r="S17" s="774">
        <f>F17</f>
        <v>100</v>
      </c>
      <c r="T17" s="773" t="s">
        <v>21</v>
      </c>
      <c r="U17" s="774">
        <f>H17</f>
        <v>100</v>
      </c>
      <c r="V17" s="773" t="s">
        <v>21</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65"/>
      <c r="Q18" s="1806"/>
      <c r="R18" s="773"/>
      <c r="S18" s="774"/>
      <c r="T18" s="773"/>
      <c r="U18" s="774"/>
      <c r="V18" s="773"/>
      <c r="W18" s="774"/>
      <c r="X18" s="1809"/>
      <c r="Y18" s="3267"/>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65"/>
      <c r="Q19" s="1806" t="str">
        <f>B19</f>
        <v>公共配套设施</v>
      </c>
      <c r="R19" s="773" t="s">
        <v>21</v>
      </c>
      <c r="S19" s="774">
        <f>F19</f>
        <v>100</v>
      </c>
      <c r="T19" s="773" t="s">
        <v>21</v>
      </c>
      <c r="U19" s="774">
        <f>H19</f>
        <v>100</v>
      </c>
      <c r="V19" s="773" t="s">
        <v>21</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65"/>
      <c r="Q20" s="1806"/>
      <c r="R20" s="773"/>
      <c r="S20" s="774"/>
      <c r="T20" s="773"/>
      <c r="U20" s="774"/>
      <c r="V20" s="773"/>
      <c r="W20" s="774"/>
      <c r="X20" s="1809"/>
      <c r="Y20" s="3267"/>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65"/>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65"/>
      <c r="Q22" s="1806"/>
      <c r="R22" s="773"/>
      <c r="S22" s="774"/>
      <c r="T22" s="773"/>
      <c r="U22" s="774"/>
      <c r="V22" s="773"/>
      <c r="W22" s="774"/>
      <c r="X22" s="1809"/>
      <c r="Y22" s="3267"/>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65"/>
      <c r="Q23" s="1806" t="str">
        <f>B23</f>
        <v>自然及人文环境</v>
      </c>
      <c r="R23" s="773" t="s">
        <v>21</v>
      </c>
      <c r="S23" s="774">
        <f>F23</f>
        <v>100</v>
      </c>
      <c r="T23" s="773" t="s">
        <v>21</v>
      </c>
      <c r="U23" s="774">
        <f>H23</f>
        <v>100</v>
      </c>
      <c r="V23" s="773" t="s">
        <v>21</v>
      </c>
      <c r="W23" s="774">
        <f>J23</f>
        <v>100</v>
      </c>
      <c r="X23" s="1809"/>
      <c r="Y23" s="3267"/>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65"/>
      <c r="Q24" s="1806"/>
      <c r="R24" s="773"/>
      <c r="S24" s="774"/>
      <c r="T24" s="773"/>
      <c r="U24" s="774"/>
      <c r="V24" s="773"/>
      <c r="W24" s="774"/>
      <c r="X24" s="1809"/>
      <c r="Y24" s="3267"/>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65"/>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67"/>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65"/>
      <c r="Q26" s="1806" t="str">
        <f t="shared" si="11"/>
        <v>朝向</v>
      </c>
      <c r="R26" s="773" t="s">
        <v>21</v>
      </c>
      <c r="S26" s="774">
        <f t="shared" si="12"/>
        <v>100</v>
      </c>
      <c r="T26" s="773" t="s">
        <v>21</v>
      </c>
      <c r="U26" s="774">
        <f t="shared" si="13"/>
        <v>100</v>
      </c>
      <c r="V26" s="773" t="s">
        <v>21</v>
      </c>
      <c r="W26" s="774">
        <f t="shared" si="14"/>
        <v>100</v>
      </c>
      <c r="X26" s="1809"/>
      <c r="Y26" s="3267"/>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65"/>
      <c r="Q27" s="1791">
        <f t="shared" si="11"/>
        <v>111</v>
      </c>
      <c r="R27" s="769" t="s">
        <v>21</v>
      </c>
      <c r="S27" s="770">
        <f t="shared" si="12"/>
        <v>100</v>
      </c>
      <c r="T27" s="769" t="s">
        <v>21</v>
      </c>
      <c r="U27" s="770">
        <f t="shared" si="13"/>
        <v>100</v>
      </c>
      <c r="V27" s="769" t="s">
        <v>21</v>
      </c>
      <c r="W27" s="770">
        <f t="shared" si="14"/>
        <v>100</v>
      </c>
      <c r="X27" s="771"/>
      <c r="Y27" s="3267"/>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65"/>
      <c r="Q28" s="1806">
        <f t="shared" si="11"/>
        <v>111</v>
      </c>
      <c r="R28" s="773" t="s">
        <v>21</v>
      </c>
      <c r="S28" s="774">
        <f t="shared" si="12"/>
        <v>100</v>
      </c>
      <c r="T28" s="773" t="s">
        <v>21</v>
      </c>
      <c r="U28" s="774">
        <f t="shared" si="13"/>
        <v>100</v>
      </c>
      <c r="V28" s="773" t="s">
        <v>21</v>
      </c>
      <c r="W28" s="774">
        <f t="shared" si="14"/>
        <v>100</v>
      </c>
      <c r="X28" s="1809"/>
      <c r="Y28" s="3267"/>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65"/>
      <c r="Q29" s="1806">
        <f t="shared" si="11"/>
        <v>111</v>
      </c>
      <c r="R29" s="773" t="s">
        <v>21</v>
      </c>
      <c r="S29" s="774">
        <f t="shared" si="12"/>
        <v>100</v>
      </c>
      <c r="T29" s="773" t="s">
        <v>21</v>
      </c>
      <c r="U29" s="774">
        <f t="shared" si="13"/>
        <v>100</v>
      </c>
      <c r="V29" s="773" t="s">
        <v>21</v>
      </c>
      <c r="W29" s="774">
        <f t="shared" si="14"/>
        <v>100</v>
      </c>
      <c r="X29" s="1809"/>
      <c r="Y29" s="3267"/>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65"/>
      <c r="Q30" s="1806">
        <f t="shared" si="11"/>
        <v>111</v>
      </c>
      <c r="R30" s="773" t="s">
        <v>21</v>
      </c>
      <c r="S30" s="774">
        <f t="shared" si="12"/>
        <v>100</v>
      </c>
      <c r="T30" s="773" t="s">
        <v>21</v>
      </c>
      <c r="U30" s="774">
        <f t="shared" si="13"/>
        <v>100</v>
      </c>
      <c r="V30" s="773" t="s">
        <v>21</v>
      </c>
      <c r="W30" s="774">
        <f t="shared" si="14"/>
        <v>100</v>
      </c>
      <c r="X30" s="1809"/>
      <c r="Y30" s="3267"/>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65"/>
      <c r="Q31" s="1806">
        <f t="shared" si="11"/>
        <v>111</v>
      </c>
      <c r="R31" s="773" t="s">
        <v>21</v>
      </c>
      <c r="S31" s="774">
        <f t="shared" si="12"/>
        <v>100</v>
      </c>
      <c r="T31" s="773" t="s">
        <v>21</v>
      </c>
      <c r="U31" s="774">
        <f t="shared" si="13"/>
        <v>100</v>
      </c>
      <c r="V31" s="773" t="s">
        <v>21</v>
      </c>
      <c r="W31" s="774">
        <f t="shared" si="14"/>
        <v>100</v>
      </c>
      <c r="X31" s="1809"/>
      <c r="Y31" s="3267"/>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68" t="s">
        <v>2564</v>
      </c>
      <c r="Q32" s="1806" t="str">
        <f t="shared" si="11"/>
        <v>建筑类型</v>
      </c>
      <c r="R32" s="773" t="s">
        <v>21</v>
      </c>
      <c r="S32" s="774">
        <f t="shared" si="12"/>
        <v>100</v>
      </c>
      <c r="T32" s="773" t="s">
        <v>21</v>
      </c>
      <c r="U32" s="774">
        <f t="shared" si="13"/>
        <v>100</v>
      </c>
      <c r="V32" s="773" t="s">
        <v>21</v>
      </c>
      <c r="W32" s="774">
        <f t="shared" si="14"/>
        <v>100</v>
      </c>
      <c r="X32" s="1809"/>
      <c r="Y32" s="3271"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69"/>
      <c r="Q33" s="775" t="str">
        <f t="shared" si="11"/>
        <v>项目建筑规模</v>
      </c>
      <c r="R33" s="776" t="s">
        <v>21</v>
      </c>
      <c r="S33" s="777" t="e">
        <f t="shared" si="12"/>
        <v>#N/A</v>
      </c>
      <c r="T33" s="776" t="s">
        <v>21</v>
      </c>
      <c r="U33" s="777" t="e">
        <f t="shared" si="13"/>
        <v>#N/A</v>
      </c>
      <c r="V33" s="776" t="s">
        <v>21</v>
      </c>
      <c r="W33" s="777" t="e">
        <f t="shared" si="14"/>
        <v>#N/A</v>
      </c>
      <c r="X33" s="778"/>
      <c r="Y33" s="3271"/>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69"/>
      <c r="Q34" s="1806" t="str">
        <f t="shared" si="11"/>
        <v>建筑结构</v>
      </c>
      <c r="R34" s="773" t="s">
        <v>21</v>
      </c>
      <c r="S34" s="774">
        <f t="shared" si="12"/>
        <v>100</v>
      </c>
      <c r="T34" s="773" t="s">
        <v>21</v>
      </c>
      <c r="U34" s="774">
        <f t="shared" si="13"/>
        <v>100</v>
      </c>
      <c r="V34" s="773" t="s">
        <v>21</v>
      </c>
      <c r="W34" s="774">
        <f t="shared" si="14"/>
        <v>100</v>
      </c>
      <c r="X34" s="1809"/>
      <c r="Y34" s="3271"/>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69"/>
      <c r="Q35" s="1806" t="str">
        <f t="shared" si="11"/>
        <v>建筑品质</v>
      </c>
      <c r="R35" s="773" t="s">
        <v>21</v>
      </c>
      <c r="S35" s="774">
        <f t="shared" si="12"/>
        <v>100</v>
      </c>
      <c r="T35" s="773" t="s">
        <v>21</v>
      </c>
      <c r="U35" s="774">
        <f t="shared" si="13"/>
        <v>100</v>
      </c>
      <c r="V35" s="773" t="s">
        <v>21</v>
      </c>
      <c r="W35" s="774">
        <f t="shared" si="14"/>
        <v>100</v>
      </c>
      <c r="X35" s="1809"/>
      <c r="Y35" s="3271"/>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69"/>
      <c r="Q36" s="1806" t="str">
        <f t="shared" si="11"/>
        <v>公共部分装修</v>
      </c>
      <c r="R36" s="773" t="s">
        <v>21</v>
      </c>
      <c r="S36" s="774">
        <f t="shared" si="12"/>
        <v>100</v>
      </c>
      <c r="T36" s="773" t="s">
        <v>21</v>
      </c>
      <c r="U36" s="774">
        <f t="shared" si="13"/>
        <v>100</v>
      </c>
      <c r="V36" s="773" t="s">
        <v>21</v>
      </c>
      <c r="W36" s="774">
        <f t="shared" si="14"/>
        <v>100</v>
      </c>
      <c r="X36" s="1809"/>
      <c r="Y36" s="3271"/>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69"/>
      <c r="Q37" s="1791" t="str">
        <f t="shared" si="11"/>
        <v>成新度</v>
      </c>
      <c r="R37" s="769" t="s">
        <v>21</v>
      </c>
      <c r="S37" s="770" t="e">
        <f t="shared" si="12"/>
        <v>#N/A</v>
      </c>
      <c r="T37" s="769" t="s">
        <v>21</v>
      </c>
      <c r="U37" s="770" t="e">
        <f t="shared" si="13"/>
        <v>#N/A</v>
      </c>
      <c r="V37" s="769" t="s">
        <v>21</v>
      </c>
      <c r="W37" s="770" t="e">
        <f t="shared" si="14"/>
        <v>#N/A</v>
      </c>
      <c r="X37" s="771"/>
      <c r="Y37" s="3271"/>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69" t="s">
        <v>2564</v>
      </c>
      <c r="Q38" s="1806" t="str">
        <f t="shared" si="11"/>
        <v>物业管理</v>
      </c>
      <c r="R38" s="773" t="s">
        <v>21</v>
      </c>
      <c r="S38" s="774">
        <f t="shared" si="12"/>
        <v>100</v>
      </c>
      <c r="T38" s="773" t="s">
        <v>21</v>
      </c>
      <c r="U38" s="774">
        <f t="shared" si="13"/>
        <v>100</v>
      </c>
      <c r="V38" s="773" t="s">
        <v>21</v>
      </c>
      <c r="W38" s="774">
        <f t="shared" si="14"/>
        <v>100</v>
      </c>
      <c r="X38" s="1809"/>
      <c r="Y38" s="3271"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69"/>
      <c r="Q39" s="1806" t="str">
        <f t="shared" si="11"/>
        <v>市政基础设施</v>
      </c>
      <c r="R39" s="773" t="s">
        <v>21</v>
      </c>
      <c r="S39" s="774">
        <f t="shared" si="12"/>
        <v>100</v>
      </c>
      <c r="T39" s="773" t="s">
        <v>21</v>
      </c>
      <c r="U39" s="774">
        <f t="shared" si="13"/>
        <v>100</v>
      </c>
      <c r="V39" s="773" t="s">
        <v>21</v>
      </c>
      <c r="W39" s="774">
        <f t="shared" si="14"/>
        <v>100</v>
      </c>
      <c r="X39" s="1809"/>
      <c r="Y39" s="3271"/>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69"/>
      <c r="Q40" s="1806" t="str">
        <f t="shared" si="11"/>
        <v>房型</v>
      </c>
      <c r="R40" s="773" t="s">
        <v>21</v>
      </c>
      <c r="S40" s="774">
        <f t="shared" si="12"/>
        <v>100</v>
      </c>
      <c r="T40" s="773" t="s">
        <v>21</v>
      </c>
      <c r="U40" s="774">
        <f t="shared" si="13"/>
        <v>100</v>
      </c>
      <c r="V40" s="773" t="s">
        <v>21</v>
      </c>
      <c r="W40" s="774">
        <f t="shared" si="14"/>
        <v>100</v>
      </c>
      <c r="X40" s="1809"/>
      <c r="Y40" s="3271"/>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69"/>
      <c r="Q41" s="775" t="str">
        <f t="shared" si="11"/>
        <v>单套/主力户型建筑面积</v>
      </c>
      <c r="R41" s="776" t="s">
        <v>21</v>
      </c>
      <c r="S41" s="777">
        <f t="shared" si="12"/>
        <v>100</v>
      </c>
      <c r="T41" s="776" t="s">
        <v>21</v>
      </c>
      <c r="U41" s="777">
        <f t="shared" si="13"/>
        <v>100</v>
      </c>
      <c r="V41" s="776" t="s">
        <v>21</v>
      </c>
      <c r="W41" s="777">
        <f t="shared" si="14"/>
        <v>100</v>
      </c>
      <c r="X41" s="778"/>
      <c r="Y41" s="3271"/>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69"/>
      <c r="Q42" s="1806" t="str">
        <f t="shared" si="11"/>
        <v>内部装修</v>
      </c>
      <c r="R42" s="773" t="s">
        <v>21</v>
      </c>
      <c r="S42" s="774">
        <f t="shared" si="12"/>
        <v>100</v>
      </c>
      <c r="T42" s="773" t="s">
        <v>21</v>
      </c>
      <c r="U42" s="774">
        <f t="shared" si="13"/>
        <v>100</v>
      </c>
      <c r="V42" s="773" t="s">
        <v>21</v>
      </c>
      <c r="W42" s="774">
        <f t="shared" si="14"/>
        <v>100</v>
      </c>
      <c r="X42" s="1809"/>
      <c r="Y42" s="3271"/>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69"/>
      <c r="Q43" s="1806" t="str">
        <f t="shared" si="11"/>
        <v>内部装修维护情况</v>
      </c>
      <c r="R43" s="773" t="s">
        <v>21</v>
      </c>
      <c r="S43" s="774">
        <f t="shared" si="12"/>
        <v>100</v>
      </c>
      <c r="T43" s="773" t="s">
        <v>21</v>
      </c>
      <c r="U43" s="774">
        <f t="shared" si="13"/>
        <v>100</v>
      </c>
      <c r="V43" s="773" t="s">
        <v>21</v>
      </c>
      <c r="W43" s="774">
        <f t="shared" si="14"/>
        <v>100</v>
      </c>
      <c r="X43" s="1809"/>
      <c r="Y43" s="3271"/>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69"/>
      <c r="Q44" s="1791">
        <f t="shared" si="11"/>
        <v>111</v>
      </c>
      <c r="R44" s="769" t="s">
        <v>21</v>
      </c>
      <c r="S44" s="770">
        <f t="shared" si="12"/>
        <v>100</v>
      </c>
      <c r="T44" s="769" t="s">
        <v>21</v>
      </c>
      <c r="U44" s="770">
        <f t="shared" si="13"/>
        <v>100</v>
      </c>
      <c r="V44" s="769" t="s">
        <v>21</v>
      </c>
      <c r="W44" s="770">
        <f t="shared" si="14"/>
        <v>100</v>
      </c>
      <c r="X44" s="771"/>
      <c r="Y44" s="3271"/>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69"/>
      <c r="Q45" s="1806">
        <f t="shared" si="11"/>
        <v>111</v>
      </c>
      <c r="R45" s="773" t="s">
        <v>21</v>
      </c>
      <c r="S45" s="774">
        <f t="shared" si="12"/>
        <v>100</v>
      </c>
      <c r="T45" s="773" t="s">
        <v>21</v>
      </c>
      <c r="U45" s="774">
        <f t="shared" si="13"/>
        <v>100</v>
      </c>
      <c r="V45" s="773" t="s">
        <v>21</v>
      </c>
      <c r="W45" s="774">
        <f t="shared" si="14"/>
        <v>100</v>
      </c>
      <c r="X45" s="1809"/>
      <c r="Y45" s="3271"/>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70"/>
      <c r="Q46" s="1806">
        <f t="shared" si="11"/>
        <v>111</v>
      </c>
      <c r="R46" s="773" t="s">
        <v>20</v>
      </c>
      <c r="S46" s="774">
        <f t="shared" si="12"/>
        <v>100</v>
      </c>
      <c r="T46" s="773" t="s">
        <v>20</v>
      </c>
      <c r="U46" s="774">
        <f t="shared" si="13"/>
        <v>100</v>
      </c>
      <c r="V46" s="773" t="s">
        <v>20</v>
      </c>
      <c r="W46" s="774">
        <f t="shared" si="14"/>
        <v>100</v>
      </c>
      <c r="X46" s="1809"/>
      <c r="Y46" s="3272"/>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59" t="str">
        <f>A47</f>
        <v>成交单价（元/平方米）</v>
      </c>
      <c r="Q47" s="3259"/>
      <c r="R47" s="3260">
        <f>E47</f>
        <v>0</v>
      </c>
      <c r="S47" s="3260"/>
      <c r="T47" s="3260">
        <f>G47</f>
        <v>0</v>
      </c>
      <c r="U47" s="3260"/>
      <c r="V47" s="3260">
        <f>I47</f>
        <v>0</v>
      </c>
      <c r="W47" s="3260"/>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310" t="str">
        <f>A49</f>
        <v>估价对象XX用房的比较价值（楼面单价，元/平方米）</v>
      </c>
      <c r="Q49" s="3311"/>
      <c r="R49" s="3312" t="e">
        <f>IF(F1="售价",ROUND(AVERAGE(R48:V48),0),ROUND(AVERAGE(R48:V48),1))</f>
        <v>#DIV/0!</v>
      </c>
      <c r="S49" s="3312"/>
      <c r="T49" s="3312"/>
      <c r="U49" s="3312"/>
      <c r="V49" s="3312"/>
      <c r="W49" s="3312"/>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16965.740000000005</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306" t="s">
        <v>2647</v>
      </c>
      <c r="AC4" s="3313" t="s">
        <v>2648</v>
      </c>
    </row>
    <row r="5" spans="1:29" ht="15">
      <c r="A5" s="403"/>
      <c r="B5" s="404"/>
      <c r="C5" s="3302" t="s">
        <v>2541</v>
      </c>
      <c r="D5" s="3297"/>
      <c r="E5" s="3320" t="s">
        <v>2542</v>
      </c>
      <c r="F5" s="3309"/>
      <c r="G5" s="3302" t="s">
        <v>2543</v>
      </c>
      <c r="H5" s="3297"/>
      <c r="I5" s="3302" t="s">
        <v>2544</v>
      </c>
      <c r="J5" s="3297"/>
      <c r="K5" s="609"/>
      <c r="L5" s="1126"/>
      <c r="M5" s="1127"/>
      <c r="N5" s="1127"/>
      <c r="O5" s="1127"/>
      <c r="P5" s="3316"/>
      <c r="Q5" s="3283"/>
      <c r="R5" s="3288"/>
      <c r="S5" s="3289"/>
      <c r="T5" s="3288"/>
      <c r="U5" s="3289"/>
      <c r="V5" s="3293"/>
      <c r="W5" s="3293"/>
      <c r="X5" s="1809"/>
      <c r="Y5" s="3288"/>
      <c r="Z5" s="3289"/>
      <c r="AA5" s="3306"/>
      <c r="AB5" s="3306"/>
      <c r="AC5" s="3306"/>
    </row>
    <row r="6" spans="1:29" ht="15.75" thickBot="1">
      <c r="A6" s="405"/>
      <c r="B6" s="406"/>
      <c r="C6" s="3294" t="s">
        <v>2545</v>
      </c>
      <c r="D6" s="3295"/>
      <c r="E6" s="3303" t="s">
        <v>2545</v>
      </c>
      <c r="F6" s="3304"/>
      <c r="G6" s="3294" t="s">
        <v>2545</v>
      </c>
      <c r="H6" s="3295"/>
      <c r="I6" s="3294" t="s">
        <v>2545</v>
      </c>
      <c r="J6" s="3295"/>
      <c r="K6" s="609" t="s">
        <v>2546</v>
      </c>
      <c r="L6" s="1126"/>
      <c r="M6" s="1127"/>
      <c r="N6" s="1127"/>
      <c r="O6" s="1127"/>
      <c r="P6" s="3317"/>
      <c r="Q6" s="3285"/>
      <c r="R6" s="3288"/>
      <c r="S6" s="3289"/>
      <c r="T6" s="3290"/>
      <c r="U6" s="3291"/>
      <c r="V6" s="3293"/>
      <c r="W6" s="3293"/>
      <c r="X6" s="1809"/>
      <c r="Y6" s="3290"/>
      <c r="Z6" s="3291"/>
      <c r="AA6" s="3307"/>
      <c r="AB6" s="3307"/>
      <c r="AC6" s="3307"/>
    </row>
    <row r="7" spans="1:29" s="116" customFormat="1" ht="15.75" thickBot="1">
      <c r="A7" s="407" t="s">
        <v>2547</v>
      </c>
      <c r="B7" s="408"/>
      <c r="C7" s="409">
        <f>'数据-取费表'!B2</f>
        <v>43182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00" t="s">
        <v>2548</v>
      </c>
      <c r="Q7" s="3301"/>
      <c r="R7" s="769" t="s">
        <v>17</v>
      </c>
      <c r="S7" s="770">
        <f t="shared" ref="S7:S15" si="0">F7</f>
        <v>0</v>
      </c>
      <c r="T7" s="769" t="s">
        <v>17</v>
      </c>
      <c r="U7" s="770">
        <f t="shared" ref="U7:U15" si="1">H7</f>
        <v>0</v>
      </c>
      <c r="V7" s="769" t="s">
        <v>17</v>
      </c>
      <c r="W7" s="770">
        <f t="shared" ref="W7:W15" si="2">J7</f>
        <v>0</v>
      </c>
      <c r="X7" s="771"/>
      <c r="Y7" s="3300" t="s">
        <v>2548</v>
      </c>
      <c r="Z7" s="329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00" t="s">
        <v>2551</v>
      </c>
      <c r="Q8" s="3299"/>
      <c r="R8" s="769" t="s">
        <v>17</v>
      </c>
      <c r="S8" s="770">
        <f t="shared" si="0"/>
        <v>0</v>
      </c>
      <c r="T8" s="769" t="s">
        <v>17</v>
      </c>
      <c r="U8" s="770">
        <f t="shared" si="1"/>
        <v>0</v>
      </c>
      <c r="V8" s="769" t="s">
        <v>17</v>
      </c>
      <c r="W8" s="770">
        <f t="shared" si="2"/>
        <v>0</v>
      </c>
      <c r="X8" s="771"/>
      <c r="Y8" s="3300" t="s">
        <v>2551</v>
      </c>
      <c r="Z8" s="3299"/>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59"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59"/>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59"/>
      <c r="Q11" s="1791" t="str">
        <f t="shared" si="6"/>
        <v>容积率</v>
      </c>
      <c r="R11" s="769" t="s">
        <v>17</v>
      </c>
      <c r="S11" s="770" t="e">
        <f t="shared" si="0"/>
        <v>#N/A</v>
      </c>
      <c r="T11" s="769" t="s">
        <v>17</v>
      </c>
      <c r="U11" s="770" t="e">
        <f t="shared" si="1"/>
        <v>#N/A</v>
      </c>
      <c r="V11" s="769" t="s">
        <v>17</v>
      </c>
      <c r="W11" s="770" t="e">
        <f t="shared" si="2"/>
        <v>#N/A</v>
      </c>
      <c r="X11" s="771"/>
      <c r="Y11" s="3108"/>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59"/>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59"/>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59"/>
      <c r="Q14" s="1791">
        <f t="shared" si="6"/>
        <v>111</v>
      </c>
      <c r="R14" s="769" t="s">
        <v>17</v>
      </c>
      <c r="S14" s="770">
        <f t="shared" si="0"/>
        <v>100</v>
      </c>
      <c r="T14" s="769" t="s">
        <v>17</v>
      </c>
      <c r="U14" s="770">
        <f t="shared" si="1"/>
        <v>100</v>
      </c>
      <c r="V14" s="769" t="s">
        <v>17</v>
      </c>
      <c r="W14" s="770">
        <f t="shared" si="2"/>
        <v>100</v>
      </c>
      <c r="X14" s="771"/>
      <c r="Y14" s="3108"/>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66" t="s">
        <v>2559</v>
      </c>
      <c r="Q15" s="1806" t="str">
        <f t="shared" si="6"/>
        <v>产业集聚程度</v>
      </c>
      <c r="R15" s="773" t="s">
        <v>17</v>
      </c>
      <c r="S15" s="774">
        <f t="shared" si="0"/>
        <v>100</v>
      </c>
      <c r="T15" s="773" t="s">
        <v>17</v>
      </c>
      <c r="U15" s="774">
        <f t="shared" si="1"/>
        <v>100</v>
      </c>
      <c r="V15" s="773" t="s">
        <v>17</v>
      </c>
      <c r="W15" s="774">
        <f t="shared" si="2"/>
        <v>100</v>
      </c>
      <c r="X15" s="1809"/>
      <c r="Y15" s="3266"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67"/>
      <c r="Q16" s="1806"/>
      <c r="R16" s="773"/>
      <c r="S16" s="774"/>
      <c r="T16" s="773"/>
      <c r="U16" s="774"/>
      <c r="V16" s="773"/>
      <c r="W16" s="774"/>
      <c r="X16" s="1809"/>
      <c r="Y16" s="3267"/>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67"/>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67"/>
      <c r="Q18" s="1806"/>
      <c r="R18" s="773"/>
      <c r="S18" s="774"/>
      <c r="T18" s="773"/>
      <c r="U18" s="774"/>
      <c r="V18" s="773"/>
      <c r="W18" s="774"/>
      <c r="X18" s="1809"/>
      <c r="Y18" s="3267"/>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67"/>
      <c r="Q19" s="1806" t="str">
        <f>B19</f>
        <v>公共配套设施</v>
      </c>
      <c r="R19" s="773" t="s">
        <v>17</v>
      </c>
      <c r="S19" s="774">
        <f>F19</f>
        <v>100</v>
      </c>
      <c r="T19" s="773" t="s">
        <v>17</v>
      </c>
      <c r="U19" s="774">
        <f>H19</f>
        <v>100</v>
      </c>
      <c r="V19" s="773" t="s">
        <v>17</v>
      </c>
      <c r="W19" s="774">
        <f>J19</f>
        <v>100</v>
      </c>
      <c r="X19" s="1809"/>
      <c r="Y19" s="3267"/>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67"/>
      <c r="Q20" s="1806"/>
      <c r="R20" s="773"/>
      <c r="S20" s="774"/>
      <c r="T20" s="773"/>
      <c r="U20" s="774"/>
      <c r="V20" s="773"/>
      <c r="W20" s="774"/>
      <c r="X20" s="1809"/>
      <c r="Y20" s="3267"/>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67"/>
      <c r="Q21" s="1806" t="str">
        <f>B21</f>
        <v>基础设施水平</v>
      </c>
      <c r="R21" s="773" t="s">
        <v>17</v>
      </c>
      <c r="S21" s="774">
        <f>F21</f>
        <v>100</v>
      </c>
      <c r="T21" s="773" t="s">
        <v>17</v>
      </c>
      <c r="U21" s="774">
        <f>H21</f>
        <v>100</v>
      </c>
      <c r="V21" s="773" t="s">
        <v>17</v>
      </c>
      <c r="W21" s="774">
        <f>J21</f>
        <v>100</v>
      </c>
      <c r="X21" s="1809"/>
      <c r="Y21" s="3267"/>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67"/>
      <c r="Q22" s="1806"/>
      <c r="R22" s="773"/>
      <c r="S22" s="774"/>
      <c r="T22" s="773"/>
      <c r="U22" s="774"/>
      <c r="V22" s="773"/>
      <c r="W22" s="774"/>
      <c r="X22" s="1809"/>
      <c r="Y22" s="3267"/>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67"/>
      <c r="Q23" s="1806" t="str">
        <f>B23</f>
        <v>环境质量</v>
      </c>
      <c r="R23" s="773" t="s">
        <v>17</v>
      </c>
      <c r="S23" s="774">
        <f>F23</f>
        <v>100</v>
      </c>
      <c r="T23" s="773" t="s">
        <v>17</v>
      </c>
      <c r="U23" s="774">
        <f>H23</f>
        <v>100</v>
      </c>
      <c r="V23" s="773" t="s">
        <v>17</v>
      </c>
      <c r="W23" s="774">
        <f>J23</f>
        <v>100</v>
      </c>
      <c r="X23" s="1809"/>
      <c r="Y23" s="3267"/>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67"/>
      <c r="Q24" s="1806"/>
      <c r="R24" s="773"/>
      <c r="S24" s="774"/>
      <c r="T24" s="773"/>
      <c r="U24" s="774"/>
      <c r="V24" s="773"/>
      <c r="W24" s="774"/>
      <c r="X24" s="1809"/>
      <c r="Y24" s="3267"/>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67"/>
      <c r="Q25" s="1806">
        <f>B25</f>
        <v>111</v>
      </c>
      <c r="R25" s="773" t="s">
        <v>17</v>
      </c>
      <c r="S25" s="774">
        <f>F25</f>
        <v>100</v>
      </c>
      <c r="T25" s="773" t="s">
        <v>17</v>
      </c>
      <c r="U25" s="774">
        <f>H25</f>
        <v>100</v>
      </c>
      <c r="V25" s="773" t="s">
        <v>17</v>
      </c>
      <c r="W25" s="774">
        <f>J25</f>
        <v>100</v>
      </c>
      <c r="X25" s="1809"/>
      <c r="Y25" s="3267"/>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67"/>
      <c r="Q26" s="1806">
        <f t="shared" ref="Q26:Q40" si="11">B26</f>
        <v>111</v>
      </c>
      <c r="R26" s="773" t="s">
        <v>17</v>
      </c>
      <c r="S26" s="774">
        <f>F26</f>
        <v>100</v>
      </c>
      <c r="T26" s="773" t="s">
        <v>17</v>
      </c>
      <c r="U26" s="774">
        <f>H26</f>
        <v>100</v>
      </c>
      <c r="V26" s="773" t="s">
        <v>17</v>
      </c>
      <c r="W26" s="774">
        <f>J26</f>
        <v>100</v>
      </c>
      <c r="X26" s="1809"/>
      <c r="Y26" s="3267"/>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67"/>
      <c r="Q27" s="1791">
        <f t="shared" si="11"/>
        <v>111</v>
      </c>
      <c r="R27" s="769" t="s">
        <v>17</v>
      </c>
      <c r="S27" s="770">
        <f>F27</f>
        <v>100</v>
      </c>
      <c r="T27" s="769" t="s">
        <v>17</v>
      </c>
      <c r="U27" s="770">
        <f>H27</f>
        <v>100</v>
      </c>
      <c r="V27" s="769" t="s">
        <v>17</v>
      </c>
      <c r="W27" s="770">
        <f>J27</f>
        <v>100</v>
      </c>
      <c r="X27" s="771"/>
      <c r="Y27" s="3267"/>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67"/>
      <c r="Q28" s="1806">
        <f t="shared" si="11"/>
        <v>111</v>
      </c>
      <c r="R28" s="773" t="s">
        <v>17</v>
      </c>
      <c r="S28" s="774">
        <f t="shared" ref="S28:S40" si="12">F28</f>
        <v>100</v>
      </c>
      <c r="T28" s="773" t="s">
        <v>17</v>
      </c>
      <c r="U28" s="774">
        <f t="shared" ref="U28:U40" si="13">H28</f>
        <v>100</v>
      </c>
      <c r="V28" s="773" t="s">
        <v>17</v>
      </c>
      <c r="W28" s="774">
        <f t="shared" ref="W28:W40" si="14">J28</f>
        <v>100</v>
      </c>
      <c r="X28" s="1809"/>
      <c r="Y28" s="3267"/>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43" t="s">
        <v>2564</v>
      </c>
      <c r="Q29" s="1806" t="str">
        <f t="shared" si="11"/>
        <v>建筑类型</v>
      </c>
      <c r="R29" s="773" t="s">
        <v>17</v>
      </c>
      <c r="S29" s="774">
        <f t="shared" si="12"/>
        <v>100</v>
      </c>
      <c r="T29" s="773" t="s">
        <v>17</v>
      </c>
      <c r="U29" s="774">
        <f t="shared" si="13"/>
        <v>100</v>
      </c>
      <c r="V29" s="773" t="s">
        <v>17</v>
      </c>
      <c r="W29" s="774">
        <f t="shared" si="14"/>
        <v>100</v>
      </c>
      <c r="X29" s="1809"/>
      <c r="Y29" s="3271"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71"/>
      <c r="Q30" s="775" t="str">
        <f t="shared" si="11"/>
        <v>项目建筑规模</v>
      </c>
      <c r="R30" s="776" t="s">
        <v>17</v>
      </c>
      <c r="S30" s="777" t="e">
        <f t="shared" si="12"/>
        <v>#N/A</v>
      </c>
      <c r="T30" s="776" t="s">
        <v>17</v>
      </c>
      <c r="U30" s="777" t="e">
        <f t="shared" si="13"/>
        <v>#N/A</v>
      </c>
      <c r="V30" s="776" t="s">
        <v>17</v>
      </c>
      <c r="W30" s="777" t="e">
        <f t="shared" si="14"/>
        <v>#N/A</v>
      </c>
      <c r="X30" s="778"/>
      <c r="Y30" s="3271"/>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1"/>
      <c r="Q31" s="1806" t="str">
        <f t="shared" si="11"/>
        <v>建筑结构</v>
      </c>
      <c r="R31" s="773" t="s">
        <v>17</v>
      </c>
      <c r="S31" s="774">
        <f t="shared" si="12"/>
        <v>100</v>
      </c>
      <c r="T31" s="773" t="s">
        <v>17</v>
      </c>
      <c r="U31" s="774">
        <f t="shared" si="13"/>
        <v>100</v>
      </c>
      <c r="V31" s="773" t="s">
        <v>17</v>
      </c>
      <c r="W31" s="774">
        <f t="shared" si="14"/>
        <v>100</v>
      </c>
      <c r="X31" s="1809"/>
      <c r="Y31" s="3271"/>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1"/>
      <c r="Q32" s="1806" t="str">
        <f t="shared" si="11"/>
        <v>公共部分装修</v>
      </c>
      <c r="R32" s="773" t="s">
        <v>17</v>
      </c>
      <c r="S32" s="774">
        <f t="shared" si="12"/>
        <v>100</v>
      </c>
      <c r="T32" s="773" t="s">
        <v>17</v>
      </c>
      <c r="U32" s="774">
        <f t="shared" si="13"/>
        <v>100</v>
      </c>
      <c r="V32" s="773" t="s">
        <v>17</v>
      </c>
      <c r="W32" s="774">
        <f t="shared" si="14"/>
        <v>100</v>
      </c>
      <c r="X32" s="1809"/>
      <c r="Y32" s="3271"/>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71"/>
      <c r="Q33" s="1806" t="str">
        <f t="shared" si="11"/>
        <v>成新度</v>
      </c>
      <c r="R33" s="773" t="s">
        <v>17</v>
      </c>
      <c r="S33" s="774" t="e">
        <f t="shared" si="12"/>
        <v>#N/A</v>
      </c>
      <c r="T33" s="773" t="s">
        <v>17</v>
      </c>
      <c r="U33" s="774" t="e">
        <f t="shared" si="13"/>
        <v>#N/A</v>
      </c>
      <c r="V33" s="773" t="s">
        <v>17</v>
      </c>
      <c r="W33" s="774" t="e">
        <f t="shared" si="14"/>
        <v>#N/A</v>
      </c>
      <c r="X33" s="1809"/>
      <c r="Y33" s="3271"/>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1"/>
      <c r="Q34" s="1791" t="str">
        <f t="shared" si="11"/>
        <v>物业管理</v>
      </c>
      <c r="R34" s="769" t="s">
        <v>17</v>
      </c>
      <c r="S34" s="770">
        <f t="shared" si="12"/>
        <v>100</v>
      </c>
      <c r="T34" s="769" t="s">
        <v>17</v>
      </c>
      <c r="U34" s="770">
        <f t="shared" si="13"/>
        <v>100</v>
      </c>
      <c r="V34" s="769" t="s">
        <v>17</v>
      </c>
      <c r="W34" s="770">
        <f t="shared" si="14"/>
        <v>100</v>
      </c>
      <c r="X34" s="771"/>
      <c r="Y34" s="3271"/>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1" t="s">
        <v>2564</v>
      </c>
      <c r="Q35" s="1806" t="str">
        <f t="shared" si="11"/>
        <v>市政基础设施</v>
      </c>
      <c r="R35" s="773" t="s">
        <v>17</v>
      </c>
      <c r="S35" s="774">
        <f t="shared" si="12"/>
        <v>100</v>
      </c>
      <c r="T35" s="773" t="s">
        <v>17</v>
      </c>
      <c r="U35" s="774">
        <f t="shared" si="13"/>
        <v>100</v>
      </c>
      <c r="V35" s="773" t="s">
        <v>17</v>
      </c>
      <c r="W35" s="774">
        <f t="shared" si="14"/>
        <v>100</v>
      </c>
      <c r="X35" s="1809"/>
      <c r="Y35" s="3271"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1"/>
      <c r="Q36" s="1806" t="str">
        <f t="shared" si="11"/>
        <v>内部装修</v>
      </c>
      <c r="R36" s="773" t="s">
        <v>17</v>
      </c>
      <c r="S36" s="774">
        <f t="shared" si="12"/>
        <v>100</v>
      </c>
      <c r="T36" s="773" t="s">
        <v>17</v>
      </c>
      <c r="U36" s="774">
        <f t="shared" si="13"/>
        <v>100</v>
      </c>
      <c r="V36" s="773" t="s">
        <v>17</v>
      </c>
      <c r="W36" s="774">
        <f t="shared" si="14"/>
        <v>100</v>
      </c>
      <c r="X36" s="1809"/>
      <c r="Y36" s="3271"/>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1"/>
      <c r="Q37" s="1806" t="str">
        <f t="shared" si="11"/>
        <v>内部装修状况</v>
      </c>
      <c r="R37" s="773" t="s">
        <v>17</v>
      </c>
      <c r="S37" s="774">
        <f t="shared" si="12"/>
        <v>100</v>
      </c>
      <c r="T37" s="773" t="s">
        <v>17</v>
      </c>
      <c r="U37" s="774">
        <f t="shared" si="13"/>
        <v>100</v>
      </c>
      <c r="V37" s="773" t="s">
        <v>17</v>
      </c>
      <c r="W37" s="774">
        <f t="shared" si="14"/>
        <v>100</v>
      </c>
      <c r="X37" s="1809"/>
      <c r="Y37" s="3271"/>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1"/>
      <c r="Q38" s="775">
        <f t="shared" si="11"/>
        <v>111</v>
      </c>
      <c r="R38" s="776" t="s">
        <v>17</v>
      </c>
      <c r="S38" s="777">
        <f t="shared" si="12"/>
        <v>100</v>
      </c>
      <c r="T38" s="776" t="s">
        <v>17</v>
      </c>
      <c r="U38" s="777">
        <f t="shared" si="13"/>
        <v>100</v>
      </c>
      <c r="V38" s="776" t="s">
        <v>17</v>
      </c>
      <c r="W38" s="777">
        <f t="shared" si="14"/>
        <v>100</v>
      </c>
      <c r="X38" s="778"/>
      <c r="Y38" s="3271"/>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1"/>
      <c r="Q39" s="1806">
        <f t="shared" si="11"/>
        <v>111</v>
      </c>
      <c r="R39" s="773" t="s">
        <v>17</v>
      </c>
      <c r="S39" s="774">
        <f t="shared" si="12"/>
        <v>100</v>
      </c>
      <c r="T39" s="773" t="s">
        <v>17</v>
      </c>
      <c r="U39" s="774">
        <f t="shared" si="13"/>
        <v>100</v>
      </c>
      <c r="V39" s="773" t="s">
        <v>17</v>
      </c>
      <c r="W39" s="774">
        <f t="shared" si="14"/>
        <v>100</v>
      </c>
      <c r="X39" s="1809"/>
      <c r="Y39" s="3271"/>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2"/>
      <c r="Q40" s="1806">
        <f t="shared" si="11"/>
        <v>111</v>
      </c>
      <c r="R40" s="773" t="s">
        <v>17</v>
      </c>
      <c r="S40" s="774">
        <f t="shared" si="12"/>
        <v>100</v>
      </c>
      <c r="T40" s="773" t="s">
        <v>17</v>
      </c>
      <c r="U40" s="774">
        <f t="shared" si="13"/>
        <v>100</v>
      </c>
      <c r="V40" s="773" t="s">
        <v>17</v>
      </c>
      <c r="W40" s="774">
        <f t="shared" si="14"/>
        <v>100</v>
      </c>
      <c r="X40" s="1809"/>
      <c r="Y40" s="3272"/>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59" t="str">
        <f>A41</f>
        <v>成交单价（元/平方米）</v>
      </c>
      <c r="Q41" s="3259"/>
      <c r="R41" s="3260">
        <f>E41</f>
        <v>0</v>
      </c>
      <c r="S41" s="3260"/>
      <c r="T41" s="3260">
        <f>G41</f>
        <v>0</v>
      </c>
      <c r="U41" s="3260"/>
      <c r="V41" s="3260">
        <f>I41</f>
        <v>0</v>
      </c>
      <c r="W41" s="3260"/>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310" t="str">
        <f>A43</f>
        <v>估价对象XX用房的比较价值（楼面单价，元/平方米）</v>
      </c>
      <c r="Q43" s="3311"/>
      <c r="R43" s="3312" t="e">
        <f>IF(F1="售价",ROUND(AVERAGE(R42:V42),0),ROUND(AVERAGE(R42:V42),1))</f>
        <v>#DIV/0!</v>
      </c>
      <c r="S43" s="3312"/>
      <c r="T43" s="3312"/>
      <c r="U43" s="3312"/>
      <c r="V43" s="3312"/>
      <c r="W43" s="3312"/>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306" t="s">
        <v>2647</v>
      </c>
      <c r="AC4" s="3313" t="s">
        <v>2648</v>
      </c>
    </row>
    <row r="5" spans="1:29" ht="15">
      <c r="A5" s="403"/>
      <c r="B5" s="404"/>
      <c r="C5" s="3302" t="s">
        <v>2541</v>
      </c>
      <c r="D5" s="3297"/>
      <c r="E5" s="3320" t="s">
        <v>2542</v>
      </c>
      <c r="F5" s="3309"/>
      <c r="G5" s="3302" t="s">
        <v>2543</v>
      </c>
      <c r="H5" s="3297"/>
      <c r="I5" s="3302" t="s">
        <v>2544</v>
      </c>
      <c r="J5" s="3297"/>
      <c r="K5" s="609"/>
      <c r="L5" s="1126"/>
      <c r="M5" s="1127"/>
      <c r="N5" s="1127"/>
      <c r="O5" s="1127"/>
      <c r="P5" s="3316"/>
      <c r="Q5" s="3283"/>
      <c r="R5" s="3288"/>
      <c r="S5" s="3289"/>
      <c r="T5" s="3288"/>
      <c r="U5" s="3289"/>
      <c r="V5" s="3293"/>
      <c r="W5" s="3293"/>
      <c r="X5" s="1809"/>
      <c r="Y5" s="3288"/>
      <c r="Z5" s="3289"/>
      <c r="AA5" s="3306"/>
      <c r="AB5" s="3306"/>
      <c r="AC5" s="3306"/>
    </row>
    <row r="6" spans="1:29" ht="15.75" thickBot="1">
      <c r="A6" s="405"/>
      <c r="B6" s="406"/>
      <c r="C6" s="3294" t="s">
        <v>2545</v>
      </c>
      <c r="D6" s="3295"/>
      <c r="E6" s="3303" t="s">
        <v>2545</v>
      </c>
      <c r="F6" s="3304"/>
      <c r="G6" s="3294" t="s">
        <v>2545</v>
      </c>
      <c r="H6" s="3295"/>
      <c r="I6" s="3294" t="s">
        <v>2545</v>
      </c>
      <c r="J6" s="3295"/>
      <c r="K6" s="609" t="s">
        <v>2546</v>
      </c>
      <c r="L6" s="1126"/>
      <c r="M6" s="1127"/>
      <c r="N6" s="1127"/>
      <c r="O6" s="1127"/>
      <c r="P6" s="3317"/>
      <c r="Q6" s="3285"/>
      <c r="R6" s="3288"/>
      <c r="S6" s="3289"/>
      <c r="T6" s="3290"/>
      <c r="U6" s="3291"/>
      <c r="V6" s="3293"/>
      <c r="W6" s="3293"/>
      <c r="X6" s="1809"/>
      <c r="Y6" s="3290"/>
      <c r="Z6" s="3291"/>
      <c r="AA6" s="3307"/>
      <c r="AB6" s="3307"/>
      <c r="AC6" s="3307"/>
    </row>
    <row r="7" spans="1:29" s="116" customFormat="1" ht="15.75" thickBot="1">
      <c r="A7" s="407" t="s">
        <v>2547</v>
      </c>
      <c r="B7" s="408"/>
      <c r="C7" s="409">
        <f>'数据-取费表'!B2</f>
        <v>43182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00" t="s">
        <v>2548</v>
      </c>
      <c r="Q7" s="3301"/>
      <c r="R7" s="769" t="s">
        <v>17</v>
      </c>
      <c r="S7" s="770">
        <f t="shared" ref="S7:S14" si="0">F7</f>
        <v>0</v>
      </c>
      <c r="T7" s="769" t="s">
        <v>17</v>
      </c>
      <c r="U7" s="770">
        <f t="shared" ref="U7:U14" si="1">H7</f>
        <v>0</v>
      </c>
      <c r="V7" s="769" t="s">
        <v>17</v>
      </c>
      <c r="W7" s="770">
        <f t="shared" ref="W7:W14" si="2">J7</f>
        <v>0</v>
      </c>
      <c r="X7" s="771"/>
      <c r="Y7" s="3300" t="s">
        <v>2548</v>
      </c>
      <c r="Z7" s="329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00" t="s">
        <v>2551</v>
      </c>
      <c r="Q8" s="3299"/>
      <c r="R8" s="769" t="s">
        <v>17</v>
      </c>
      <c r="S8" s="770">
        <f t="shared" si="0"/>
        <v>0</v>
      </c>
      <c r="T8" s="769" t="s">
        <v>17</v>
      </c>
      <c r="U8" s="770">
        <f t="shared" si="1"/>
        <v>0</v>
      </c>
      <c r="V8" s="769" t="s">
        <v>17</v>
      </c>
      <c r="W8" s="770">
        <f t="shared" si="2"/>
        <v>0</v>
      </c>
      <c r="X8" s="771"/>
      <c r="Y8" s="3300" t="s">
        <v>2551</v>
      </c>
      <c r="Z8" s="3299"/>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59" t="s">
        <v>2554</v>
      </c>
      <c r="Q9" s="1791" t="str">
        <f t="shared" ref="Q9:Q14" si="6">B9</f>
        <v>用途</v>
      </c>
      <c r="R9" s="769" t="s">
        <v>17</v>
      </c>
      <c r="S9" s="770">
        <f t="shared" si="0"/>
        <v>100</v>
      </c>
      <c r="T9" s="769" t="s">
        <v>17</v>
      </c>
      <c r="U9" s="770">
        <f t="shared" si="1"/>
        <v>100</v>
      </c>
      <c r="V9" s="769" t="s">
        <v>17</v>
      </c>
      <c r="W9" s="770">
        <f t="shared" si="2"/>
        <v>100</v>
      </c>
      <c r="X9" s="771"/>
      <c r="Y9" s="3108"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59"/>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59"/>
      <c r="Q11" s="1791">
        <f t="shared" si="6"/>
        <v>111</v>
      </c>
      <c r="R11" s="769" t="s">
        <v>17</v>
      </c>
      <c r="S11" s="770">
        <f t="shared" si="0"/>
        <v>100</v>
      </c>
      <c r="T11" s="769" t="s">
        <v>17</v>
      </c>
      <c r="U11" s="770">
        <f t="shared" si="1"/>
        <v>100</v>
      </c>
      <c r="V11" s="769" t="s">
        <v>17</v>
      </c>
      <c r="W11" s="770">
        <f t="shared" si="2"/>
        <v>100</v>
      </c>
      <c r="X11" s="771"/>
      <c r="Y11" s="310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59"/>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59"/>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66" t="s">
        <v>2559</v>
      </c>
      <c r="Q14" s="1806" t="str">
        <f t="shared" si="6"/>
        <v>交通便捷度</v>
      </c>
      <c r="R14" s="773" t="s">
        <v>17</v>
      </c>
      <c r="S14" s="774">
        <f t="shared" si="0"/>
        <v>100</v>
      </c>
      <c r="T14" s="773" t="s">
        <v>17</v>
      </c>
      <c r="U14" s="774">
        <f t="shared" si="1"/>
        <v>100</v>
      </c>
      <c r="V14" s="773" t="s">
        <v>17</v>
      </c>
      <c r="W14" s="774">
        <f t="shared" si="2"/>
        <v>100</v>
      </c>
      <c r="X14" s="1809"/>
      <c r="Y14" s="3266"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67"/>
      <c r="Q15" s="1806"/>
      <c r="R15" s="773"/>
      <c r="S15" s="774"/>
      <c r="T15" s="773"/>
      <c r="U15" s="774"/>
      <c r="V15" s="773"/>
      <c r="W15" s="774"/>
      <c r="X15" s="1809"/>
      <c r="Y15" s="3267"/>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67"/>
      <c r="Q16" s="1806" t="str">
        <f>B16</f>
        <v>公共配套设施</v>
      </c>
      <c r="R16" s="773" t="s">
        <v>17</v>
      </c>
      <c r="S16" s="774">
        <f>F16</f>
        <v>100</v>
      </c>
      <c r="T16" s="773" t="s">
        <v>17</v>
      </c>
      <c r="U16" s="774">
        <f>H16</f>
        <v>100</v>
      </c>
      <c r="V16" s="773" t="s">
        <v>17</v>
      </c>
      <c r="W16" s="774">
        <f>J16</f>
        <v>100</v>
      </c>
      <c r="X16" s="1809"/>
      <c r="Y16" s="3267"/>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67"/>
      <c r="Q17" s="1806"/>
      <c r="R17" s="773"/>
      <c r="S17" s="774"/>
      <c r="T17" s="773"/>
      <c r="U17" s="774"/>
      <c r="V17" s="773"/>
      <c r="W17" s="774"/>
      <c r="X17" s="1809"/>
      <c r="Y17" s="3267"/>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67"/>
      <c r="Q18" s="1806" t="str">
        <f>B18</f>
        <v>基础设施水平</v>
      </c>
      <c r="R18" s="773" t="s">
        <v>17</v>
      </c>
      <c r="S18" s="774">
        <f>F18</f>
        <v>100</v>
      </c>
      <c r="T18" s="773" t="s">
        <v>17</v>
      </c>
      <c r="U18" s="774">
        <f>H18</f>
        <v>100</v>
      </c>
      <c r="V18" s="773" t="s">
        <v>17</v>
      </c>
      <c r="W18" s="774">
        <f>J18</f>
        <v>100</v>
      </c>
      <c r="X18" s="1809"/>
      <c r="Y18" s="3267"/>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67"/>
      <c r="Q19" s="1806"/>
      <c r="R19" s="773"/>
      <c r="S19" s="774"/>
      <c r="T19" s="773"/>
      <c r="U19" s="774"/>
      <c r="V19" s="773"/>
      <c r="W19" s="774"/>
      <c r="X19" s="1809"/>
      <c r="Y19" s="3267"/>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67"/>
      <c r="Q20" s="1806" t="str">
        <f>B20</f>
        <v>自然及人文环境</v>
      </c>
      <c r="R20" s="773" t="s">
        <v>17</v>
      </c>
      <c r="S20" s="774">
        <f>F20</f>
        <v>100</v>
      </c>
      <c r="T20" s="773" t="s">
        <v>17</v>
      </c>
      <c r="U20" s="774">
        <f>H20</f>
        <v>100</v>
      </c>
      <c r="V20" s="773" t="s">
        <v>17</v>
      </c>
      <c r="W20" s="774">
        <f>J20</f>
        <v>100</v>
      </c>
      <c r="X20" s="1809"/>
      <c r="Y20" s="3267"/>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67"/>
      <c r="Q21" s="1806"/>
      <c r="R21" s="773"/>
      <c r="S21" s="774"/>
      <c r="T21" s="773"/>
      <c r="U21" s="774"/>
      <c r="V21" s="773"/>
      <c r="W21" s="774"/>
      <c r="X21" s="1809"/>
      <c r="Y21" s="3267"/>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67"/>
      <c r="Q22" s="1806" t="str">
        <f>B22</f>
        <v>楼层</v>
      </c>
      <c r="R22" s="773" t="s">
        <v>17</v>
      </c>
      <c r="S22" s="774">
        <f>F22</f>
        <v>100</v>
      </c>
      <c r="T22" s="773" t="s">
        <v>17</v>
      </c>
      <c r="U22" s="774">
        <f>H22</f>
        <v>100</v>
      </c>
      <c r="V22" s="773" t="s">
        <v>17</v>
      </c>
      <c r="W22" s="774">
        <f>J22</f>
        <v>100</v>
      </c>
      <c r="X22" s="1809"/>
      <c r="Y22" s="3267"/>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67"/>
      <c r="Q23" s="1806">
        <f>B23</f>
        <v>111</v>
      </c>
      <c r="R23" s="773" t="s">
        <v>17</v>
      </c>
      <c r="S23" s="774">
        <f>F23</f>
        <v>100</v>
      </c>
      <c r="T23" s="773" t="s">
        <v>17</v>
      </c>
      <c r="U23" s="774">
        <f>H23</f>
        <v>100</v>
      </c>
      <c r="V23" s="773" t="s">
        <v>17</v>
      </c>
      <c r="W23" s="774">
        <f>J23</f>
        <v>100</v>
      </c>
      <c r="X23" s="1809"/>
      <c r="Y23" s="3267"/>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67"/>
      <c r="Q24" s="1806">
        <f t="shared" ref="Q24:Q36" si="11">B24</f>
        <v>111</v>
      </c>
      <c r="R24" s="773" t="s">
        <v>17</v>
      </c>
      <c r="S24" s="774">
        <f>F24</f>
        <v>100</v>
      </c>
      <c r="T24" s="773" t="s">
        <v>17</v>
      </c>
      <c r="U24" s="774">
        <f>H24</f>
        <v>100</v>
      </c>
      <c r="V24" s="773" t="s">
        <v>17</v>
      </c>
      <c r="W24" s="774">
        <f>J24</f>
        <v>100</v>
      </c>
      <c r="X24" s="1809"/>
      <c r="Y24" s="3267"/>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67"/>
      <c r="Q25" s="1791">
        <f t="shared" si="11"/>
        <v>111</v>
      </c>
      <c r="R25" s="769" t="s">
        <v>17</v>
      </c>
      <c r="S25" s="770">
        <f>F25</f>
        <v>100</v>
      </c>
      <c r="T25" s="769" t="s">
        <v>17</v>
      </c>
      <c r="U25" s="770">
        <f>H25</f>
        <v>100</v>
      </c>
      <c r="V25" s="769" t="s">
        <v>17</v>
      </c>
      <c r="W25" s="770">
        <f>J25</f>
        <v>100</v>
      </c>
      <c r="X25" s="771"/>
      <c r="Y25" s="3267"/>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43"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1"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1"/>
      <c r="Q27" s="775" t="str">
        <f t="shared" si="11"/>
        <v>项目停车位配比</v>
      </c>
      <c r="R27" s="776" t="s">
        <v>17</v>
      </c>
      <c r="S27" s="777">
        <f t="shared" si="12"/>
        <v>100</v>
      </c>
      <c r="T27" s="776" t="s">
        <v>17</v>
      </c>
      <c r="U27" s="777">
        <f t="shared" si="13"/>
        <v>100</v>
      </c>
      <c r="V27" s="776" t="s">
        <v>17</v>
      </c>
      <c r="W27" s="777">
        <f t="shared" si="14"/>
        <v>100</v>
      </c>
      <c r="X27" s="778"/>
      <c r="Y27" s="3271"/>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1"/>
      <c r="Q28" s="1806" t="str">
        <f t="shared" si="11"/>
        <v>公共部分装修</v>
      </c>
      <c r="R28" s="773" t="s">
        <v>17</v>
      </c>
      <c r="S28" s="774">
        <f t="shared" si="12"/>
        <v>100</v>
      </c>
      <c r="T28" s="773" t="s">
        <v>17</v>
      </c>
      <c r="U28" s="774">
        <f t="shared" si="13"/>
        <v>100</v>
      </c>
      <c r="V28" s="773" t="s">
        <v>17</v>
      </c>
      <c r="W28" s="774">
        <f t="shared" si="14"/>
        <v>100</v>
      </c>
      <c r="X28" s="1809"/>
      <c r="Y28" s="3271"/>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1"/>
      <c r="Q29" s="1806" t="str">
        <f t="shared" si="11"/>
        <v>成新率</v>
      </c>
      <c r="R29" s="773" t="s">
        <v>17</v>
      </c>
      <c r="S29" s="774" t="e">
        <f t="shared" si="12"/>
        <v>#N/A</v>
      </c>
      <c r="T29" s="773" t="s">
        <v>17</v>
      </c>
      <c r="U29" s="774" t="e">
        <f t="shared" si="13"/>
        <v>#N/A</v>
      </c>
      <c r="V29" s="773" t="s">
        <v>17</v>
      </c>
      <c r="W29" s="774" t="e">
        <f t="shared" si="14"/>
        <v>#N/A</v>
      </c>
      <c r="X29" s="1809"/>
      <c r="Y29" s="3271"/>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1"/>
      <c r="Q30" s="1806" t="str">
        <f t="shared" si="11"/>
        <v>物业等级</v>
      </c>
      <c r="R30" s="773" t="s">
        <v>17</v>
      </c>
      <c r="S30" s="774">
        <f t="shared" si="12"/>
        <v>100</v>
      </c>
      <c r="T30" s="773" t="s">
        <v>17</v>
      </c>
      <c r="U30" s="774">
        <f t="shared" si="13"/>
        <v>100</v>
      </c>
      <c r="V30" s="773" t="s">
        <v>17</v>
      </c>
      <c r="W30" s="774">
        <f t="shared" si="14"/>
        <v>100</v>
      </c>
      <c r="X30" s="1809"/>
      <c r="Y30" s="3271"/>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1"/>
      <c r="Q31" s="1791" t="str">
        <f t="shared" si="11"/>
        <v>停车位面积</v>
      </c>
      <c r="R31" s="769" t="s">
        <v>17</v>
      </c>
      <c r="S31" s="770" t="e">
        <f t="shared" si="12"/>
        <v>#N/A</v>
      </c>
      <c r="T31" s="769" t="s">
        <v>17</v>
      </c>
      <c r="U31" s="770" t="e">
        <f t="shared" si="13"/>
        <v>#N/A</v>
      </c>
      <c r="V31" s="769" t="s">
        <v>17</v>
      </c>
      <c r="W31" s="770" t="e">
        <f t="shared" si="14"/>
        <v>#N/A</v>
      </c>
      <c r="X31" s="771"/>
      <c r="Y31" s="3271"/>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1" t="s">
        <v>2564</v>
      </c>
      <c r="Q32" s="1806" t="str">
        <f t="shared" si="11"/>
        <v>车位类型</v>
      </c>
      <c r="R32" s="773" t="s">
        <v>17</v>
      </c>
      <c r="S32" s="774">
        <f t="shared" si="12"/>
        <v>100</v>
      </c>
      <c r="T32" s="773" t="s">
        <v>17</v>
      </c>
      <c r="U32" s="774">
        <f t="shared" si="13"/>
        <v>100</v>
      </c>
      <c r="V32" s="773" t="s">
        <v>17</v>
      </c>
      <c r="W32" s="774">
        <f t="shared" si="14"/>
        <v>100</v>
      </c>
      <c r="X32" s="1809"/>
      <c r="Y32" s="3271"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1"/>
      <c r="Q33" s="1806" t="str">
        <f t="shared" si="11"/>
        <v>是否直接入户</v>
      </c>
      <c r="R33" s="773" t="s">
        <v>17</v>
      </c>
      <c r="S33" s="774">
        <f t="shared" si="12"/>
        <v>100</v>
      </c>
      <c r="T33" s="773" t="s">
        <v>17</v>
      </c>
      <c r="U33" s="774">
        <f t="shared" si="13"/>
        <v>100</v>
      </c>
      <c r="V33" s="773" t="s">
        <v>17</v>
      </c>
      <c r="W33" s="774">
        <f t="shared" si="14"/>
        <v>100</v>
      </c>
      <c r="X33" s="1809"/>
      <c r="Y33" s="3271"/>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1"/>
      <c r="Q34" s="1806">
        <f t="shared" si="11"/>
        <v>111</v>
      </c>
      <c r="R34" s="773" t="s">
        <v>17</v>
      </c>
      <c r="S34" s="774">
        <f t="shared" si="12"/>
        <v>100</v>
      </c>
      <c r="T34" s="773" t="s">
        <v>17</v>
      </c>
      <c r="U34" s="774">
        <f t="shared" si="13"/>
        <v>100</v>
      </c>
      <c r="V34" s="773" t="s">
        <v>17</v>
      </c>
      <c r="W34" s="774">
        <f t="shared" si="14"/>
        <v>100</v>
      </c>
      <c r="X34" s="1809"/>
      <c r="Y34" s="3271"/>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1"/>
      <c r="Q35" s="775">
        <f t="shared" si="11"/>
        <v>111</v>
      </c>
      <c r="R35" s="776" t="s">
        <v>17</v>
      </c>
      <c r="S35" s="777">
        <f t="shared" si="12"/>
        <v>100</v>
      </c>
      <c r="T35" s="776" t="s">
        <v>17</v>
      </c>
      <c r="U35" s="777">
        <f t="shared" si="13"/>
        <v>100</v>
      </c>
      <c r="V35" s="776" t="s">
        <v>17</v>
      </c>
      <c r="W35" s="777">
        <f t="shared" si="14"/>
        <v>100</v>
      </c>
      <c r="X35" s="778"/>
      <c r="Y35" s="3271"/>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1"/>
      <c r="Q36" s="1806">
        <f t="shared" si="11"/>
        <v>111</v>
      </c>
      <c r="R36" s="773" t="s">
        <v>17</v>
      </c>
      <c r="S36" s="774">
        <f t="shared" si="12"/>
        <v>100</v>
      </c>
      <c r="T36" s="773" t="s">
        <v>17</v>
      </c>
      <c r="U36" s="774">
        <f t="shared" si="13"/>
        <v>100</v>
      </c>
      <c r="V36" s="773" t="s">
        <v>17</v>
      </c>
      <c r="W36" s="774">
        <f t="shared" si="14"/>
        <v>100</v>
      </c>
      <c r="X36" s="1809"/>
      <c r="Y36" s="3271"/>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59" t="str">
        <f>A37</f>
        <v>成交单价</v>
      </c>
      <c r="Q37" s="3259"/>
      <c r="R37" s="3260">
        <f>E37</f>
        <v>0</v>
      </c>
      <c r="S37" s="3260"/>
      <c r="T37" s="3260">
        <f>G37</f>
        <v>0</v>
      </c>
      <c r="U37" s="3260"/>
      <c r="V37" s="3260">
        <f>I37</f>
        <v>0</v>
      </c>
      <c r="W37" s="3260"/>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310" t="str">
        <f>A39</f>
        <v>估价对象XX用房的比较价值（楼面单价，元/平方米）</v>
      </c>
      <c r="Q39" s="3311"/>
      <c r="R39" s="3312" t="e">
        <f>IF(F1="售价",ROUND(AVERAGE(R38:V38),0),ROUND(AVERAGE(R38:V38),1))</f>
        <v>#DIV/0!</v>
      </c>
      <c r="S39" s="3312"/>
      <c r="T39" s="3312"/>
      <c r="U39" s="3312"/>
      <c r="V39" s="3312"/>
      <c r="W39" s="3312"/>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306" t="s">
        <v>2647</v>
      </c>
      <c r="AC4" s="3313" t="s">
        <v>2648</v>
      </c>
    </row>
    <row r="5" spans="1:29" ht="15">
      <c r="A5" s="403"/>
      <c r="B5" s="404"/>
      <c r="C5" s="3302" t="s">
        <v>2541</v>
      </c>
      <c r="D5" s="3297"/>
      <c r="E5" s="3320" t="s">
        <v>2542</v>
      </c>
      <c r="F5" s="3309"/>
      <c r="G5" s="3302" t="s">
        <v>2543</v>
      </c>
      <c r="H5" s="3297"/>
      <c r="I5" s="3302" t="s">
        <v>2544</v>
      </c>
      <c r="J5" s="3297"/>
      <c r="K5" s="609"/>
      <c r="L5" s="1126"/>
      <c r="M5" s="1127"/>
      <c r="N5" s="1127"/>
      <c r="O5" s="1127"/>
      <c r="P5" s="3316"/>
      <c r="Q5" s="3283"/>
      <c r="R5" s="3288"/>
      <c r="S5" s="3289"/>
      <c r="T5" s="3288"/>
      <c r="U5" s="3289"/>
      <c r="V5" s="3293"/>
      <c r="W5" s="3293"/>
      <c r="X5" s="1809"/>
      <c r="Y5" s="3288"/>
      <c r="Z5" s="3289"/>
      <c r="AA5" s="3306"/>
      <c r="AB5" s="3306"/>
      <c r="AC5" s="3306"/>
    </row>
    <row r="6" spans="1:29" ht="15.75" thickBot="1">
      <c r="A6" s="405"/>
      <c r="B6" s="406"/>
      <c r="C6" s="3294" t="s">
        <v>2545</v>
      </c>
      <c r="D6" s="3295"/>
      <c r="E6" s="3303" t="s">
        <v>2545</v>
      </c>
      <c r="F6" s="3304"/>
      <c r="G6" s="3294" t="s">
        <v>2545</v>
      </c>
      <c r="H6" s="3295"/>
      <c r="I6" s="3294" t="s">
        <v>2545</v>
      </c>
      <c r="J6" s="3295"/>
      <c r="K6" s="609" t="s">
        <v>2546</v>
      </c>
      <c r="L6" s="1126"/>
      <c r="M6" s="1127"/>
      <c r="N6" s="1127"/>
      <c r="O6" s="1127"/>
      <c r="P6" s="3317"/>
      <c r="Q6" s="3285"/>
      <c r="R6" s="3288"/>
      <c r="S6" s="3289"/>
      <c r="T6" s="3290"/>
      <c r="U6" s="3291"/>
      <c r="V6" s="3293"/>
      <c r="W6" s="3293"/>
      <c r="X6" s="1809"/>
      <c r="Y6" s="3290"/>
      <c r="Z6" s="3291"/>
      <c r="AA6" s="3307"/>
      <c r="AB6" s="3307"/>
      <c r="AC6" s="3307"/>
    </row>
    <row r="7" spans="1:29" s="116" customFormat="1" ht="15.75" thickBot="1">
      <c r="A7" s="407" t="s">
        <v>2547</v>
      </c>
      <c r="B7" s="408"/>
      <c r="C7" s="409">
        <f>'数据-取费表'!B2</f>
        <v>43182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300" t="s">
        <v>2548</v>
      </c>
      <c r="Q7" s="3301"/>
      <c r="R7" s="769" t="s">
        <v>17</v>
      </c>
      <c r="S7" s="770">
        <f t="shared" ref="S7:S14" si="0">F7</f>
        <v>0</v>
      </c>
      <c r="T7" s="769" t="s">
        <v>17</v>
      </c>
      <c r="U7" s="770">
        <f t="shared" ref="U7:U14" si="1">H7</f>
        <v>0</v>
      </c>
      <c r="V7" s="769" t="s">
        <v>17</v>
      </c>
      <c r="W7" s="770">
        <f t="shared" ref="W7:W14" si="2">J7</f>
        <v>0</v>
      </c>
      <c r="X7" s="771"/>
      <c r="Y7" s="3300" t="s">
        <v>2548</v>
      </c>
      <c r="Z7" s="329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00" t="s">
        <v>2551</v>
      </c>
      <c r="Q8" s="3299"/>
      <c r="R8" s="769" t="s">
        <v>17</v>
      </c>
      <c r="S8" s="770">
        <f t="shared" si="0"/>
        <v>0</v>
      </c>
      <c r="T8" s="769" t="s">
        <v>17</v>
      </c>
      <c r="U8" s="770">
        <f t="shared" si="1"/>
        <v>0</v>
      </c>
      <c r="V8" s="769" t="s">
        <v>17</v>
      </c>
      <c r="W8" s="770">
        <f t="shared" si="2"/>
        <v>0</v>
      </c>
      <c r="X8" s="771"/>
      <c r="Y8" s="3300" t="s">
        <v>2551</v>
      </c>
      <c r="Z8" s="3299"/>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59" t="s">
        <v>2554</v>
      </c>
      <c r="Q9" s="1791" t="str">
        <f t="shared" ref="Q9:Q14" si="6">B9</f>
        <v>用途</v>
      </c>
      <c r="R9" s="769" t="s">
        <v>17</v>
      </c>
      <c r="S9" s="770">
        <f t="shared" si="0"/>
        <v>100</v>
      </c>
      <c r="T9" s="769" t="s">
        <v>17</v>
      </c>
      <c r="U9" s="770">
        <f t="shared" si="1"/>
        <v>100</v>
      </c>
      <c r="V9" s="769" t="s">
        <v>17</v>
      </c>
      <c r="W9" s="770">
        <f t="shared" si="2"/>
        <v>100</v>
      </c>
      <c r="X9" s="771"/>
      <c r="Y9" s="3108"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59"/>
      <c r="Q10" s="1791" t="str">
        <f t="shared" si="6"/>
        <v>土地使用年限（年）</v>
      </c>
      <c r="R10" s="769" t="s">
        <v>17</v>
      </c>
      <c r="S10" s="770">
        <f t="shared" si="0"/>
        <v>100</v>
      </c>
      <c r="T10" s="769" t="s">
        <v>17</v>
      </c>
      <c r="U10" s="770">
        <f t="shared" si="1"/>
        <v>100</v>
      </c>
      <c r="V10" s="769" t="s">
        <v>17</v>
      </c>
      <c r="W10" s="770">
        <f t="shared" si="2"/>
        <v>100</v>
      </c>
      <c r="X10" s="771"/>
      <c r="Y10" s="3108"/>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59"/>
      <c r="Q11" s="1791">
        <f t="shared" si="6"/>
        <v>111</v>
      </c>
      <c r="R11" s="769" t="s">
        <v>17</v>
      </c>
      <c r="S11" s="770">
        <f t="shared" si="0"/>
        <v>100</v>
      </c>
      <c r="T11" s="769" t="s">
        <v>17</v>
      </c>
      <c r="U11" s="770">
        <f t="shared" si="1"/>
        <v>100</v>
      </c>
      <c r="V11" s="769" t="s">
        <v>17</v>
      </c>
      <c r="W11" s="770">
        <f t="shared" si="2"/>
        <v>100</v>
      </c>
      <c r="X11" s="771"/>
      <c r="Y11" s="3108"/>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59"/>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59"/>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66" t="s">
        <v>2559</v>
      </c>
      <c r="Q14" s="1806" t="str">
        <f t="shared" si="6"/>
        <v>交通便捷度</v>
      </c>
      <c r="R14" s="773" t="s">
        <v>17</v>
      </c>
      <c r="S14" s="774">
        <f t="shared" si="0"/>
        <v>100</v>
      </c>
      <c r="T14" s="773" t="s">
        <v>17</v>
      </c>
      <c r="U14" s="774">
        <f t="shared" si="1"/>
        <v>100</v>
      </c>
      <c r="V14" s="773" t="s">
        <v>17</v>
      </c>
      <c r="W14" s="774">
        <f t="shared" si="2"/>
        <v>100</v>
      </c>
      <c r="X14" s="1809"/>
      <c r="Y14" s="3266"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67"/>
      <c r="Q15" s="1806"/>
      <c r="R15" s="773"/>
      <c r="S15" s="774"/>
      <c r="T15" s="773"/>
      <c r="U15" s="774"/>
      <c r="V15" s="773"/>
      <c r="W15" s="774"/>
      <c r="X15" s="1809"/>
      <c r="Y15" s="3267"/>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67"/>
      <c r="Q16" s="1806" t="str">
        <f>B16</f>
        <v>公共配套设施</v>
      </c>
      <c r="R16" s="773" t="s">
        <v>17</v>
      </c>
      <c r="S16" s="774">
        <f>F16</f>
        <v>100</v>
      </c>
      <c r="T16" s="773" t="s">
        <v>17</v>
      </c>
      <c r="U16" s="774">
        <f>H16</f>
        <v>100</v>
      </c>
      <c r="V16" s="773" t="s">
        <v>17</v>
      </c>
      <c r="W16" s="774">
        <f>J16</f>
        <v>100</v>
      </c>
      <c r="X16" s="1809"/>
      <c r="Y16" s="3267"/>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67"/>
      <c r="Q17" s="1806"/>
      <c r="R17" s="773"/>
      <c r="S17" s="774"/>
      <c r="T17" s="773"/>
      <c r="U17" s="774"/>
      <c r="V17" s="773"/>
      <c r="W17" s="774"/>
      <c r="X17" s="1809"/>
      <c r="Y17" s="3267"/>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67"/>
      <c r="Q18" s="1806" t="str">
        <f>B18</f>
        <v>基础设施水平</v>
      </c>
      <c r="R18" s="773" t="s">
        <v>17</v>
      </c>
      <c r="S18" s="774">
        <f>F18</f>
        <v>100</v>
      </c>
      <c r="T18" s="773" t="s">
        <v>17</v>
      </c>
      <c r="U18" s="774">
        <f>H18</f>
        <v>100</v>
      </c>
      <c r="V18" s="773" t="s">
        <v>17</v>
      </c>
      <c r="W18" s="774">
        <f>J18</f>
        <v>100</v>
      </c>
      <c r="X18" s="1809"/>
      <c r="Y18" s="3267"/>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67"/>
      <c r="Q19" s="1806"/>
      <c r="R19" s="773"/>
      <c r="S19" s="774"/>
      <c r="T19" s="773"/>
      <c r="U19" s="774"/>
      <c r="V19" s="773"/>
      <c r="W19" s="774"/>
      <c r="X19" s="1809"/>
      <c r="Y19" s="3267"/>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67"/>
      <c r="Q20" s="1806" t="str">
        <f>B20</f>
        <v>自然及人文环境</v>
      </c>
      <c r="R20" s="773" t="s">
        <v>17</v>
      </c>
      <c r="S20" s="774">
        <f>F20</f>
        <v>100</v>
      </c>
      <c r="T20" s="773" t="s">
        <v>17</v>
      </c>
      <c r="U20" s="774">
        <f>H20</f>
        <v>100</v>
      </c>
      <c r="V20" s="773" t="s">
        <v>17</v>
      </c>
      <c r="W20" s="774">
        <f>J20</f>
        <v>100</v>
      </c>
      <c r="X20" s="1809"/>
      <c r="Y20" s="3267"/>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67"/>
      <c r="Q21" s="1806"/>
      <c r="R21" s="773"/>
      <c r="S21" s="774"/>
      <c r="T21" s="773"/>
      <c r="U21" s="774"/>
      <c r="V21" s="773"/>
      <c r="W21" s="774"/>
      <c r="X21" s="1809"/>
      <c r="Y21" s="3267"/>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67"/>
      <c r="Q22" s="1806" t="str">
        <f>B22</f>
        <v>楼层</v>
      </c>
      <c r="R22" s="773" t="s">
        <v>17</v>
      </c>
      <c r="S22" s="774">
        <f>F22</f>
        <v>100</v>
      </c>
      <c r="T22" s="773" t="s">
        <v>17</v>
      </c>
      <c r="U22" s="774">
        <f>H22</f>
        <v>100</v>
      </c>
      <c r="V22" s="773" t="s">
        <v>17</v>
      </c>
      <c r="W22" s="774">
        <f>J22</f>
        <v>100</v>
      </c>
      <c r="X22" s="1809"/>
      <c r="Y22" s="3267"/>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67"/>
      <c r="Q23" s="1806">
        <f>B23</f>
        <v>111</v>
      </c>
      <c r="R23" s="773" t="s">
        <v>17</v>
      </c>
      <c r="S23" s="774">
        <f>F23</f>
        <v>100</v>
      </c>
      <c r="T23" s="773" t="s">
        <v>17</v>
      </c>
      <c r="U23" s="774">
        <f>H23</f>
        <v>100</v>
      </c>
      <c r="V23" s="773" t="s">
        <v>17</v>
      </c>
      <c r="W23" s="774">
        <f>J23</f>
        <v>100</v>
      </c>
      <c r="X23" s="1809"/>
      <c r="Y23" s="3267"/>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67"/>
      <c r="Q24" s="1806">
        <f t="shared" ref="Q24:Q34" si="11">B24</f>
        <v>111</v>
      </c>
      <c r="R24" s="773" t="s">
        <v>17</v>
      </c>
      <c r="S24" s="774">
        <f>F24</f>
        <v>100</v>
      </c>
      <c r="T24" s="773" t="s">
        <v>17</v>
      </c>
      <c r="U24" s="774">
        <f>H24</f>
        <v>100</v>
      </c>
      <c r="V24" s="773" t="s">
        <v>17</v>
      </c>
      <c r="W24" s="774">
        <f>J24</f>
        <v>100</v>
      </c>
      <c r="X24" s="1809"/>
      <c r="Y24" s="3267"/>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67"/>
      <c r="Q25" s="1791">
        <f t="shared" si="11"/>
        <v>111</v>
      </c>
      <c r="R25" s="769" t="s">
        <v>17</v>
      </c>
      <c r="S25" s="770">
        <f>F25</f>
        <v>100</v>
      </c>
      <c r="T25" s="769" t="s">
        <v>17</v>
      </c>
      <c r="U25" s="770">
        <f>H25</f>
        <v>100</v>
      </c>
      <c r="V25" s="769" t="s">
        <v>17</v>
      </c>
      <c r="W25" s="770">
        <f>J25</f>
        <v>100</v>
      </c>
      <c r="X25" s="771"/>
      <c r="Y25" s="3267"/>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43"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1"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1"/>
      <c r="Q27" s="775" t="str">
        <f t="shared" si="11"/>
        <v>成新率</v>
      </c>
      <c r="R27" s="776" t="s">
        <v>17</v>
      </c>
      <c r="S27" s="777" t="e">
        <f t="shared" si="12"/>
        <v>#N/A</v>
      </c>
      <c r="T27" s="776" t="s">
        <v>17</v>
      </c>
      <c r="U27" s="777" t="e">
        <f t="shared" si="13"/>
        <v>#N/A</v>
      </c>
      <c r="V27" s="776" t="s">
        <v>17</v>
      </c>
      <c r="W27" s="777" t="e">
        <f t="shared" si="14"/>
        <v>#N/A</v>
      </c>
      <c r="X27" s="778"/>
      <c r="Y27" s="3271"/>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1"/>
      <c r="Q28" s="1806" t="str">
        <f t="shared" si="11"/>
        <v>物业等级</v>
      </c>
      <c r="R28" s="773" t="s">
        <v>17</v>
      </c>
      <c r="S28" s="774">
        <f t="shared" si="12"/>
        <v>100</v>
      </c>
      <c r="T28" s="773" t="s">
        <v>17</v>
      </c>
      <c r="U28" s="774">
        <f t="shared" si="13"/>
        <v>100</v>
      </c>
      <c r="V28" s="773" t="s">
        <v>17</v>
      </c>
      <c r="W28" s="774">
        <f t="shared" si="14"/>
        <v>100</v>
      </c>
      <c r="X28" s="1809"/>
      <c r="Y28" s="3271"/>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1"/>
      <c r="Q29" s="1806" t="str">
        <f t="shared" si="11"/>
        <v>有无电梯</v>
      </c>
      <c r="R29" s="773" t="s">
        <v>17</v>
      </c>
      <c r="S29" s="774">
        <f t="shared" si="12"/>
        <v>100</v>
      </c>
      <c r="T29" s="773" t="s">
        <v>17</v>
      </c>
      <c r="U29" s="774">
        <f t="shared" si="13"/>
        <v>100</v>
      </c>
      <c r="V29" s="773" t="s">
        <v>17</v>
      </c>
      <c r="W29" s="774">
        <f t="shared" si="14"/>
        <v>100</v>
      </c>
      <c r="X29" s="1809"/>
      <c r="Y29" s="3271"/>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1"/>
      <c r="Q30" s="1806" t="str">
        <f t="shared" si="11"/>
        <v>建筑面积</v>
      </c>
      <c r="R30" s="773" t="s">
        <v>17</v>
      </c>
      <c r="S30" s="774" t="e">
        <f t="shared" si="12"/>
        <v>#N/A</v>
      </c>
      <c r="T30" s="773" t="s">
        <v>17</v>
      </c>
      <c r="U30" s="774" t="e">
        <f t="shared" si="13"/>
        <v>#N/A</v>
      </c>
      <c r="V30" s="773" t="s">
        <v>17</v>
      </c>
      <c r="W30" s="774" t="e">
        <f t="shared" si="14"/>
        <v>#N/A</v>
      </c>
      <c r="X30" s="1809"/>
      <c r="Y30" s="3271"/>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1"/>
      <c r="Q31" s="1791" t="str">
        <f t="shared" si="11"/>
        <v>是否封闭</v>
      </c>
      <c r="R31" s="769" t="s">
        <v>17</v>
      </c>
      <c r="S31" s="770">
        <f t="shared" si="12"/>
        <v>100</v>
      </c>
      <c r="T31" s="769" t="s">
        <v>17</v>
      </c>
      <c r="U31" s="770">
        <f t="shared" si="13"/>
        <v>100</v>
      </c>
      <c r="V31" s="769" t="s">
        <v>17</v>
      </c>
      <c r="W31" s="770">
        <f t="shared" si="14"/>
        <v>100</v>
      </c>
      <c r="X31" s="771"/>
      <c r="Y31" s="3271"/>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1" t="s">
        <v>2564</v>
      </c>
      <c r="Q32" s="1806">
        <f t="shared" si="11"/>
        <v>111</v>
      </c>
      <c r="R32" s="773" t="s">
        <v>17</v>
      </c>
      <c r="S32" s="774">
        <f t="shared" si="12"/>
        <v>100</v>
      </c>
      <c r="T32" s="773" t="s">
        <v>17</v>
      </c>
      <c r="U32" s="774">
        <f t="shared" si="13"/>
        <v>100</v>
      </c>
      <c r="V32" s="773" t="s">
        <v>17</v>
      </c>
      <c r="W32" s="774">
        <f t="shared" si="14"/>
        <v>100</v>
      </c>
      <c r="X32" s="1809"/>
      <c r="Y32" s="3271"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1"/>
      <c r="Q33" s="1806">
        <f t="shared" si="11"/>
        <v>111</v>
      </c>
      <c r="R33" s="773" t="s">
        <v>17</v>
      </c>
      <c r="S33" s="774">
        <f t="shared" si="12"/>
        <v>100</v>
      </c>
      <c r="T33" s="773" t="s">
        <v>17</v>
      </c>
      <c r="U33" s="774">
        <f t="shared" si="13"/>
        <v>100</v>
      </c>
      <c r="V33" s="773" t="s">
        <v>17</v>
      </c>
      <c r="W33" s="774">
        <f t="shared" si="14"/>
        <v>100</v>
      </c>
      <c r="X33" s="1809"/>
      <c r="Y33" s="3271"/>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71"/>
      <c r="Q34" s="1806">
        <f t="shared" si="11"/>
        <v>111</v>
      </c>
      <c r="R34" s="773" t="s">
        <v>17</v>
      </c>
      <c r="S34" s="774">
        <f t="shared" si="12"/>
        <v>100</v>
      </c>
      <c r="T34" s="773" t="s">
        <v>17</v>
      </c>
      <c r="U34" s="774">
        <f t="shared" si="13"/>
        <v>100</v>
      </c>
      <c r="V34" s="773" t="s">
        <v>17</v>
      </c>
      <c r="W34" s="774">
        <f t="shared" si="14"/>
        <v>100</v>
      </c>
      <c r="X34" s="1809"/>
      <c r="Y34" s="3271"/>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59" t="str">
        <f>A35</f>
        <v>成交单价（元/平方米）</v>
      </c>
      <c r="Q35" s="3259"/>
      <c r="R35" s="3260">
        <f>E35</f>
        <v>0</v>
      </c>
      <c r="S35" s="3260"/>
      <c r="T35" s="3260">
        <f>G35</f>
        <v>0</v>
      </c>
      <c r="U35" s="3260"/>
      <c r="V35" s="3260">
        <f>I35</f>
        <v>0</v>
      </c>
      <c r="W35" s="3260"/>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310" t="str">
        <f>A37</f>
        <v>估价对象XX用房的比较价值（楼面单价，元/平方米）</v>
      </c>
      <c r="Q37" s="3311"/>
      <c r="R37" s="3312" t="e">
        <f>IF(F1="售价",ROUND(AVERAGE(R36:V36),0),ROUND(AVERAGE(R36:V36),1))</f>
        <v>#DIV/0!</v>
      </c>
      <c r="S37" s="3312"/>
      <c r="T37" s="3312"/>
      <c r="U37" s="3312"/>
      <c r="V37" s="3312"/>
      <c r="W37" s="3312"/>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80" zoomScaleNormal="80" workbookViewId="0">
      <selection activeCell="E57" sqref="E57"/>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32786</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19325</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306" t="s">
        <v>2647</v>
      </c>
      <c r="AC4" s="3313" t="s">
        <v>2648</v>
      </c>
    </row>
    <row r="5" spans="1:30" ht="15">
      <c r="A5" s="403"/>
      <c r="B5" s="404"/>
      <c r="C5" s="3302" t="s">
        <v>2541</v>
      </c>
      <c r="D5" s="3297"/>
      <c r="E5" s="3320" t="str">
        <f>案例!A2</f>
        <v>大兴开发区北区1号地DX00-0301-0145地块</v>
      </c>
      <c r="F5" s="3309"/>
      <c r="G5" s="3302" t="str">
        <f>案例!A5</f>
        <v>大兴区黄村镇兴华大街DX00-0202-0307地块</v>
      </c>
      <c r="H5" s="3297"/>
      <c r="I5" s="3302" t="str">
        <f>案例!A35</f>
        <v>房山区长阳镇FS00-LX10-0042等地块</v>
      </c>
      <c r="J5" s="3297"/>
      <c r="K5" s="609"/>
      <c r="L5" s="1126"/>
      <c r="M5" s="1127"/>
      <c r="N5" s="1127"/>
      <c r="O5" s="1127"/>
      <c r="P5" s="3316"/>
      <c r="Q5" s="3283"/>
      <c r="R5" s="3288"/>
      <c r="S5" s="3289"/>
      <c r="T5" s="3288"/>
      <c r="U5" s="3289"/>
      <c r="V5" s="3293"/>
      <c r="W5" s="3293"/>
      <c r="X5" s="1809"/>
      <c r="Y5" s="3288"/>
      <c r="Z5" s="3289"/>
      <c r="AA5" s="3306"/>
      <c r="AB5" s="3306"/>
      <c r="AC5" s="3306"/>
    </row>
    <row r="6" spans="1:30" ht="15.75" thickBot="1">
      <c r="A6" s="405"/>
      <c r="B6" s="406"/>
      <c r="C6" s="3294" t="s">
        <v>2545</v>
      </c>
      <c r="D6" s="3295"/>
      <c r="E6" s="3303" t="s">
        <v>2545</v>
      </c>
      <c r="F6" s="3304"/>
      <c r="G6" s="3294" t="s">
        <v>2545</v>
      </c>
      <c r="H6" s="3295"/>
      <c r="I6" s="3294" t="s">
        <v>2545</v>
      </c>
      <c r="J6" s="3295"/>
      <c r="K6" s="609" t="s">
        <v>2546</v>
      </c>
      <c r="L6" s="1126"/>
      <c r="M6" s="1127"/>
      <c r="N6" s="1127"/>
      <c r="O6" s="1127"/>
      <c r="P6" s="3317"/>
      <c r="Q6" s="3285"/>
      <c r="R6" s="3288"/>
      <c r="S6" s="3289"/>
      <c r="T6" s="3290"/>
      <c r="U6" s="3291"/>
      <c r="V6" s="3293"/>
      <c r="W6" s="3293"/>
      <c r="X6" s="1809"/>
      <c r="Y6" s="3290"/>
      <c r="Z6" s="3291"/>
      <c r="AA6" s="3307"/>
      <c r="AB6" s="3307"/>
      <c r="AC6" s="3307"/>
    </row>
    <row r="7" spans="1:30" s="116" customFormat="1" ht="15.75" thickBot="1">
      <c r="A7" s="407" t="s">
        <v>2547</v>
      </c>
      <c r="B7" s="408"/>
      <c r="C7" s="409">
        <f>'数据-取费表'!B2</f>
        <v>43182</v>
      </c>
      <c r="D7" s="410">
        <v>100</v>
      </c>
      <c r="E7" s="411" t="str">
        <f>案例!H2</f>
        <v>2017-04-06</v>
      </c>
      <c r="F7" s="412">
        <f>SUMIF(70:70,YEAR(E7)&amp;"-"&amp;INT((MONTH(E7)+2)/3),71:71)</f>
        <v>95.5</v>
      </c>
      <c r="G7" s="2689" t="str">
        <f>案例!H5</f>
        <v>2016-05-05</v>
      </c>
      <c r="H7" s="410">
        <f>SUMIF(70:70,YEAR(G7)&amp;"-"&amp;INT((MONTH(G7)+2)/3),71:71)</f>
        <v>89.5</v>
      </c>
      <c r="I7" s="2689" t="str">
        <f>案例!H35</f>
        <v>2016-11-28</v>
      </c>
      <c r="J7" s="410">
        <f>SUMIF(70:70,YEAR(I7)&amp;"-"&amp;INT((MONTH(I7)+2)/3),71:71)</f>
        <v>92.5</v>
      </c>
      <c r="K7" s="610"/>
      <c r="L7" s="1128"/>
      <c r="M7" s="1129"/>
      <c r="N7" s="1129"/>
      <c r="O7" s="1129"/>
      <c r="P7" s="3300" t="s">
        <v>2548</v>
      </c>
      <c r="Q7" s="3301"/>
      <c r="R7" s="769" t="s">
        <v>17</v>
      </c>
      <c r="S7" s="770">
        <f t="shared" ref="S7:S15" si="0">F7</f>
        <v>95.5</v>
      </c>
      <c r="T7" s="769" t="s">
        <v>17</v>
      </c>
      <c r="U7" s="770">
        <f t="shared" ref="U7:U15" si="1">H7</f>
        <v>89.5</v>
      </c>
      <c r="V7" s="769" t="s">
        <v>17</v>
      </c>
      <c r="W7" s="770">
        <f t="shared" ref="W7:W15" si="2">J7</f>
        <v>92.5</v>
      </c>
      <c r="X7" s="771"/>
      <c r="Y7" s="3300" t="s">
        <v>2548</v>
      </c>
      <c r="Z7" s="3299"/>
      <c r="AA7" s="772">
        <f>D7/F7</f>
        <v>1.0471204188481675</v>
      </c>
      <c r="AB7" s="772">
        <f>D7/H7</f>
        <v>1.1173184357541899</v>
      </c>
      <c r="AC7" s="772">
        <f>D7/J7</f>
        <v>1.0810810810810811</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300" t="s">
        <v>2551</v>
      </c>
      <c r="Q8" s="3299"/>
      <c r="R8" s="769" t="s">
        <v>17</v>
      </c>
      <c r="S8" s="770">
        <f t="shared" si="0"/>
        <v>100</v>
      </c>
      <c r="T8" s="769" t="s">
        <v>17</v>
      </c>
      <c r="U8" s="770">
        <f t="shared" si="1"/>
        <v>100</v>
      </c>
      <c r="V8" s="769" t="s">
        <v>17</v>
      </c>
      <c r="W8" s="770">
        <f t="shared" si="2"/>
        <v>100</v>
      </c>
      <c r="X8" s="771"/>
      <c r="Y8" s="3300" t="s">
        <v>2551</v>
      </c>
      <c r="Z8" s="3299"/>
      <c r="AA8" s="772">
        <f t="shared" ref="AA8:AA45" si="3">D8/F8</f>
        <v>1</v>
      </c>
      <c r="AB8" s="772">
        <f t="shared" ref="AB8:AB45" si="4">D8/H8</f>
        <v>1</v>
      </c>
      <c r="AC8" s="772">
        <f t="shared" ref="AC8:AC45" si="5">D8/J8</f>
        <v>1</v>
      </c>
    </row>
    <row r="9" spans="1:30" s="116" customFormat="1">
      <c r="A9" s="414" t="s">
        <v>2552</v>
      </c>
      <c r="B9" s="70" t="s">
        <v>2553</v>
      </c>
      <c r="C9" s="2692" t="s">
        <v>3330</v>
      </c>
      <c r="D9" s="134">
        <v>100</v>
      </c>
      <c r="E9" s="2692" t="s">
        <v>3330</v>
      </c>
      <c r="F9" s="134">
        <f>SUMIF(75:75,E9,76:76)-SUMIF(75:75,C9,76:76)+100</f>
        <v>100</v>
      </c>
      <c r="G9" s="2692" t="s">
        <v>3330</v>
      </c>
      <c r="H9" s="134">
        <f>SUMIF(75:75,G9,76:76)-SUMIF(75:75,C9,76:76)+100</f>
        <v>100</v>
      </c>
      <c r="I9" s="2692" t="s">
        <v>3330</v>
      </c>
      <c r="J9" s="134">
        <f>SUMIF(75:75,I9,76:76)-SUMIF(75:75,C9,76:76)+100</f>
        <v>100</v>
      </c>
      <c r="K9" s="610"/>
      <c r="L9" s="1128"/>
      <c r="M9" s="1129"/>
      <c r="N9" s="1129"/>
      <c r="O9" s="1130"/>
      <c r="P9" s="3259"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772">
        <f t="shared" si="5"/>
        <v>1</v>
      </c>
    </row>
    <row r="10" spans="1:30" s="426" customFormat="1" ht="28.5">
      <c r="A10" s="420"/>
      <c r="B10" s="421" t="s">
        <v>2556</v>
      </c>
      <c r="C10" s="431" t="s">
        <v>3332</v>
      </c>
      <c r="D10" s="135">
        <v>100</v>
      </c>
      <c r="E10" s="431" t="s">
        <v>3333</v>
      </c>
      <c r="F10" s="135">
        <f>ROUND(100/'数据-取费表'!G16,0)</f>
        <v>102</v>
      </c>
      <c r="G10" s="431" t="s">
        <v>3333</v>
      </c>
      <c r="H10" s="135">
        <f>ROUND(100/'数据-取费表'!G16,0)</f>
        <v>102</v>
      </c>
      <c r="I10" s="431" t="s">
        <v>3333</v>
      </c>
      <c r="J10" s="135">
        <f>ROUND(100/'数据-取费表'!G16,0)</f>
        <v>102</v>
      </c>
      <c r="K10" s="671"/>
      <c r="L10" s="1131"/>
      <c r="M10" s="1132"/>
      <c r="N10" s="1132"/>
      <c r="O10" s="1133"/>
      <c r="P10" s="3259"/>
      <c r="Q10" s="1791" t="str">
        <f t="shared" si="6"/>
        <v>土地使用年限（年）</v>
      </c>
      <c r="R10" s="769" t="s">
        <v>17</v>
      </c>
      <c r="S10" s="770">
        <f t="shared" si="0"/>
        <v>102</v>
      </c>
      <c r="T10" s="769" t="s">
        <v>17</v>
      </c>
      <c r="U10" s="770">
        <f t="shared" si="1"/>
        <v>102</v>
      </c>
      <c r="V10" s="769" t="s">
        <v>17</v>
      </c>
      <c r="W10" s="770">
        <f t="shared" si="2"/>
        <v>102</v>
      </c>
      <c r="X10" s="771"/>
      <c r="Y10" s="3108"/>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59"/>
      <c r="Q11" s="1791" t="str">
        <f t="shared" si="6"/>
        <v>容积率</v>
      </c>
      <c r="R11" s="769" t="s">
        <v>17</v>
      </c>
      <c r="S11" s="770">
        <f t="shared" si="0"/>
        <v>100</v>
      </c>
      <c r="T11" s="769" t="s">
        <v>17</v>
      </c>
      <c r="U11" s="770">
        <f t="shared" si="1"/>
        <v>99.7</v>
      </c>
      <c r="V11" s="769" t="s">
        <v>17</v>
      </c>
      <c r="W11" s="770">
        <f t="shared" si="2"/>
        <v>100.3</v>
      </c>
      <c r="X11" s="771"/>
      <c r="Y11" s="3108"/>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59"/>
      <c r="Q12" s="1791" t="str">
        <f t="shared" si="6"/>
        <v>配建</v>
      </c>
      <c r="R12" s="769" t="s">
        <v>17</v>
      </c>
      <c r="S12" s="770">
        <f t="shared" si="0"/>
        <v>100</v>
      </c>
      <c r="T12" s="769" t="s">
        <v>17</v>
      </c>
      <c r="U12" s="770">
        <f t="shared" si="1"/>
        <v>100</v>
      </c>
      <c r="V12" s="769" t="s">
        <v>17</v>
      </c>
      <c r="W12" s="770">
        <f t="shared" si="2"/>
        <v>100</v>
      </c>
      <c r="X12" s="771"/>
      <c r="Y12" s="3108"/>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59"/>
      <c r="Q13" s="1791">
        <f t="shared" si="6"/>
        <v>111</v>
      </c>
      <c r="R13" s="769" t="s">
        <v>17</v>
      </c>
      <c r="S13" s="770">
        <f t="shared" si="0"/>
        <v>100</v>
      </c>
      <c r="T13" s="769" t="s">
        <v>17</v>
      </c>
      <c r="U13" s="770">
        <f t="shared" si="1"/>
        <v>100</v>
      </c>
      <c r="V13" s="769" t="s">
        <v>17</v>
      </c>
      <c r="W13" s="770">
        <f t="shared" si="2"/>
        <v>100</v>
      </c>
      <c r="X13" s="771"/>
      <c r="Y13" s="3108"/>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59"/>
      <c r="Q14" s="1791">
        <f t="shared" si="6"/>
        <v>111</v>
      </c>
      <c r="R14" s="769" t="s">
        <v>17</v>
      </c>
      <c r="S14" s="770">
        <f t="shared" si="0"/>
        <v>100</v>
      </c>
      <c r="T14" s="769" t="s">
        <v>17</v>
      </c>
      <c r="U14" s="770">
        <f t="shared" si="1"/>
        <v>100</v>
      </c>
      <c r="V14" s="769" t="s">
        <v>17</v>
      </c>
      <c r="W14" s="770">
        <f t="shared" si="2"/>
        <v>100</v>
      </c>
      <c r="X14" s="771"/>
      <c r="Y14" s="3108"/>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66" t="s">
        <v>2559</v>
      </c>
      <c r="Q15" s="1806" t="str">
        <f t="shared" si="6"/>
        <v>居住社区成熟度</v>
      </c>
      <c r="R15" s="773" t="s">
        <v>17</v>
      </c>
      <c r="S15" s="774">
        <f t="shared" si="0"/>
        <v>100</v>
      </c>
      <c r="T15" s="773" t="s">
        <v>17</v>
      </c>
      <c r="U15" s="774">
        <f t="shared" si="1"/>
        <v>100</v>
      </c>
      <c r="V15" s="773" t="s">
        <v>17</v>
      </c>
      <c r="W15" s="774">
        <f t="shared" si="2"/>
        <v>100</v>
      </c>
      <c r="X15" s="1809"/>
      <c r="Y15" s="3266"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67"/>
      <c r="Q16" s="1806"/>
      <c r="R16" s="773"/>
      <c r="S16" s="774"/>
      <c r="T16" s="773"/>
      <c r="U16" s="774"/>
      <c r="V16" s="773"/>
      <c r="W16" s="774"/>
      <c r="X16" s="1809"/>
      <c r="Y16" s="3267"/>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67"/>
      <c r="Q17" s="1806" t="str">
        <f>B17</f>
        <v>商业繁华度</v>
      </c>
      <c r="R17" s="773" t="s">
        <v>17</v>
      </c>
      <c r="S17" s="774">
        <f>F17</f>
        <v>100</v>
      </c>
      <c r="T17" s="773" t="s">
        <v>17</v>
      </c>
      <c r="U17" s="774">
        <f>H17</f>
        <v>100</v>
      </c>
      <c r="V17" s="773" t="s">
        <v>17</v>
      </c>
      <c r="W17" s="774">
        <f>J17</f>
        <v>100</v>
      </c>
      <c r="X17" s="1809"/>
      <c r="Y17" s="3267"/>
      <c r="Z17" s="1810" t="str">
        <f>Q17</f>
        <v>商业繁华度</v>
      </c>
      <c r="AA17" s="1807">
        <f t="shared" si="3"/>
        <v>1</v>
      </c>
      <c r="AB17" s="1807">
        <f t="shared" si="4"/>
        <v>1</v>
      </c>
      <c r="AC17" s="1807">
        <f t="shared" si="5"/>
        <v>1</v>
      </c>
    </row>
    <row r="18" spans="1:29" ht="15">
      <c r="A18" s="427"/>
      <c r="B18" s="455"/>
      <c r="C18" s="2601" t="s">
        <v>3334</v>
      </c>
      <c r="D18" s="449"/>
      <c r="E18" s="2601" t="s">
        <v>3334</v>
      </c>
      <c r="F18" s="449"/>
      <c r="G18" s="2601" t="s">
        <v>3334</v>
      </c>
      <c r="H18" s="447"/>
      <c r="I18" s="2601" t="s">
        <v>3334</v>
      </c>
      <c r="J18" s="447"/>
      <c r="K18" s="671"/>
      <c r="L18" s="1136"/>
      <c r="M18" s="1127"/>
      <c r="N18" s="1127"/>
      <c r="O18" s="1135"/>
      <c r="P18" s="3267"/>
      <c r="Q18" s="1806"/>
      <c r="R18" s="773"/>
      <c r="S18" s="774"/>
      <c r="T18" s="773"/>
      <c r="U18" s="774"/>
      <c r="V18" s="773"/>
      <c r="W18" s="774"/>
      <c r="X18" s="1809"/>
      <c r="Y18" s="3267"/>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67"/>
      <c r="Q19" s="1806" t="str">
        <f>B19</f>
        <v>办公集聚程度</v>
      </c>
      <c r="R19" s="773" t="s">
        <v>17</v>
      </c>
      <c r="S19" s="774">
        <f>F19</f>
        <v>100</v>
      </c>
      <c r="T19" s="773" t="s">
        <v>17</v>
      </c>
      <c r="U19" s="774">
        <f>H19</f>
        <v>100</v>
      </c>
      <c r="V19" s="773" t="s">
        <v>17</v>
      </c>
      <c r="W19" s="774">
        <f>J19</f>
        <v>100</v>
      </c>
      <c r="X19" s="1809"/>
      <c r="Y19" s="3267"/>
      <c r="Z19" s="1810" t="str">
        <f>Q19</f>
        <v>办公集聚程度</v>
      </c>
      <c r="AA19" s="1807">
        <f t="shared" si="3"/>
        <v>1</v>
      </c>
      <c r="AB19" s="1807">
        <f t="shared" si="4"/>
        <v>1</v>
      </c>
      <c r="AC19" s="1807">
        <f t="shared" si="5"/>
        <v>1</v>
      </c>
    </row>
    <row r="20" spans="1:29" ht="15">
      <c r="A20" s="427"/>
      <c r="B20" s="455"/>
      <c r="C20" s="446" t="s">
        <v>3334</v>
      </c>
      <c r="D20" s="447"/>
      <c r="E20" s="2598" t="s">
        <v>3334</v>
      </c>
      <c r="F20" s="447"/>
      <c r="G20" s="2598" t="s">
        <v>3334</v>
      </c>
      <c r="H20" s="447"/>
      <c r="I20" s="2598" t="s">
        <v>3334</v>
      </c>
      <c r="J20" s="447"/>
      <c r="K20" s="671"/>
      <c r="L20" s="1136"/>
      <c r="M20" s="1127"/>
      <c r="N20" s="1127"/>
      <c r="O20" s="1135"/>
      <c r="P20" s="3267"/>
      <c r="Q20" s="1806"/>
      <c r="R20" s="773"/>
      <c r="S20" s="774"/>
      <c r="T20" s="773"/>
      <c r="U20" s="774"/>
      <c r="V20" s="773"/>
      <c r="W20" s="774"/>
      <c r="X20" s="1809"/>
      <c r="Y20" s="3267"/>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67"/>
      <c r="Q21" s="1806" t="str">
        <f>B21</f>
        <v>交通便捷度</v>
      </c>
      <c r="R21" s="773" t="s">
        <v>17</v>
      </c>
      <c r="S21" s="774">
        <f>F21</f>
        <v>100</v>
      </c>
      <c r="T21" s="773" t="s">
        <v>17</v>
      </c>
      <c r="U21" s="774">
        <f>H21</f>
        <v>100</v>
      </c>
      <c r="V21" s="773" t="s">
        <v>17</v>
      </c>
      <c r="W21" s="774">
        <f>J21</f>
        <v>100</v>
      </c>
      <c r="X21" s="1809"/>
      <c r="Y21" s="3267"/>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67"/>
      <c r="Q22" s="1806"/>
      <c r="R22" s="773"/>
      <c r="S22" s="774"/>
      <c r="T22" s="773"/>
      <c r="U22" s="774"/>
      <c r="V22" s="773"/>
      <c r="W22" s="774"/>
      <c r="X22" s="1809"/>
      <c r="Y22" s="3267"/>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67"/>
      <c r="Q23" s="1806" t="str">
        <f t="shared" ref="Q23:Q37" si="8">B23</f>
        <v>区域土地利用方向</v>
      </c>
      <c r="R23" s="773" t="s">
        <v>17</v>
      </c>
      <c r="S23" s="774">
        <f>F23</f>
        <v>100</v>
      </c>
      <c r="T23" s="773" t="s">
        <v>17</v>
      </c>
      <c r="U23" s="774">
        <f>H23</f>
        <v>100</v>
      </c>
      <c r="V23" s="773" t="s">
        <v>17</v>
      </c>
      <c r="W23" s="774">
        <f>J23</f>
        <v>100</v>
      </c>
      <c r="X23" s="1809"/>
      <c r="Y23" s="3267"/>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67"/>
      <c r="Q24" s="1806"/>
      <c r="R24" s="773"/>
      <c r="S24" s="774"/>
      <c r="T24" s="773"/>
      <c r="U24" s="774"/>
      <c r="V24" s="773"/>
      <c r="W24" s="774"/>
      <c r="X24" s="1809"/>
      <c r="Y24" s="3267"/>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67"/>
      <c r="Q25" s="1806" t="str">
        <f t="shared" si="8"/>
        <v>自然及人文环境状况</v>
      </c>
      <c r="R25" s="773" t="s">
        <v>17</v>
      </c>
      <c r="S25" s="774">
        <f>F25</f>
        <v>100</v>
      </c>
      <c r="T25" s="773" t="s">
        <v>17</v>
      </c>
      <c r="U25" s="774">
        <f>H25</f>
        <v>102</v>
      </c>
      <c r="V25" s="773" t="s">
        <v>17</v>
      </c>
      <c r="W25" s="774">
        <f>J25</f>
        <v>102</v>
      </c>
      <c r="X25" s="1809"/>
      <c r="Y25" s="3267"/>
      <c r="Z25" s="1810" t="str">
        <f>Q25</f>
        <v>自然及人文环境状况</v>
      </c>
      <c r="AA25" s="1807">
        <f t="shared" si="3"/>
        <v>1</v>
      </c>
      <c r="AB25" s="1807">
        <f t="shared" si="4"/>
        <v>0.98039215686274506</v>
      </c>
      <c r="AC25" s="1807">
        <f t="shared" si="5"/>
        <v>0.98039215686274506</v>
      </c>
    </row>
    <row r="26" spans="1:29" ht="15">
      <c r="A26" s="403"/>
      <c r="B26" s="455"/>
      <c r="C26" s="446" t="s">
        <v>3334</v>
      </c>
      <c r="D26" s="447"/>
      <c r="E26" s="2604" t="s">
        <v>3334</v>
      </c>
      <c r="F26" s="447"/>
      <c r="G26" s="2604" t="s">
        <v>3052</v>
      </c>
      <c r="H26" s="447"/>
      <c r="I26" s="446" t="s">
        <v>3052</v>
      </c>
      <c r="J26" s="447"/>
      <c r="K26" s="671"/>
      <c r="L26" s="1136"/>
      <c r="M26" s="1127"/>
      <c r="N26" s="1127"/>
      <c r="O26" s="1135"/>
      <c r="P26" s="3267"/>
      <c r="Q26" s="1806"/>
      <c r="R26" s="773"/>
      <c r="S26" s="774"/>
      <c r="T26" s="773"/>
      <c r="U26" s="774"/>
      <c r="V26" s="773"/>
      <c r="W26" s="774"/>
      <c r="X26" s="1809"/>
      <c r="Y26" s="3267"/>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67"/>
      <c r="Q27" s="1791" t="str">
        <f t="shared" si="8"/>
        <v>公共配套设施</v>
      </c>
      <c r="R27" s="769" t="s">
        <v>17</v>
      </c>
      <c r="S27" s="770">
        <f>F27</f>
        <v>100</v>
      </c>
      <c r="T27" s="769" t="s">
        <v>17</v>
      </c>
      <c r="U27" s="770">
        <f>H27</f>
        <v>100</v>
      </c>
      <c r="V27" s="769" t="s">
        <v>17</v>
      </c>
      <c r="W27" s="770">
        <f>J27</f>
        <v>100</v>
      </c>
      <c r="X27" s="771"/>
      <c r="Y27" s="3267"/>
      <c r="Z27" s="54" t="str">
        <f>Q27</f>
        <v>公共配套设施</v>
      </c>
      <c r="AA27" s="1807">
        <f>D27/F27</f>
        <v>1</v>
      </c>
      <c r="AB27" s="1807">
        <f>D27/H27</f>
        <v>1</v>
      </c>
      <c r="AC27" s="1807">
        <f>D27/J27</f>
        <v>1</v>
      </c>
    </row>
    <row r="28" spans="1:29" s="116" customFormat="1" ht="15">
      <c r="A28" s="648"/>
      <c r="B28" s="455"/>
      <c r="C28" s="2693" t="s">
        <v>3334</v>
      </c>
      <c r="D28" s="447"/>
      <c r="E28" s="2693" t="s">
        <v>3334</v>
      </c>
      <c r="F28" s="447"/>
      <c r="G28" s="2693" t="s">
        <v>3334</v>
      </c>
      <c r="H28" s="447"/>
      <c r="I28" s="446" t="s">
        <v>3334</v>
      </c>
      <c r="J28" s="447"/>
      <c r="K28" s="671"/>
      <c r="L28" s="1128"/>
      <c r="M28" s="1129"/>
      <c r="N28" s="1129"/>
      <c r="O28" s="1130"/>
      <c r="P28" s="3267"/>
      <c r="Q28" s="1791"/>
      <c r="R28" s="769"/>
      <c r="S28" s="770"/>
      <c r="T28" s="769"/>
      <c r="U28" s="770"/>
      <c r="V28" s="769"/>
      <c r="W28" s="770"/>
      <c r="X28" s="771"/>
      <c r="Y28" s="3267"/>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67"/>
      <c r="Q29" s="1791" t="str">
        <f t="shared" ref="Q29" si="9">B29</f>
        <v>基础设施水平</v>
      </c>
      <c r="R29" s="769" t="s">
        <v>17</v>
      </c>
      <c r="S29" s="770">
        <f>F29</f>
        <v>100</v>
      </c>
      <c r="T29" s="769" t="s">
        <v>17</v>
      </c>
      <c r="U29" s="770">
        <f>H29</f>
        <v>100</v>
      </c>
      <c r="V29" s="769" t="s">
        <v>17</v>
      </c>
      <c r="W29" s="770">
        <f>J29</f>
        <v>100</v>
      </c>
      <c r="X29" s="771"/>
      <c r="Y29" s="3267"/>
      <c r="Z29" s="54" t="str">
        <f>Q29</f>
        <v>基础设施水平</v>
      </c>
      <c r="AA29" s="1807">
        <f>D29/F29</f>
        <v>1</v>
      </c>
      <c r="AB29" s="1807">
        <f>D29/H29</f>
        <v>1</v>
      </c>
      <c r="AC29" s="1807">
        <f>D29/J29</f>
        <v>1</v>
      </c>
    </row>
    <row r="30" spans="1:29" s="116" customFormat="1" ht="15">
      <c r="A30" s="648"/>
      <c r="B30" s="455"/>
      <c r="C30" s="2693" t="s">
        <v>3335</v>
      </c>
      <c r="D30" s="447"/>
      <c r="E30" s="2693" t="s">
        <v>3335</v>
      </c>
      <c r="F30" s="447"/>
      <c r="G30" s="2693" t="s">
        <v>3335</v>
      </c>
      <c r="H30" s="447"/>
      <c r="I30" s="2693" t="s">
        <v>3335</v>
      </c>
      <c r="J30" s="447"/>
      <c r="K30" s="671"/>
      <c r="L30" s="1128"/>
      <c r="M30" s="1129"/>
      <c r="N30" s="1129"/>
      <c r="O30" s="1130"/>
      <c r="P30" s="3267"/>
      <c r="Q30" s="1791"/>
      <c r="R30" s="769"/>
      <c r="S30" s="770"/>
      <c r="T30" s="769"/>
      <c r="U30" s="770"/>
      <c r="V30" s="769"/>
      <c r="W30" s="770"/>
      <c r="X30" s="771"/>
      <c r="Y30" s="3267"/>
      <c r="Z30" s="54"/>
      <c r="AA30" s="1807">
        <v>1</v>
      </c>
      <c r="AB30" s="1807">
        <v>1</v>
      </c>
      <c r="AC30" s="1807">
        <v>1</v>
      </c>
    </row>
    <row r="31" spans="1:29" ht="15">
      <c r="A31" s="427"/>
      <c r="B31" s="455" t="s">
        <v>2655</v>
      </c>
      <c r="C31" s="2998" t="s">
        <v>3336</v>
      </c>
      <c r="D31" s="434">
        <v>100</v>
      </c>
      <c r="E31" s="2998" t="s">
        <v>3336</v>
      </c>
      <c r="F31" s="434">
        <f>SUMIF(104:104,E31,105:105)-SUMIF(104:104,C31,105:105)+100</f>
        <v>100</v>
      </c>
      <c r="G31" s="2998" t="s">
        <v>3336</v>
      </c>
      <c r="H31" s="434">
        <f>SUMIF(104:104,G31,105:105)-SUMIF(104:104,C31,105:105)+100</f>
        <v>100</v>
      </c>
      <c r="I31" s="2998" t="s">
        <v>3336</v>
      </c>
      <c r="J31" s="434">
        <f>SUMIF(104:104,I31,105:105)-SUMIF(104:104,C31,105:105)+100</f>
        <v>100</v>
      </c>
      <c r="K31" s="672">
        <v>1</v>
      </c>
      <c r="L31" s="1136"/>
      <c r="M31" s="1127"/>
      <c r="N31" s="1127"/>
      <c r="O31" s="1135"/>
      <c r="P31" s="3267"/>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67"/>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67"/>
      <c r="Q32" s="1806" t="str">
        <f t="shared" si="8"/>
        <v>毗邻道路的类型与等级</v>
      </c>
      <c r="R32" s="773" t="s">
        <v>17</v>
      </c>
      <c r="S32" s="774">
        <f t="shared" si="10"/>
        <v>100</v>
      </c>
      <c r="T32" s="773" t="s">
        <v>17</v>
      </c>
      <c r="U32" s="774">
        <f t="shared" si="11"/>
        <v>100</v>
      </c>
      <c r="V32" s="773" t="s">
        <v>17</v>
      </c>
      <c r="W32" s="774">
        <f t="shared" si="12"/>
        <v>100</v>
      </c>
      <c r="X32" s="1809"/>
      <c r="Y32" s="3267"/>
      <c r="Z32" s="1810" t="str">
        <f t="shared" si="13"/>
        <v>毗邻道路的类型与等级</v>
      </c>
      <c r="AA32" s="1807">
        <f t="shared" si="3"/>
        <v>1</v>
      </c>
      <c r="AB32" s="1807">
        <f t="shared" si="4"/>
        <v>1</v>
      </c>
      <c r="AC32" s="1807">
        <f t="shared" si="5"/>
        <v>1</v>
      </c>
    </row>
    <row r="33" spans="1:29" ht="15">
      <c r="A33" s="427"/>
      <c r="B33" s="455"/>
      <c r="C33" s="2999" t="s">
        <v>3337</v>
      </c>
      <c r="D33" s="447"/>
      <c r="E33" s="2999" t="s">
        <v>3337</v>
      </c>
      <c r="F33" s="447"/>
      <c r="G33" s="2999" t="s">
        <v>3337</v>
      </c>
      <c r="H33" s="447"/>
      <c r="I33" s="2999" t="s">
        <v>3337</v>
      </c>
      <c r="J33" s="447"/>
      <c r="K33" s="612"/>
      <c r="L33" s="1136"/>
      <c r="M33" s="1127"/>
      <c r="N33" s="1127"/>
      <c r="O33" s="1135"/>
      <c r="P33" s="3267"/>
      <c r="Q33" s="1806"/>
      <c r="R33" s="773"/>
      <c r="S33" s="774"/>
      <c r="T33" s="773"/>
      <c r="U33" s="774"/>
      <c r="V33" s="773"/>
      <c r="W33" s="774"/>
      <c r="X33" s="1809"/>
      <c r="Y33" s="3267"/>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67"/>
      <c r="Q34" s="1806" t="str">
        <f t="shared" si="8"/>
        <v>土地级别</v>
      </c>
      <c r="R34" s="773" t="s">
        <v>17</v>
      </c>
      <c r="S34" s="774">
        <f t="shared" si="10"/>
        <v>100</v>
      </c>
      <c r="T34" s="773" t="s">
        <v>17</v>
      </c>
      <c r="U34" s="774">
        <f t="shared" si="11"/>
        <v>100</v>
      </c>
      <c r="V34" s="773" t="s">
        <v>17</v>
      </c>
      <c r="W34" s="774">
        <f t="shared" si="12"/>
        <v>100</v>
      </c>
      <c r="X34" s="1809"/>
      <c r="Y34" s="3267"/>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67"/>
      <c r="Q35" s="1806">
        <f t="shared" si="8"/>
        <v>111</v>
      </c>
      <c r="R35" s="773" t="s">
        <v>17</v>
      </c>
      <c r="S35" s="774">
        <f t="shared" si="10"/>
        <v>100</v>
      </c>
      <c r="T35" s="773" t="s">
        <v>17</v>
      </c>
      <c r="U35" s="774">
        <f t="shared" si="11"/>
        <v>100</v>
      </c>
      <c r="V35" s="773" t="s">
        <v>17</v>
      </c>
      <c r="W35" s="774">
        <f t="shared" si="12"/>
        <v>100</v>
      </c>
      <c r="X35" s="1809"/>
      <c r="Y35" s="3267"/>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43" t="s">
        <v>2564</v>
      </c>
      <c r="Q36" s="1806">
        <f t="shared" si="8"/>
        <v>111</v>
      </c>
      <c r="R36" s="773" t="s">
        <v>17</v>
      </c>
      <c r="S36" s="774">
        <f t="shared" si="10"/>
        <v>100</v>
      </c>
      <c r="T36" s="773" t="s">
        <v>17</v>
      </c>
      <c r="U36" s="774">
        <f t="shared" si="11"/>
        <v>100</v>
      </c>
      <c r="V36" s="773" t="s">
        <v>17</v>
      </c>
      <c r="W36" s="774">
        <f t="shared" si="12"/>
        <v>100</v>
      </c>
      <c r="X36" s="1809"/>
      <c r="Y36" s="3271"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1"/>
      <c r="Q37" s="1806">
        <f t="shared" si="8"/>
        <v>111</v>
      </c>
      <c r="R37" s="776" t="s">
        <v>17</v>
      </c>
      <c r="S37" s="777">
        <f t="shared" si="10"/>
        <v>100</v>
      </c>
      <c r="T37" s="776" t="s">
        <v>17</v>
      </c>
      <c r="U37" s="777">
        <f t="shared" si="11"/>
        <v>100</v>
      </c>
      <c r="V37" s="776" t="s">
        <v>17</v>
      </c>
      <c r="W37" s="777">
        <f t="shared" si="12"/>
        <v>100</v>
      </c>
      <c r="X37" s="778"/>
      <c r="Y37" s="3271"/>
      <c r="Z37" s="779">
        <f t="shared" si="13"/>
        <v>111</v>
      </c>
      <c r="AA37" s="1807">
        <f t="shared" si="3"/>
        <v>1</v>
      </c>
      <c r="AB37" s="1807">
        <f t="shared" si="4"/>
        <v>1</v>
      </c>
      <c r="AC37" s="1807">
        <f t="shared" si="5"/>
        <v>1</v>
      </c>
    </row>
    <row r="38" spans="1:29" s="3035" customFormat="1" ht="15">
      <c r="A38" s="3019" t="s">
        <v>2562</v>
      </c>
      <c r="B38" s="3020" t="s">
        <v>2750</v>
      </c>
      <c r="C38" s="3021">
        <v>46010.69</v>
      </c>
      <c r="D38" s="3022">
        <v>100</v>
      </c>
      <c r="E38" s="3023">
        <f>案例!D2</f>
        <v>18303.330000000002</v>
      </c>
      <c r="F38" s="3022">
        <f>LOOKUP(E38,117:117,118:118)-LOOKUP(C38,117:117,118:118)+100</f>
        <v>99</v>
      </c>
      <c r="G38" s="3023">
        <f>案例!D5</f>
        <v>33619.79</v>
      </c>
      <c r="H38" s="3022">
        <f>LOOKUP(G38,117:117,118:118)-LOOKUP(C38,117:117,118:118)+100</f>
        <v>100</v>
      </c>
      <c r="I38" s="3024">
        <f>案例!E35</f>
        <v>85709</v>
      </c>
      <c r="J38" s="3022">
        <f>LOOKUP(I38,117:117,118:118)-LOOKUP(C38,117:117,118:118)+100</f>
        <v>101</v>
      </c>
      <c r="K38" s="3025"/>
      <c r="L38" s="3026"/>
      <c r="M38" s="3027"/>
      <c r="N38" s="3027"/>
      <c r="O38" s="3028"/>
      <c r="P38" s="3271"/>
      <c r="Q38" s="3029" t="str">
        <f>B38</f>
        <v>宗地面积</v>
      </c>
      <c r="R38" s="3030" t="s">
        <v>17</v>
      </c>
      <c r="S38" s="3031">
        <f t="shared" si="10"/>
        <v>99</v>
      </c>
      <c r="T38" s="3030" t="s">
        <v>17</v>
      </c>
      <c r="U38" s="3031">
        <f t="shared" si="11"/>
        <v>100</v>
      </c>
      <c r="V38" s="3030" t="s">
        <v>17</v>
      </c>
      <c r="W38" s="3031">
        <f t="shared" si="12"/>
        <v>101</v>
      </c>
      <c r="X38" s="3032"/>
      <c r="Y38" s="3271"/>
      <c r="Z38" s="3033" t="str">
        <f t="shared" si="13"/>
        <v>宗地面积</v>
      </c>
      <c r="AA38" s="3034">
        <f t="shared" si="3"/>
        <v>1.0101010101010102</v>
      </c>
      <c r="AB38" s="3034">
        <f t="shared" si="4"/>
        <v>1</v>
      </c>
      <c r="AC38" s="3034">
        <f t="shared" si="5"/>
        <v>0.99009900990099009</v>
      </c>
    </row>
    <row r="39" spans="1:29" ht="15">
      <c r="A39" s="471"/>
      <c r="B39" s="421" t="s">
        <v>2751</v>
      </c>
      <c r="C39" s="2606" t="s">
        <v>3355</v>
      </c>
      <c r="D39" s="434">
        <v>100</v>
      </c>
      <c r="E39" s="2606" t="s">
        <v>3355</v>
      </c>
      <c r="F39" s="434">
        <f>SUMIF(119:119,E39,120:120)-SUMIF(119:119,C39,120:120)+100</f>
        <v>100</v>
      </c>
      <c r="G39" s="2606" t="s">
        <v>3355</v>
      </c>
      <c r="H39" s="434">
        <f>SUMIF(119:119,G39,120:120)-SUMIF(119:119,C39,120:120)+100</f>
        <v>100</v>
      </c>
      <c r="I39" s="2606" t="s">
        <v>3355</v>
      </c>
      <c r="J39" s="434">
        <f>SUMIF(119:119,I39,120:120)-SUMIF(119:119,C39,120:120)+100</f>
        <v>100</v>
      </c>
      <c r="K39" s="611">
        <v>1</v>
      </c>
      <c r="L39" s="1136"/>
      <c r="M39" s="1127"/>
      <c r="N39" s="1127"/>
      <c r="O39" s="1135"/>
      <c r="P39" s="3271"/>
      <c r="Q39" s="1806" t="str">
        <f t="shared" ref="Q39:Q45" si="14">B39</f>
        <v>宗地形状</v>
      </c>
      <c r="R39" s="773" t="s">
        <v>17</v>
      </c>
      <c r="S39" s="774">
        <f t="shared" si="10"/>
        <v>100</v>
      </c>
      <c r="T39" s="773" t="s">
        <v>17</v>
      </c>
      <c r="U39" s="774">
        <f t="shared" si="11"/>
        <v>100</v>
      </c>
      <c r="V39" s="773" t="s">
        <v>17</v>
      </c>
      <c r="W39" s="774">
        <f t="shared" si="12"/>
        <v>100</v>
      </c>
      <c r="X39" s="1809"/>
      <c r="Y39" s="3271"/>
      <c r="Z39" s="1810" t="str">
        <f t="shared" si="13"/>
        <v>宗地形状</v>
      </c>
      <c r="AA39" s="1807">
        <f t="shared" si="3"/>
        <v>1</v>
      </c>
      <c r="AB39" s="1807">
        <f t="shared" si="4"/>
        <v>1</v>
      </c>
      <c r="AC39" s="1807">
        <f t="shared" si="5"/>
        <v>1</v>
      </c>
    </row>
    <row r="40" spans="1:29" ht="15">
      <c r="A40" s="471"/>
      <c r="B40" s="421" t="s">
        <v>2752</v>
      </c>
      <c r="C40" s="2606" t="s">
        <v>3356</v>
      </c>
      <c r="D40" s="434">
        <v>100</v>
      </c>
      <c r="E40" s="2606" t="s">
        <v>3356</v>
      </c>
      <c r="F40" s="434">
        <f>SUMIF(121:121,E40,122:122)-SUMIF(121:121,C40,122:122)+100</f>
        <v>100</v>
      </c>
      <c r="G40" s="2606" t="s">
        <v>3356</v>
      </c>
      <c r="H40" s="434">
        <f>SUMIF(121:121,G40,122:122)-SUMIF(121:121,C40,122:122)+100</f>
        <v>100</v>
      </c>
      <c r="I40" s="2606" t="s">
        <v>3356</v>
      </c>
      <c r="J40" s="434">
        <f>SUMIF(121:121,I40,122:122)-SUMIF(121:121,C40,122:122)+100</f>
        <v>100</v>
      </c>
      <c r="K40" s="611">
        <v>2</v>
      </c>
      <c r="L40" s="1136"/>
      <c r="M40" s="1127"/>
      <c r="N40" s="1127"/>
      <c r="O40" s="1135"/>
      <c r="P40" s="3271"/>
      <c r="Q40" s="1806" t="str">
        <f t="shared" si="14"/>
        <v>临街宽度及深度</v>
      </c>
      <c r="R40" s="773" t="s">
        <v>17</v>
      </c>
      <c r="S40" s="774">
        <f t="shared" si="10"/>
        <v>100</v>
      </c>
      <c r="T40" s="773" t="s">
        <v>17</v>
      </c>
      <c r="U40" s="774">
        <f t="shared" si="11"/>
        <v>100</v>
      </c>
      <c r="V40" s="773" t="s">
        <v>17</v>
      </c>
      <c r="W40" s="774">
        <f t="shared" si="12"/>
        <v>100</v>
      </c>
      <c r="X40" s="1809"/>
      <c r="Y40" s="3271"/>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3357</v>
      </c>
      <c r="F41" s="434">
        <f>SUMIF(123:123,E41,124:124)-SUMIF(123:123,C41,124:124)+100</f>
        <v>97</v>
      </c>
      <c r="G41" s="2695" t="s">
        <v>3048</v>
      </c>
      <c r="H41" s="434">
        <f>SUMIF(123:123,G41,124:124)-SUMIF(123:123,C41,124:124)+100</f>
        <v>100</v>
      </c>
      <c r="I41" s="2695" t="s">
        <v>3357</v>
      </c>
      <c r="J41" s="434">
        <f>SUMIF(123:123,I41,124:124)-SUMIF(123:123,C41,124:124)+100</f>
        <v>97</v>
      </c>
      <c r="K41" s="611">
        <v>1</v>
      </c>
      <c r="L41" s="1128"/>
      <c r="M41" s="1129"/>
      <c r="N41" s="1129"/>
      <c r="O41" s="1130"/>
      <c r="P41" s="3271"/>
      <c r="Q41" s="1806" t="str">
        <f t="shared" si="14"/>
        <v>宗地开发程度</v>
      </c>
      <c r="R41" s="769" t="s">
        <v>17</v>
      </c>
      <c r="S41" s="770">
        <f t="shared" si="10"/>
        <v>97</v>
      </c>
      <c r="T41" s="769" t="s">
        <v>17</v>
      </c>
      <c r="U41" s="770">
        <f t="shared" si="11"/>
        <v>100</v>
      </c>
      <c r="V41" s="769" t="s">
        <v>17</v>
      </c>
      <c r="W41" s="770">
        <f t="shared" si="12"/>
        <v>97</v>
      </c>
      <c r="X41" s="771"/>
      <c r="Y41" s="3271"/>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71" t="s">
        <v>2564</v>
      </c>
      <c r="Q42" s="1806" t="str">
        <f t="shared" si="14"/>
        <v>工程地质条件</v>
      </c>
      <c r="R42" s="773" t="s">
        <v>17</v>
      </c>
      <c r="S42" s="774">
        <f t="shared" si="10"/>
        <v>100</v>
      </c>
      <c r="T42" s="773" t="s">
        <v>17</v>
      </c>
      <c r="U42" s="774">
        <f t="shared" si="11"/>
        <v>100</v>
      </c>
      <c r="V42" s="773" t="s">
        <v>17</v>
      </c>
      <c r="W42" s="774">
        <f t="shared" si="12"/>
        <v>100</v>
      </c>
      <c r="X42" s="1809"/>
      <c r="Y42" s="3271"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1"/>
      <c r="Q43" s="1806">
        <f t="shared" si="14"/>
        <v>111</v>
      </c>
      <c r="R43" s="773" t="s">
        <v>17</v>
      </c>
      <c r="S43" s="774">
        <f t="shared" si="10"/>
        <v>100</v>
      </c>
      <c r="T43" s="773" t="s">
        <v>17</v>
      </c>
      <c r="U43" s="774">
        <f t="shared" si="11"/>
        <v>100</v>
      </c>
      <c r="V43" s="773" t="s">
        <v>17</v>
      </c>
      <c r="W43" s="774">
        <f t="shared" si="12"/>
        <v>100</v>
      </c>
      <c r="X43" s="1809"/>
      <c r="Y43" s="3271"/>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1"/>
      <c r="Q44" s="1806">
        <f t="shared" si="14"/>
        <v>111</v>
      </c>
      <c r="R44" s="773" t="s">
        <v>17</v>
      </c>
      <c r="S44" s="774">
        <f t="shared" si="10"/>
        <v>100</v>
      </c>
      <c r="T44" s="773" t="s">
        <v>17</v>
      </c>
      <c r="U44" s="774">
        <f t="shared" si="11"/>
        <v>100</v>
      </c>
      <c r="V44" s="773" t="s">
        <v>17</v>
      </c>
      <c r="W44" s="774">
        <f t="shared" si="12"/>
        <v>100</v>
      </c>
      <c r="X44" s="1809"/>
      <c r="Y44" s="3271"/>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1"/>
      <c r="Q45" s="1806">
        <f t="shared" si="14"/>
        <v>111</v>
      </c>
      <c r="R45" s="776" t="s">
        <v>17</v>
      </c>
      <c r="S45" s="777">
        <f t="shared" si="10"/>
        <v>100</v>
      </c>
      <c r="T45" s="776" t="s">
        <v>17</v>
      </c>
      <c r="U45" s="777">
        <f t="shared" si="11"/>
        <v>100</v>
      </c>
      <c r="V45" s="776" t="s">
        <v>17</v>
      </c>
      <c r="W45" s="777">
        <f t="shared" si="12"/>
        <v>100</v>
      </c>
      <c r="X45" s="778"/>
      <c r="Y45" s="3271"/>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59" t="str">
        <f>A46</f>
        <v>成交单价</v>
      </c>
      <c r="Q46" s="3259"/>
      <c r="R46" s="3293">
        <f>E46</f>
        <v>22025</v>
      </c>
      <c r="S46" s="3293"/>
      <c r="T46" s="3293">
        <f>G46</f>
        <v>24837</v>
      </c>
      <c r="U46" s="3293"/>
      <c r="V46" s="3293">
        <f>I46</f>
        <v>21103</v>
      </c>
      <c r="W46" s="3293"/>
      <c r="X46" s="758"/>
      <c r="Y46" s="780"/>
      <c r="Z46" s="758"/>
      <c r="AA46" s="758"/>
      <c r="AB46" s="758"/>
      <c r="AC46" s="758"/>
    </row>
    <row r="47" spans="1:29" ht="15.75" thickBot="1">
      <c r="A47" s="485" t="s">
        <v>2668</v>
      </c>
      <c r="B47" s="682"/>
      <c r="C47" s="489">
        <f>R48</f>
        <v>24205</v>
      </c>
      <c r="D47" s="488"/>
      <c r="E47" s="489">
        <f>R47</f>
        <v>23545</v>
      </c>
      <c r="F47" s="490"/>
      <c r="G47" s="487">
        <f>T47</f>
        <v>26753</v>
      </c>
      <c r="H47" s="488"/>
      <c r="I47" s="489">
        <f>V47</f>
        <v>22316</v>
      </c>
      <c r="J47" s="488"/>
      <c r="K47" s="783"/>
      <c r="L47" s="1139"/>
      <c r="M47" s="1140"/>
      <c r="N47" s="1140"/>
      <c r="O47" s="1140"/>
      <c r="P47" s="3259" t="str">
        <f>A47</f>
        <v>比较价值（元/平方米）</v>
      </c>
      <c r="Q47" s="3259"/>
      <c r="R47" s="3344">
        <f>ROUND(PRODUCT(R46,AA7:AA45),0)</f>
        <v>23545</v>
      </c>
      <c r="S47" s="3344"/>
      <c r="T47" s="3344">
        <f>ROUND(PRODUCT(T46,AB7:AB45),0)</f>
        <v>26753</v>
      </c>
      <c r="U47" s="3344"/>
      <c r="V47" s="3344">
        <f>ROUND(PRODUCT(V46,AC7:AC45),0)</f>
        <v>22316</v>
      </c>
      <c r="W47" s="3344"/>
      <c r="X47" s="758"/>
      <c r="Y47" s="758"/>
      <c r="Z47" s="758"/>
      <c r="AA47" s="758"/>
      <c r="AB47" s="758"/>
      <c r="AC47" s="758"/>
    </row>
    <row r="48" spans="1:29" ht="15.75" thickBot="1">
      <c r="A48" s="491" t="s">
        <v>2756</v>
      </c>
      <c r="B48" s="492"/>
      <c r="C48" s="493">
        <f>R48</f>
        <v>24205</v>
      </c>
      <c r="D48" s="493"/>
      <c r="E48" s="493"/>
      <c r="F48" s="493"/>
      <c r="G48" s="493"/>
      <c r="H48" s="493"/>
      <c r="I48" s="493"/>
      <c r="J48" s="493"/>
      <c r="K48" s="784"/>
      <c r="L48" s="1139"/>
      <c r="M48" s="1140"/>
      <c r="N48" s="1140"/>
      <c r="O48" s="1140"/>
      <c r="P48" s="3310" t="str">
        <f>A48</f>
        <v>估价对象XX用房的比较价值（楼面单价，元/平方米）</v>
      </c>
      <c r="Q48" s="3311"/>
      <c r="R48" s="3345">
        <f>ROUND(AVERAGE(R47:V47),0)</f>
        <v>24205</v>
      </c>
      <c r="S48" s="3345"/>
      <c r="T48" s="3345"/>
      <c r="U48" s="3345"/>
      <c r="V48" s="3345"/>
      <c r="W48" s="3345"/>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6.9012485811577706E-2</v>
      </c>
      <c r="F51" s="499" t="str">
        <f>IF(OR(E51&gt;=0.3,E51&lt;=-0.3),"超过30%","")</f>
        <v/>
      </c>
      <c r="G51" s="498">
        <f>IF(G46&lt;G47,G47/G46-1,G46/G47-1)</f>
        <v>7.7142972178604552E-2</v>
      </c>
      <c r="H51" s="499" t="str">
        <f>IF(OR(G51&gt;=0.3,G51&lt;=-0.3),"超过30%","")</f>
        <v/>
      </c>
      <c r="I51" s="498">
        <f>IF(I46&lt;I47,I47/I46-1,I46/I47-1)</f>
        <v>5.7479979149883897E-2</v>
      </c>
      <c r="J51" s="499" t="str">
        <f>IF(OR(I51&gt;=0.3,I51&lt;=-0.3),"超过30%","")</f>
        <v/>
      </c>
      <c r="K51" s="1101"/>
      <c r="L51" s="1102"/>
      <c r="M51" s="1140"/>
      <c r="N51" s="1140"/>
      <c r="O51" s="1140"/>
    </row>
    <row r="52" spans="1:15" ht="13.5" customHeight="1">
      <c r="A52" s="1140"/>
      <c r="B52" s="1140"/>
      <c r="C52" s="496" t="s">
        <v>2671</v>
      </c>
      <c r="D52" s="500"/>
      <c r="E52" s="498">
        <f>IF(E47&lt;G47,G47/E47-1,E47/G47-1)</f>
        <v>0.13624973455085998</v>
      </c>
      <c r="F52" s="499" t="str">
        <f>IF(OR(E52&gt;=0.2,E52&lt;=-0.2),"超过20%","")</f>
        <v/>
      </c>
      <c r="G52" s="498">
        <f>IF(G47&lt;I47,I47/G47-1,G47/I47-1)</f>
        <v>0.19882595447212759</v>
      </c>
      <c r="H52" s="499" t="str">
        <f>IF(OR(G52&gt;=0.2,G52&lt;=-0.2),"超过20%","")</f>
        <v/>
      </c>
      <c r="I52" s="498">
        <f>IF(I47&lt;E47,E47/I47-1,I47/E47-1)</f>
        <v>5.5072593654776902E-2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76" t="s">
        <v>2763</v>
      </c>
      <c r="H55" s="3346"/>
      <c r="I55" s="143" t="s">
        <v>2764</v>
      </c>
      <c r="J55" s="2700">
        <f>项目基本情况!F35</f>
        <v>0</v>
      </c>
      <c r="K55" s="2701" t="s">
        <v>2765</v>
      </c>
      <c r="L55" s="1102"/>
      <c r="M55" s="1140"/>
      <c r="N55" s="1140"/>
      <c r="O55" s="1140"/>
    </row>
    <row r="56" spans="1:15" s="691" customFormat="1">
      <c r="A56" s="687" t="s">
        <v>2766</v>
      </c>
      <c r="B56" s="688">
        <f>C48</f>
        <v>24205</v>
      </c>
      <c r="C56" s="689">
        <v>1</v>
      </c>
      <c r="D56" s="1159">
        <v>1</v>
      </c>
      <c r="E56" s="689">
        <f>'数据-汇总表'!E8+'数据-汇总表'!E9</f>
        <v>13342.070000000002</v>
      </c>
      <c r="F56" s="1099">
        <f t="shared" ref="F56:F65" si="15">ROUND(B56*E56/10000,0)</f>
        <v>32294</v>
      </c>
      <c r="G56" s="3258"/>
      <c r="H56" s="3259"/>
      <c r="I56" s="1104">
        <v>1</v>
      </c>
      <c r="J56" s="1107">
        <v>1</v>
      </c>
      <c r="K56" s="1141"/>
      <c r="L56" s="937"/>
      <c r="M56" s="937"/>
      <c r="N56" s="937"/>
      <c r="O56" s="937"/>
    </row>
    <row r="57" spans="1:15" s="691" customFormat="1">
      <c r="A57" s="692" t="s">
        <v>2767</v>
      </c>
      <c r="B57" s="261">
        <f>ROUND($C$48*C57*D57,0)</f>
        <v>3631</v>
      </c>
      <c r="C57" s="199">
        <f t="shared" ref="C57:C65" si="16">IF($C$55="北京市系数",I57,J57)</f>
        <v>0.6</v>
      </c>
      <c r="D57" s="1160">
        <v>0.25</v>
      </c>
      <c r="E57" s="693">
        <f>'数据-基础表'!K13</f>
        <v>596.72999999999979</v>
      </c>
      <c r="F57" s="1099">
        <f t="shared" si="15"/>
        <v>217</v>
      </c>
      <c r="G57" s="3347"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1815</v>
      </c>
      <c r="C58" s="199">
        <f t="shared" si="16"/>
        <v>0.3</v>
      </c>
      <c r="D58" s="1160">
        <v>0.25</v>
      </c>
      <c r="E58" s="693"/>
      <c r="F58" s="1099">
        <f t="shared" si="15"/>
        <v>0</v>
      </c>
      <c r="G58" s="3347"/>
      <c r="H58" s="1100" t="str">
        <f>项目基本情况!B37</f>
        <v>八级</v>
      </c>
      <c r="I58" s="1104">
        <f>SUMIF(修正!A45:A56,H58,修正!C45:C56)</f>
        <v>0.3</v>
      </c>
      <c r="J58" s="1108"/>
      <c r="K58" s="1141"/>
      <c r="L58" s="937"/>
      <c r="M58" s="937"/>
      <c r="N58" s="937"/>
      <c r="O58" s="937"/>
    </row>
    <row r="59" spans="1:15" s="691" customFormat="1">
      <c r="A59" s="692" t="s">
        <v>2770</v>
      </c>
      <c r="B59" s="261">
        <f t="shared" si="17"/>
        <v>1210</v>
      </c>
      <c r="C59" s="199">
        <f t="shared" si="16"/>
        <v>0.2</v>
      </c>
      <c r="D59" s="1160">
        <v>0.25</v>
      </c>
      <c r="E59" s="693"/>
      <c r="F59" s="1099">
        <f t="shared" si="15"/>
        <v>0</v>
      </c>
      <c r="G59" s="3347"/>
      <c r="H59" s="1100" t="str">
        <f>项目基本情况!B37</f>
        <v>八级</v>
      </c>
      <c r="I59" s="1104">
        <f>SUMIF(修正!A45:A56,H59,修正!D45:D56)</f>
        <v>0.2</v>
      </c>
      <c r="J59" s="1108"/>
      <c r="K59" s="1140"/>
      <c r="L59" s="937"/>
      <c r="M59" s="937"/>
      <c r="N59" s="937"/>
      <c r="O59" s="937"/>
    </row>
    <row r="60" spans="1:15" s="691" customFormat="1">
      <c r="A60" s="692" t="s">
        <v>2771</v>
      </c>
      <c r="B60" s="261">
        <f t="shared" si="17"/>
        <v>1210</v>
      </c>
      <c r="C60" s="199">
        <f t="shared" si="16"/>
        <v>0.2</v>
      </c>
      <c r="D60" s="1160">
        <v>0.25</v>
      </c>
      <c r="E60" s="693"/>
      <c r="F60" s="1099">
        <f t="shared" si="15"/>
        <v>0</v>
      </c>
      <c r="G60" s="3347"/>
      <c r="H60" s="1100" t="str">
        <f>项目基本情况!B37</f>
        <v>八级</v>
      </c>
      <c r="I60" s="1104">
        <f>SUMIF(修正!A45:A56,H60,修正!E45:E56)</f>
        <v>0.2</v>
      </c>
      <c r="J60" s="1108"/>
      <c r="K60" s="1141"/>
      <c r="L60" s="937"/>
      <c r="M60" s="937"/>
      <c r="N60" s="937"/>
      <c r="O60" s="937"/>
    </row>
    <row r="61" spans="1:15" s="691" customFormat="1">
      <c r="A61" s="692" t="s">
        <v>2772</v>
      </c>
      <c r="B61" s="261">
        <f t="shared" si="17"/>
        <v>1210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1210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908</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908</v>
      </c>
      <c r="C65" s="199">
        <f t="shared" si="16"/>
        <v>0.15</v>
      </c>
      <c r="D65" s="1160">
        <v>0.25</v>
      </c>
      <c r="E65" s="260">
        <f>'数据-汇总表'!E15</f>
        <v>3026.9400000000051</v>
      </c>
      <c r="F65" s="1099">
        <f t="shared" si="15"/>
        <v>275</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16965.740000000005</v>
      </c>
      <c r="F66" s="696">
        <f>IF(B46="楼面地价",SUM(F56:F65),ROUND(C48*E66/10000,0))</f>
        <v>32786</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5" t="s">
        <v>2782</v>
      </c>
      <c r="B71" s="331" t="str">
        <f>"北京市平均增长率"&amp;TEXT(SUMIF(基准地价修正!N21:N25,A71,基准地价修正!P21:P25),"0.00%")</f>
        <v>北京市平均增长率2.55%</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97" t="s">
        <v>3331</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3001" t="s">
        <v>3338</v>
      </c>
      <c r="D119" s="3001" t="s">
        <v>3339</v>
      </c>
      <c r="E119" s="3001" t="s">
        <v>3340</v>
      </c>
      <c r="F119" s="3001" t="s">
        <v>3341</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3002" t="s">
        <v>3342</v>
      </c>
      <c r="D121" s="3002" t="s">
        <v>3343</v>
      </c>
      <c r="E121" s="3002" t="s">
        <v>3344</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3002" t="s">
        <v>3345</v>
      </c>
      <c r="D123" s="3002" t="s">
        <v>3346</v>
      </c>
      <c r="E123" s="3002" t="s">
        <v>3347</v>
      </c>
      <c r="F123" s="3002" t="s">
        <v>3348</v>
      </c>
      <c r="G123" s="3002" t="s">
        <v>3349</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3002" t="s">
        <v>3350</v>
      </c>
      <c r="D125" s="3002" t="s">
        <v>3351</v>
      </c>
      <c r="E125" s="3001" t="s">
        <v>3352</v>
      </c>
      <c r="F125" s="3001" t="s">
        <v>3353</v>
      </c>
      <c r="G125" s="3001" t="s">
        <v>3354</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76" t="s">
        <v>2645</v>
      </c>
      <c r="D4" s="3277"/>
      <c r="E4" s="3278" t="s">
        <v>2646</v>
      </c>
      <c r="F4" s="3279"/>
      <c r="G4" s="3276" t="s">
        <v>2647</v>
      </c>
      <c r="H4" s="3277"/>
      <c r="I4" s="3276" t="s">
        <v>2648</v>
      </c>
      <c r="J4" s="3277"/>
      <c r="K4" s="609" t="s">
        <v>2649</v>
      </c>
      <c r="L4" s="1126"/>
      <c r="M4" s="1127"/>
      <c r="N4" s="1127"/>
      <c r="O4" s="1127"/>
      <c r="P4" s="3314" t="s">
        <v>2650</v>
      </c>
      <c r="Q4" s="3315"/>
      <c r="R4" s="3318" t="s">
        <v>2646</v>
      </c>
      <c r="S4" s="3319"/>
      <c r="T4" s="3318" t="s">
        <v>2647</v>
      </c>
      <c r="U4" s="3319"/>
      <c r="V4" s="3293" t="s">
        <v>2648</v>
      </c>
      <c r="W4" s="3293"/>
      <c r="X4" s="1809"/>
      <c r="Y4" s="3318" t="s">
        <v>2650</v>
      </c>
      <c r="Z4" s="3319"/>
      <c r="AA4" s="3313" t="s">
        <v>2646</v>
      </c>
      <c r="AB4" s="3306" t="s">
        <v>2647</v>
      </c>
      <c r="AC4" s="3313" t="s">
        <v>2648</v>
      </c>
    </row>
    <row r="5" spans="1:29" ht="15">
      <c r="A5" s="403"/>
      <c r="B5" s="404"/>
      <c r="C5" s="3302" t="s">
        <v>2541</v>
      </c>
      <c r="D5" s="3297"/>
      <c r="E5" s="3320" t="s">
        <v>2542</v>
      </c>
      <c r="F5" s="3309"/>
      <c r="G5" s="3302" t="s">
        <v>2543</v>
      </c>
      <c r="H5" s="3297"/>
      <c r="I5" s="3302" t="s">
        <v>2544</v>
      </c>
      <c r="J5" s="3297"/>
      <c r="K5" s="609"/>
      <c r="L5" s="1126"/>
      <c r="M5" s="1127"/>
      <c r="N5" s="1127"/>
      <c r="O5" s="1127"/>
      <c r="P5" s="3316"/>
      <c r="Q5" s="3283"/>
      <c r="R5" s="3288"/>
      <c r="S5" s="3289"/>
      <c r="T5" s="3288"/>
      <c r="U5" s="3289"/>
      <c r="V5" s="3293"/>
      <c r="W5" s="3293"/>
      <c r="X5" s="1809"/>
      <c r="Y5" s="3288"/>
      <c r="Z5" s="3289"/>
      <c r="AA5" s="3306"/>
      <c r="AB5" s="3306"/>
      <c r="AC5" s="3306"/>
    </row>
    <row r="6" spans="1:29" ht="15.75" thickBot="1">
      <c r="A6" s="405"/>
      <c r="B6" s="406"/>
      <c r="C6" s="3348" t="s">
        <v>2796</v>
      </c>
      <c r="D6" s="3349"/>
      <c r="E6" s="3350" t="s">
        <v>2796</v>
      </c>
      <c r="F6" s="3351"/>
      <c r="G6" s="3348" t="s">
        <v>2796</v>
      </c>
      <c r="H6" s="3349"/>
      <c r="I6" s="3348" t="s">
        <v>2796</v>
      </c>
      <c r="J6" s="3349"/>
      <c r="K6" s="609" t="s">
        <v>2546</v>
      </c>
      <c r="L6" s="1126"/>
      <c r="M6" s="1127"/>
      <c r="N6" s="1127"/>
      <c r="O6" s="1127"/>
      <c r="P6" s="3317"/>
      <c r="Q6" s="3285"/>
      <c r="R6" s="3288"/>
      <c r="S6" s="3289"/>
      <c r="T6" s="3290"/>
      <c r="U6" s="3291"/>
      <c r="V6" s="3293"/>
      <c r="W6" s="3293"/>
      <c r="X6" s="1809"/>
      <c r="Y6" s="3290"/>
      <c r="Z6" s="3291"/>
      <c r="AA6" s="3307"/>
      <c r="AB6" s="3307"/>
      <c r="AC6" s="3307"/>
    </row>
    <row r="7" spans="1:29" s="116" customFormat="1" ht="15.75" thickBot="1">
      <c r="A7" s="407" t="s">
        <v>2547</v>
      </c>
      <c r="B7" s="408"/>
      <c r="C7" s="409">
        <f>'数据-取费表'!B2</f>
        <v>43182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300" t="s">
        <v>2548</v>
      </c>
      <c r="Q7" s="3301"/>
      <c r="R7" s="769" t="s">
        <v>17</v>
      </c>
      <c r="S7" s="770">
        <f t="shared" ref="S7:S15" si="0">F7</f>
        <v>0</v>
      </c>
      <c r="T7" s="769" t="s">
        <v>17</v>
      </c>
      <c r="U7" s="770">
        <f t="shared" ref="U7:U15" si="1">H7</f>
        <v>0</v>
      </c>
      <c r="V7" s="769" t="s">
        <v>17</v>
      </c>
      <c r="W7" s="770">
        <f t="shared" ref="W7:W15" si="2">J7</f>
        <v>0</v>
      </c>
      <c r="X7" s="771"/>
      <c r="Y7" s="3300" t="s">
        <v>2548</v>
      </c>
      <c r="Z7" s="329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00" t="s">
        <v>2551</v>
      </c>
      <c r="Q8" s="3299"/>
      <c r="R8" s="769" t="s">
        <v>17</v>
      </c>
      <c r="S8" s="770">
        <f t="shared" si="0"/>
        <v>0</v>
      </c>
      <c r="T8" s="769" t="s">
        <v>17</v>
      </c>
      <c r="U8" s="770">
        <f t="shared" si="1"/>
        <v>0</v>
      </c>
      <c r="V8" s="769" t="s">
        <v>17</v>
      </c>
      <c r="W8" s="770">
        <f t="shared" si="2"/>
        <v>0</v>
      </c>
      <c r="X8" s="771"/>
      <c r="Y8" s="3300" t="s">
        <v>2551</v>
      </c>
      <c r="Z8" s="3299"/>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59" t="s">
        <v>2554</v>
      </c>
      <c r="Q9" s="1791" t="str">
        <f t="shared" ref="Q9:Q15" si="6">B9</f>
        <v>用途</v>
      </c>
      <c r="R9" s="769" t="s">
        <v>17</v>
      </c>
      <c r="S9" s="770">
        <f t="shared" si="0"/>
        <v>100</v>
      </c>
      <c r="T9" s="769" t="s">
        <v>17</v>
      </c>
      <c r="U9" s="770">
        <f t="shared" si="1"/>
        <v>100</v>
      </c>
      <c r="V9" s="769" t="s">
        <v>17</v>
      </c>
      <c r="W9" s="770">
        <f t="shared" si="2"/>
        <v>100</v>
      </c>
      <c r="X9" s="771"/>
      <c r="Y9" s="3108"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59"/>
      <c r="Q10" s="1791" t="str">
        <f t="shared" si="6"/>
        <v>土地使用年限（年）</v>
      </c>
      <c r="R10" s="769" t="s">
        <v>17</v>
      </c>
      <c r="S10" s="770">
        <f t="shared" si="0"/>
        <v>102</v>
      </c>
      <c r="T10" s="769" t="s">
        <v>17</v>
      </c>
      <c r="U10" s="770">
        <f t="shared" si="1"/>
        <v>102</v>
      </c>
      <c r="V10" s="769" t="s">
        <v>17</v>
      </c>
      <c r="W10" s="770">
        <f t="shared" si="2"/>
        <v>102</v>
      </c>
      <c r="X10" s="771"/>
      <c r="Y10" s="3108"/>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59"/>
      <c r="Q11" s="1791" t="str">
        <f t="shared" si="6"/>
        <v>容积率</v>
      </c>
      <c r="R11" s="769" t="s">
        <v>17</v>
      </c>
      <c r="S11" s="770" t="e">
        <f t="shared" si="0"/>
        <v>#N/A</v>
      </c>
      <c r="T11" s="769" t="s">
        <v>17</v>
      </c>
      <c r="U11" s="770" t="e">
        <f t="shared" si="1"/>
        <v>#N/A</v>
      </c>
      <c r="V11" s="769" t="s">
        <v>17</v>
      </c>
      <c r="W11" s="770" t="e">
        <f t="shared" si="2"/>
        <v>#N/A</v>
      </c>
      <c r="X11" s="771"/>
      <c r="Y11" s="3108"/>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59"/>
      <c r="Q12" s="1791">
        <f t="shared" si="6"/>
        <v>111</v>
      </c>
      <c r="R12" s="769" t="s">
        <v>17</v>
      </c>
      <c r="S12" s="770">
        <f t="shared" si="0"/>
        <v>100</v>
      </c>
      <c r="T12" s="769" t="s">
        <v>17</v>
      </c>
      <c r="U12" s="770">
        <f t="shared" si="1"/>
        <v>100</v>
      </c>
      <c r="V12" s="769" t="s">
        <v>17</v>
      </c>
      <c r="W12" s="770">
        <f t="shared" si="2"/>
        <v>100</v>
      </c>
      <c r="X12" s="771"/>
      <c r="Y12" s="3108"/>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59"/>
      <c r="Q13" s="1791">
        <f t="shared" si="6"/>
        <v>111</v>
      </c>
      <c r="R13" s="769" t="s">
        <v>17</v>
      </c>
      <c r="S13" s="770">
        <f t="shared" si="0"/>
        <v>100</v>
      </c>
      <c r="T13" s="769" t="s">
        <v>17</v>
      </c>
      <c r="U13" s="770">
        <f t="shared" si="1"/>
        <v>100</v>
      </c>
      <c r="V13" s="769" t="s">
        <v>17</v>
      </c>
      <c r="W13" s="770">
        <f t="shared" si="2"/>
        <v>100</v>
      </c>
      <c r="X13" s="771"/>
      <c r="Y13" s="3108"/>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59"/>
      <c r="Q14" s="1791">
        <f t="shared" si="6"/>
        <v>111</v>
      </c>
      <c r="R14" s="769" t="s">
        <v>17</v>
      </c>
      <c r="S14" s="770">
        <f t="shared" si="0"/>
        <v>100</v>
      </c>
      <c r="T14" s="769" t="s">
        <v>17</v>
      </c>
      <c r="U14" s="770">
        <f t="shared" si="1"/>
        <v>100</v>
      </c>
      <c r="V14" s="769" t="s">
        <v>17</v>
      </c>
      <c r="W14" s="770">
        <f t="shared" si="2"/>
        <v>100</v>
      </c>
      <c r="X14" s="771"/>
      <c r="Y14" s="3108"/>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66" t="s">
        <v>2559</v>
      </c>
      <c r="Q15" s="1806" t="str">
        <f t="shared" si="6"/>
        <v>产业集聚程度</v>
      </c>
      <c r="R15" s="773" t="s">
        <v>17</v>
      </c>
      <c r="S15" s="774">
        <f t="shared" si="0"/>
        <v>100</v>
      </c>
      <c r="T15" s="773" t="s">
        <v>17</v>
      </c>
      <c r="U15" s="774">
        <f t="shared" si="1"/>
        <v>100</v>
      </c>
      <c r="V15" s="773" t="s">
        <v>17</v>
      </c>
      <c r="W15" s="774">
        <f t="shared" si="2"/>
        <v>100</v>
      </c>
      <c r="X15" s="1809"/>
      <c r="Y15" s="3266"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67"/>
      <c r="Q16" s="1806"/>
      <c r="R16" s="773"/>
      <c r="S16" s="774"/>
      <c r="T16" s="773"/>
      <c r="U16" s="774"/>
      <c r="V16" s="773"/>
      <c r="W16" s="774"/>
      <c r="X16" s="1809"/>
      <c r="Y16" s="3267"/>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67"/>
      <c r="Q17" s="1806" t="str">
        <f>B17</f>
        <v>交通便捷度</v>
      </c>
      <c r="R17" s="773" t="s">
        <v>17</v>
      </c>
      <c r="S17" s="774">
        <f>F17</f>
        <v>100</v>
      </c>
      <c r="T17" s="773" t="s">
        <v>17</v>
      </c>
      <c r="U17" s="774">
        <f>H17</f>
        <v>100</v>
      </c>
      <c r="V17" s="773" t="s">
        <v>17</v>
      </c>
      <c r="W17" s="774">
        <f>J17</f>
        <v>100</v>
      </c>
      <c r="X17" s="1809"/>
      <c r="Y17" s="3267"/>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67"/>
      <c r="Q18" s="1806"/>
      <c r="R18" s="773"/>
      <c r="S18" s="774"/>
      <c r="T18" s="773"/>
      <c r="U18" s="774"/>
      <c r="V18" s="773"/>
      <c r="W18" s="774"/>
      <c r="X18" s="1809"/>
      <c r="Y18" s="3267"/>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67"/>
      <c r="Q19" s="1806" t="str">
        <f t="shared" ref="Q19:Q33" si="8">B19</f>
        <v>区域土地利用方向</v>
      </c>
      <c r="R19" s="773" t="s">
        <v>17</v>
      </c>
      <c r="S19" s="774">
        <f>F19</f>
        <v>100</v>
      </c>
      <c r="T19" s="773" t="s">
        <v>17</v>
      </c>
      <c r="U19" s="774">
        <f>H19</f>
        <v>100</v>
      </c>
      <c r="V19" s="773" t="s">
        <v>17</v>
      </c>
      <c r="W19" s="774">
        <f>J19</f>
        <v>100</v>
      </c>
      <c r="X19" s="1809"/>
      <c r="Y19" s="3267"/>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67"/>
      <c r="Q20" s="1806"/>
      <c r="R20" s="773"/>
      <c r="S20" s="774"/>
      <c r="T20" s="773"/>
      <c r="U20" s="774"/>
      <c r="V20" s="773"/>
      <c r="W20" s="774"/>
      <c r="X20" s="1809"/>
      <c r="Y20" s="3267"/>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67"/>
      <c r="Q21" s="1806" t="str">
        <f t="shared" si="8"/>
        <v>环境状况</v>
      </c>
      <c r="R21" s="773" t="s">
        <v>17</v>
      </c>
      <c r="S21" s="774">
        <f>F21</f>
        <v>100</v>
      </c>
      <c r="T21" s="773" t="s">
        <v>17</v>
      </c>
      <c r="U21" s="774">
        <f>H21</f>
        <v>100</v>
      </c>
      <c r="V21" s="773" t="s">
        <v>17</v>
      </c>
      <c r="W21" s="774">
        <f>J21</f>
        <v>100</v>
      </c>
      <c r="X21" s="1809"/>
      <c r="Y21" s="3267"/>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67"/>
      <c r="Q22" s="1806"/>
      <c r="R22" s="773"/>
      <c r="S22" s="774"/>
      <c r="T22" s="773"/>
      <c r="U22" s="774"/>
      <c r="V22" s="773"/>
      <c r="W22" s="774"/>
      <c r="X22" s="1809"/>
      <c r="Y22" s="3267"/>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67"/>
      <c r="Q23" s="1791" t="str">
        <f t="shared" si="8"/>
        <v>公共配套设施</v>
      </c>
      <c r="R23" s="769" t="s">
        <v>17</v>
      </c>
      <c r="S23" s="770">
        <f>F23</f>
        <v>100</v>
      </c>
      <c r="T23" s="769" t="s">
        <v>17</v>
      </c>
      <c r="U23" s="770">
        <f>H23</f>
        <v>100</v>
      </c>
      <c r="V23" s="769" t="s">
        <v>17</v>
      </c>
      <c r="W23" s="770">
        <f>J23</f>
        <v>100</v>
      </c>
      <c r="X23" s="771"/>
      <c r="Y23" s="3267"/>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67"/>
      <c r="Q24" s="1791"/>
      <c r="R24" s="769"/>
      <c r="S24" s="770"/>
      <c r="T24" s="769"/>
      <c r="U24" s="770"/>
      <c r="V24" s="769"/>
      <c r="W24" s="770"/>
      <c r="X24" s="771"/>
      <c r="Y24" s="3267"/>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67"/>
      <c r="Q25" s="1791" t="str">
        <f t="shared" ref="Q25" si="9">B25</f>
        <v>基础设施水平</v>
      </c>
      <c r="R25" s="769" t="s">
        <v>17</v>
      </c>
      <c r="S25" s="770">
        <f>F25</f>
        <v>100</v>
      </c>
      <c r="T25" s="769" t="s">
        <v>17</v>
      </c>
      <c r="U25" s="770">
        <f>H25</f>
        <v>100</v>
      </c>
      <c r="V25" s="769" t="s">
        <v>17</v>
      </c>
      <c r="W25" s="770">
        <f>J25</f>
        <v>100</v>
      </c>
      <c r="X25" s="771"/>
      <c r="Y25" s="3267"/>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67"/>
      <c r="Q26" s="1791"/>
      <c r="R26" s="769"/>
      <c r="S26" s="770"/>
      <c r="T26" s="769"/>
      <c r="U26" s="770"/>
      <c r="V26" s="769"/>
      <c r="W26" s="770"/>
      <c r="X26" s="771"/>
      <c r="Y26" s="3267"/>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67"/>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67"/>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67"/>
      <c r="Q28" s="1806" t="str">
        <f t="shared" si="8"/>
        <v>毗邻道路的类型与等级</v>
      </c>
      <c r="R28" s="773" t="s">
        <v>17</v>
      </c>
      <c r="S28" s="774">
        <f t="shared" si="10"/>
        <v>100</v>
      </c>
      <c r="T28" s="773" t="s">
        <v>17</v>
      </c>
      <c r="U28" s="774">
        <f t="shared" si="11"/>
        <v>100</v>
      </c>
      <c r="V28" s="773" t="s">
        <v>17</v>
      </c>
      <c r="W28" s="774">
        <f t="shared" si="12"/>
        <v>100</v>
      </c>
      <c r="X28" s="1809"/>
      <c r="Y28" s="3267"/>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67"/>
      <c r="Q29" s="1806"/>
      <c r="R29" s="773"/>
      <c r="S29" s="774"/>
      <c r="T29" s="773"/>
      <c r="U29" s="774"/>
      <c r="V29" s="773"/>
      <c r="W29" s="774"/>
      <c r="X29" s="1809"/>
      <c r="Y29" s="3267"/>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67"/>
      <c r="Q30" s="1806" t="str">
        <f t="shared" si="8"/>
        <v>土地级别</v>
      </c>
      <c r="R30" s="773" t="s">
        <v>17</v>
      </c>
      <c r="S30" s="774">
        <f t="shared" si="10"/>
        <v>100</v>
      </c>
      <c r="T30" s="773" t="s">
        <v>17</v>
      </c>
      <c r="U30" s="774">
        <f t="shared" si="11"/>
        <v>100</v>
      </c>
      <c r="V30" s="773" t="s">
        <v>17</v>
      </c>
      <c r="W30" s="774">
        <f t="shared" si="12"/>
        <v>100</v>
      </c>
      <c r="X30" s="1809"/>
      <c r="Y30" s="3267"/>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67"/>
      <c r="Q31" s="1806">
        <f t="shared" si="8"/>
        <v>111</v>
      </c>
      <c r="R31" s="773" t="s">
        <v>17</v>
      </c>
      <c r="S31" s="774">
        <f t="shared" si="10"/>
        <v>100</v>
      </c>
      <c r="T31" s="773" t="s">
        <v>17</v>
      </c>
      <c r="U31" s="774">
        <f t="shared" si="11"/>
        <v>100</v>
      </c>
      <c r="V31" s="773" t="s">
        <v>17</v>
      </c>
      <c r="W31" s="774">
        <f t="shared" si="12"/>
        <v>100</v>
      </c>
      <c r="X31" s="1809"/>
      <c r="Y31" s="3267"/>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43" t="s">
        <v>2564</v>
      </c>
      <c r="Q32" s="1806">
        <f t="shared" si="8"/>
        <v>111</v>
      </c>
      <c r="R32" s="773" t="s">
        <v>17</v>
      </c>
      <c r="S32" s="774">
        <f t="shared" si="10"/>
        <v>100</v>
      </c>
      <c r="T32" s="773" t="s">
        <v>17</v>
      </c>
      <c r="U32" s="774">
        <f t="shared" si="11"/>
        <v>100</v>
      </c>
      <c r="V32" s="773" t="s">
        <v>17</v>
      </c>
      <c r="W32" s="774">
        <f t="shared" si="12"/>
        <v>100</v>
      </c>
      <c r="X32" s="1809"/>
      <c r="Y32" s="3271"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1"/>
      <c r="Q33" s="1806">
        <f t="shared" si="8"/>
        <v>111</v>
      </c>
      <c r="R33" s="776" t="s">
        <v>17</v>
      </c>
      <c r="S33" s="777">
        <f t="shared" si="10"/>
        <v>100</v>
      </c>
      <c r="T33" s="776" t="s">
        <v>17</v>
      </c>
      <c r="U33" s="777">
        <f t="shared" si="11"/>
        <v>100</v>
      </c>
      <c r="V33" s="776" t="s">
        <v>17</v>
      </c>
      <c r="W33" s="777">
        <f t="shared" si="12"/>
        <v>100</v>
      </c>
      <c r="X33" s="778"/>
      <c r="Y33" s="3271"/>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71"/>
      <c r="Q34" s="1806" t="str">
        <f>B34</f>
        <v>宗地面积</v>
      </c>
      <c r="R34" s="773" t="s">
        <v>17</v>
      </c>
      <c r="S34" s="774" t="e">
        <f t="shared" si="10"/>
        <v>#N/A</v>
      </c>
      <c r="T34" s="773" t="s">
        <v>17</v>
      </c>
      <c r="U34" s="774" t="e">
        <f t="shared" si="11"/>
        <v>#N/A</v>
      </c>
      <c r="V34" s="773" t="s">
        <v>17</v>
      </c>
      <c r="W34" s="774" t="e">
        <f t="shared" si="12"/>
        <v>#N/A</v>
      </c>
      <c r="X34" s="1809"/>
      <c r="Y34" s="3271"/>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71"/>
      <c r="Q35" s="1806" t="str">
        <f t="shared" ref="Q35:Q40" si="14">B35</f>
        <v>宗地形状</v>
      </c>
      <c r="R35" s="773" t="s">
        <v>17</v>
      </c>
      <c r="S35" s="774">
        <f t="shared" si="10"/>
        <v>100</v>
      </c>
      <c r="T35" s="773" t="s">
        <v>17</v>
      </c>
      <c r="U35" s="774">
        <f t="shared" si="11"/>
        <v>100</v>
      </c>
      <c r="V35" s="773" t="s">
        <v>17</v>
      </c>
      <c r="W35" s="774">
        <f t="shared" si="12"/>
        <v>100</v>
      </c>
      <c r="X35" s="1809"/>
      <c r="Y35" s="3271"/>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71"/>
      <c r="Q36" s="1806" t="str">
        <f t="shared" si="14"/>
        <v>宗地开发程度</v>
      </c>
      <c r="R36" s="769" t="s">
        <v>17</v>
      </c>
      <c r="S36" s="770">
        <f t="shared" si="10"/>
        <v>100</v>
      </c>
      <c r="T36" s="769" t="s">
        <v>17</v>
      </c>
      <c r="U36" s="770">
        <f t="shared" si="11"/>
        <v>100</v>
      </c>
      <c r="V36" s="769" t="s">
        <v>17</v>
      </c>
      <c r="W36" s="770">
        <f t="shared" si="12"/>
        <v>100</v>
      </c>
      <c r="X36" s="771"/>
      <c r="Y36" s="3271"/>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71" t="s">
        <v>2564</v>
      </c>
      <c r="Q37" s="1806" t="str">
        <f t="shared" si="14"/>
        <v>工程地质条件</v>
      </c>
      <c r="R37" s="773" t="s">
        <v>17</v>
      </c>
      <c r="S37" s="774">
        <f t="shared" si="10"/>
        <v>100</v>
      </c>
      <c r="T37" s="773" t="s">
        <v>17</v>
      </c>
      <c r="U37" s="774">
        <f t="shared" si="11"/>
        <v>100</v>
      </c>
      <c r="V37" s="773" t="s">
        <v>17</v>
      </c>
      <c r="W37" s="774">
        <f t="shared" si="12"/>
        <v>100</v>
      </c>
      <c r="X37" s="1809"/>
      <c r="Y37" s="3271"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1"/>
      <c r="Q38" s="1806">
        <f t="shared" si="14"/>
        <v>111</v>
      </c>
      <c r="R38" s="773" t="s">
        <v>17</v>
      </c>
      <c r="S38" s="774">
        <f t="shared" si="10"/>
        <v>100</v>
      </c>
      <c r="T38" s="773" t="s">
        <v>17</v>
      </c>
      <c r="U38" s="774">
        <f t="shared" si="11"/>
        <v>100</v>
      </c>
      <c r="V38" s="773" t="s">
        <v>17</v>
      </c>
      <c r="W38" s="774">
        <f t="shared" si="12"/>
        <v>100</v>
      </c>
      <c r="X38" s="1809"/>
      <c r="Y38" s="3271"/>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1"/>
      <c r="Q39" s="1806">
        <f t="shared" si="14"/>
        <v>111</v>
      </c>
      <c r="R39" s="773" t="s">
        <v>17</v>
      </c>
      <c r="S39" s="774">
        <f t="shared" si="10"/>
        <v>100</v>
      </c>
      <c r="T39" s="773" t="s">
        <v>17</v>
      </c>
      <c r="U39" s="774">
        <f t="shared" si="11"/>
        <v>100</v>
      </c>
      <c r="V39" s="773" t="s">
        <v>17</v>
      </c>
      <c r="W39" s="774">
        <f t="shared" si="12"/>
        <v>100</v>
      </c>
      <c r="X39" s="1809"/>
      <c r="Y39" s="3271"/>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1"/>
      <c r="Q40" s="1806">
        <f t="shared" si="14"/>
        <v>111</v>
      </c>
      <c r="R40" s="776" t="s">
        <v>17</v>
      </c>
      <c r="S40" s="777">
        <f t="shared" si="10"/>
        <v>100</v>
      </c>
      <c r="T40" s="776" t="s">
        <v>17</v>
      </c>
      <c r="U40" s="777">
        <f t="shared" si="11"/>
        <v>100</v>
      </c>
      <c r="V40" s="776" t="s">
        <v>17</v>
      </c>
      <c r="W40" s="777">
        <f t="shared" si="12"/>
        <v>100</v>
      </c>
      <c r="X40" s="778"/>
      <c r="Y40" s="3271"/>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59" t="str">
        <f>A41</f>
        <v>成交单价</v>
      </c>
      <c r="Q41" s="3259"/>
      <c r="R41" s="3293">
        <f>E41</f>
        <v>0</v>
      </c>
      <c r="S41" s="3293"/>
      <c r="T41" s="3293">
        <f>G41</f>
        <v>0</v>
      </c>
      <c r="U41" s="3293"/>
      <c r="V41" s="3293">
        <f>I41</f>
        <v>0</v>
      </c>
      <c r="W41" s="3293"/>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59" t="str">
        <f>A42</f>
        <v>比较价值（元/平方米）</v>
      </c>
      <c r="Q42" s="3259"/>
      <c r="R42" s="3344" t="e">
        <f>ROUND(PRODUCT(R41,AA7:AA40),0)</f>
        <v>#DIV/0!</v>
      </c>
      <c r="S42" s="3344"/>
      <c r="T42" s="3344" t="e">
        <f>ROUND(PRODUCT(T41,AB7:AB40),0)</f>
        <v>#DIV/0!</v>
      </c>
      <c r="U42" s="3344"/>
      <c r="V42" s="3344" t="e">
        <f>ROUND(PRODUCT(V41,AC7:AC40),0)</f>
        <v>#DIV/0!</v>
      </c>
      <c r="W42" s="3344"/>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310" t="str">
        <f>A43</f>
        <v>估价对象XX用房的比较价值（楼面单价，元/平方米）</v>
      </c>
      <c r="Q43" s="3311"/>
      <c r="R43" s="3345" t="e">
        <f>ROUND(AVERAGE(R42:V42),0)</f>
        <v>#DIV/0!</v>
      </c>
      <c r="S43" s="3345"/>
      <c r="T43" s="3345"/>
      <c r="U43" s="3345"/>
      <c r="V43" s="3345"/>
      <c r="W43" s="3345"/>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76" t="s">
        <v>2763</v>
      </c>
      <c r="H50" s="3346"/>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13342.070000000002</v>
      </c>
      <c r="F51" s="690" t="e">
        <f t="shared" ref="F51:F60" si="15">ROUND(B51*E51/10000,0)</f>
        <v>#DIV/0!</v>
      </c>
      <c r="G51" s="3258"/>
      <c r="H51" s="3259"/>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47"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47"/>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47"/>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47"/>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3026.9400000000051</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2729.33</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957"/>
      <c r="B4" s="3068" t="s">
        <v>1630</v>
      </c>
      <c r="C4" s="3068"/>
      <c r="D4" s="3068"/>
      <c r="E4" s="1957"/>
    </row>
    <row r="5" spans="1:5" ht="16.5" thickTop="1">
      <c r="A5" s="1955"/>
      <c r="B5" s="3066" t="s">
        <v>1622</v>
      </c>
      <c r="C5" s="1958" t="s">
        <v>1623</v>
      </c>
      <c r="D5" s="1036">
        <f ca="1">'结果表（办公）'!H101</f>
        <v>57078</v>
      </c>
      <c r="E5" s="1955"/>
    </row>
    <row r="6" spans="1:5" ht="15.75">
      <c r="A6" s="1955"/>
      <c r="B6" s="3066"/>
      <c r="C6" s="1958" t="s">
        <v>1624</v>
      </c>
      <c r="D6" s="1036" t="str">
        <f ca="1">NUMBERSTRING(INT(D5*10000),2)&amp;"元整"</f>
        <v>伍亿柒仟零柒拾捌万元整</v>
      </c>
      <c r="E6" s="1955"/>
    </row>
    <row r="7" spans="1:5" ht="15.75">
      <c r="A7" s="1955"/>
      <c r="B7" s="3071"/>
      <c r="C7" s="1959" t="s">
        <v>1625</v>
      </c>
      <c r="D7" s="1037">
        <f ca="1">'结果表（办公）'!H102</f>
        <v>43650</v>
      </c>
      <c r="E7" s="1955"/>
    </row>
    <row r="8" spans="1:5" ht="15.75">
      <c r="A8" s="1955"/>
      <c r="B8" s="3072" t="str">
        <f>'结果表（办公）'!E103</f>
        <v>2.估价师知悉的法定优先受偿款</v>
      </c>
      <c r="C8" s="1960" t="s">
        <v>1626</v>
      </c>
      <c r="D8" s="1037">
        <f>'结果表（办公）'!H103</f>
        <v>0</v>
      </c>
      <c r="E8" s="1955"/>
    </row>
    <row r="9" spans="1:5" ht="15.75">
      <c r="A9" s="1955"/>
      <c r="B9" s="3074"/>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65" t="str">
        <f>'结果表（办公）'!E107</f>
        <v>——</v>
      </c>
      <c r="C13" s="1963" t="s">
        <v>1623</v>
      </c>
      <c r="D13" s="1039" t="str">
        <f>'结果表（办公）'!H107</f>
        <v>——</v>
      </c>
      <c r="E13" s="1955"/>
    </row>
    <row r="14" spans="1:5" ht="15.75">
      <c r="A14" s="1955"/>
      <c r="B14" s="3066"/>
      <c r="C14" s="1958" t="s">
        <v>1624</v>
      </c>
      <c r="D14" s="1036" t="e">
        <f>NUMBERSTRING(INT(D13*10000),2)&amp;"元整"</f>
        <v>#VALUE!</v>
      </c>
      <c r="E14" s="1955"/>
    </row>
    <row r="15" spans="1:5" ht="15">
      <c r="A15" s="1955"/>
      <c r="B15" s="3071"/>
      <c r="C15" s="1959" t="s">
        <v>1634</v>
      </c>
      <c r="D15" s="1048" t="e">
        <f>'结果表（办公）'!H108</f>
        <v>#VALUE!</v>
      </c>
      <c r="E15" s="1955"/>
    </row>
    <row r="16" spans="1:5" ht="15">
      <c r="A16" s="1955"/>
      <c r="B16" s="3072" t="str">
        <f>'结果表（办公）'!E109</f>
        <v>3.抵押担保权已注销时的房地产抵押价值</v>
      </c>
      <c r="C16" s="1963" t="s">
        <v>1635</v>
      </c>
      <c r="D16" s="1964">
        <f ca="1">'结果表（办公）'!H109</f>
        <v>57078</v>
      </c>
      <c r="E16" s="1955"/>
    </row>
    <row r="17" spans="1:5" ht="15.75">
      <c r="A17" s="1955"/>
      <c r="B17" s="3073"/>
      <c r="C17" s="1958" t="s">
        <v>1636</v>
      </c>
      <c r="D17" s="1036" t="str">
        <f ca="1">NUMBERSTRING(INT(D16*10000),2)&amp;"元整"</f>
        <v>伍亿柒仟零柒拾捌万元整</v>
      </c>
      <c r="E17" s="1955"/>
    </row>
    <row r="18" spans="1:5" ht="15">
      <c r="A18" s="1955"/>
      <c r="B18" s="3074"/>
      <c r="C18" s="1959" t="s">
        <v>1625</v>
      </c>
      <c r="D18" s="1048">
        <f ca="1">'结果表（办公）'!H110</f>
        <v>33643</v>
      </c>
      <c r="E18" s="1955"/>
    </row>
    <row r="19" spans="1:5" ht="15.75">
      <c r="A19" s="1955"/>
      <c r="B19" s="3065" t="str">
        <f>'结果表（办公）'!E111</f>
        <v>——</v>
      </c>
      <c r="C19" s="1963" t="s">
        <v>1623</v>
      </c>
      <c r="D19" s="1037" t="str">
        <f>'结果表（办公）'!H111</f>
        <v>——</v>
      </c>
      <c r="E19" s="1955"/>
    </row>
    <row r="20" spans="1:5" ht="15.75">
      <c r="A20" s="1955"/>
      <c r="B20" s="3066"/>
      <c r="C20" s="1958" t="s">
        <v>1636</v>
      </c>
      <c r="D20" s="1036" t="e">
        <f>NUMBERSTRING(INT(D19*10000),2)&amp;"元整"</f>
        <v>#VALUE!</v>
      </c>
      <c r="E20" s="1955"/>
    </row>
    <row r="21" spans="1:5" ht="15.75" thickBot="1">
      <c r="A21" s="1955"/>
      <c r="B21" s="3067"/>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5401</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14149</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5401</v>
      </c>
      <c r="C3" s="2714" t="s">
        <v>2818</v>
      </c>
      <c r="D3" s="2715" t="s">
        <v>2819</v>
      </c>
      <c r="E3" s="2720" t="s">
        <v>3047</v>
      </c>
      <c r="F3" s="2721" t="s">
        <v>2820</v>
      </c>
      <c r="G3" s="909">
        <f>IF(F3="宗地容积率",'数据-汇总表'!I4,IF(F3="估价对象容积率",'数据-汇总表'!I6,'数据-汇总表'!I7))</f>
        <v>4.8899999999999997</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9325</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55"/>
      <c r="B4" s="3356"/>
      <c r="C4" s="3356"/>
      <c r="D4" s="3357"/>
      <c r="E4" s="3357"/>
      <c r="F4" s="3357"/>
      <c r="G4" s="3357"/>
      <c r="H4" s="3357"/>
      <c r="I4" s="3357"/>
      <c r="J4" s="3358"/>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7338</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5483</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4123</v>
      </c>
      <c r="U6" s="1599"/>
      <c r="V6" s="1598">
        <f t="shared" ca="1" si="1"/>
        <v>0</v>
      </c>
      <c r="W6" s="1602"/>
      <c r="X6" s="1602"/>
      <c r="Y6" s="1602"/>
      <c r="Z6" s="1602"/>
      <c r="AA6" s="1602"/>
      <c r="AB6" s="1602"/>
      <c r="AC6" s="2728"/>
      <c r="AD6" s="2729"/>
      <c r="AE6" s="2729"/>
      <c r="AF6" s="2729"/>
      <c r="AG6" s="2729"/>
      <c r="AH6" s="2729"/>
      <c r="AI6" s="2729"/>
      <c r="AJ6" s="2730"/>
    </row>
    <row r="7" spans="1:36" ht="24">
      <c r="A7" s="3359"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3297</v>
      </c>
      <c r="U7" s="1599"/>
      <c r="V7" s="1598">
        <f t="shared" ca="1" si="1"/>
        <v>0</v>
      </c>
      <c r="W7" s="1812" t="s">
        <v>2834</v>
      </c>
      <c r="X7" s="1600" t="str">
        <f>G2</f>
        <v>八级</v>
      </c>
      <c r="Y7" s="1600" t="s">
        <v>2835</v>
      </c>
      <c r="Z7" s="1601">
        <f>G3</f>
        <v>4.8899999999999997</v>
      </c>
      <c r="AA7" s="1602"/>
      <c r="AB7" s="1602"/>
      <c r="AC7" s="1603"/>
      <c r="AD7" s="1604"/>
      <c r="AE7" s="1604"/>
      <c r="AF7" s="1604"/>
      <c r="AG7" s="1604"/>
      <c r="AH7" s="1604"/>
      <c r="AI7" s="1604"/>
      <c r="AJ7" s="1605"/>
    </row>
    <row r="8" spans="1:36" ht="15">
      <c r="A8" s="3360"/>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52" t="s">
        <v>2839</v>
      </c>
      <c r="X8" s="3353"/>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60"/>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54"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60"/>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5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60"/>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54" t="s">
        <v>2863</v>
      </c>
      <c r="X11" s="1610" t="s">
        <v>2864</v>
      </c>
      <c r="Y11" s="1611">
        <f>$G$3</f>
        <v>4.8899999999999997</v>
      </c>
      <c r="Z11" s="1611">
        <f t="shared" ref="Z11:AJ11" si="3">$G$3</f>
        <v>4.8899999999999997</v>
      </c>
      <c r="AA11" s="1611">
        <f t="shared" si="3"/>
        <v>4.8899999999999997</v>
      </c>
      <c r="AB11" s="1611">
        <f t="shared" si="3"/>
        <v>4.8899999999999997</v>
      </c>
      <c r="AC11" s="1611">
        <f t="shared" si="3"/>
        <v>4.8899999999999997</v>
      </c>
      <c r="AD11" s="1611">
        <f t="shared" si="3"/>
        <v>4.8899999999999997</v>
      </c>
      <c r="AE11" s="1611">
        <f t="shared" si="3"/>
        <v>4.8899999999999997</v>
      </c>
      <c r="AF11" s="1611">
        <f t="shared" si="3"/>
        <v>4.8899999999999997</v>
      </c>
      <c r="AG11" s="1611">
        <f t="shared" si="3"/>
        <v>4.8899999999999997</v>
      </c>
      <c r="AH11" s="1611">
        <f t="shared" si="3"/>
        <v>4.8899999999999997</v>
      </c>
      <c r="AI11" s="1611">
        <f t="shared" si="3"/>
        <v>4.8899999999999997</v>
      </c>
      <c r="AJ11" s="1611">
        <f t="shared" si="3"/>
        <v>4.8899999999999997</v>
      </c>
    </row>
    <row r="12" spans="1:36" ht="25.5" thickBot="1">
      <c r="A12" s="3359"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54"/>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1"/>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54"/>
      <c r="X13" s="1612"/>
      <c r="Y13" s="1609">
        <f>(-0.163*(Y12^2)-0.59*Y12+7617)*(10^(-4))/Y11</f>
        <v>0.15576687116564419</v>
      </c>
      <c r="Z13" s="1609">
        <f t="shared" ref="Z13:AJ13" si="5">(-0.163*(Z12^2)-0.59*Z12+7617)*(10^(-4))/Z11</f>
        <v>0.15576687116564419</v>
      </c>
      <c r="AA13" s="1609">
        <f t="shared" si="5"/>
        <v>0.15576687116564419</v>
      </c>
      <c r="AB13" s="1609">
        <f t="shared" si="5"/>
        <v>0.15576687116564419</v>
      </c>
      <c r="AC13" s="1609">
        <f t="shared" si="5"/>
        <v>0.15576687116564419</v>
      </c>
      <c r="AD13" s="1609">
        <f t="shared" si="5"/>
        <v>0.15576687116564419</v>
      </c>
      <c r="AE13" s="1609">
        <f t="shared" si="5"/>
        <v>0.15576687116564419</v>
      </c>
      <c r="AF13" s="1609">
        <f t="shared" si="5"/>
        <v>0.15576687116564419</v>
      </c>
      <c r="AG13" s="1609">
        <f t="shared" si="5"/>
        <v>0.15576687116564419</v>
      </c>
      <c r="AH13" s="1609">
        <f t="shared" si="5"/>
        <v>0.15576687116564419</v>
      </c>
      <c r="AI13" s="1609">
        <f t="shared" si="5"/>
        <v>0.15576687116564419</v>
      </c>
      <c r="AJ13" s="1609">
        <f t="shared" si="5"/>
        <v>0.15576687116564419</v>
      </c>
    </row>
    <row r="14" spans="1:36" ht="15">
      <c r="A14" s="3361"/>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62"/>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59"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60"/>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1.2636000000000001</v>
      </c>
      <c r="D19" s="2790" t="s">
        <v>2892</v>
      </c>
      <c r="E19" s="921">
        <v>41640</v>
      </c>
      <c r="F19" s="2790" t="s">
        <v>2893</v>
      </c>
      <c r="G19" s="922">
        <f>'数据-取费表'!B2</f>
        <v>43182</v>
      </c>
      <c r="H19" s="2791" t="s">
        <v>2894</v>
      </c>
      <c r="I19" s="923" t="str">
        <f>IF(H19="季度增幅（自定义）",SUMIF(N21:N24,E2,O21:O24),"")</f>
        <v/>
      </c>
      <c r="J19" s="2788"/>
      <c r="K19" s="1373"/>
      <c r="L19" s="2792" t="s">
        <v>2895</v>
      </c>
      <c r="M19" s="1730">
        <f>ROUND(SUMIF(地价!B2:F2,E2,地价!B21:F21),0)</f>
        <v>258</v>
      </c>
      <c r="N19" s="2793" t="s">
        <v>2896</v>
      </c>
      <c r="O19" s="924">
        <f>ROUNDDOWN(DATEDIF(E19,G19,"M")/3,0)</f>
        <v>16</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0.98170000000000002</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46.2</v>
      </c>
      <c r="J20" s="932">
        <f>IF(E2="住宅",70,IF(E2="商业",40,50))</f>
        <v>50</v>
      </c>
      <c r="K20" s="1373"/>
      <c r="L20" s="2800" t="s">
        <v>2900</v>
      </c>
      <c r="M20" s="1731">
        <f>ROUND(SUMPRODUCT((地价!A4:A21=YEAR(G19)&amp;"-"&amp;ROUNDUP(MONTH(G19)/3,0))*(地价!B2:F2=E2)*(地价!B4:F21)),0)</f>
        <v>326</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0.74129999999999996</v>
      </c>
      <c r="D21" s="2806"/>
      <c r="E21" s="2806"/>
      <c r="F21" s="2806"/>
      <c r="G21" s="2806"/>
      <c r="H21" s="2806"/>
      <c r="I21" s="2806"/>
      <c r="J21" s="2807"/>
      <c r="K21" s="1373"/>
      <c r="N21" s="2808" t="s">
        <v>2904</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0.74129999999999996</v>
      </c>
      <c r="E22" s="909">
        <f>ROUNDDOWN(G3,1)</f>
        <v>4.8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0.74529999999999996</v>
      </c>
      <c r="G22" s="909">
        <f>ROUNDUP(G3,1)</f>
        <v>4.8999999999999995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0.7409</v>
      </c>
      <c r="I22" s="1806" t="s">
        <v>155</v>
      </c>
      <c r="J22" s="934" t="str">
        <f>IF(G3&gt;10,D113,"——")</f>
        <v>——</v>
      </c>
      <c r="K22" s="1373"/>
      <c r="N22" s="2808" t="s">
        <v>2908</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2"/>
      <c r="B26" s="2809" t="s">
        <v>2916</v>
      </c>
      <c r="C26" s="205">
        <f ca="1">E29+SUM(E33:E39)</f>
        <v>5401</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5401</v>
      </c>
      <c r="D29" s="2838">
        <v>10000</v>
      </c>
      <c r="E29" s="938">
        <f ca="1">ROUND(C29*D29/10000,0)</f>
        <v>5401</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1350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69"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70"/>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70"/>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71"/>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1457</v>
      </c>
      <c r="D37" s="2838"/>
      <c r="E37" s="199">
        <f t="shared" ca="1" si="7"/>
        <v>0</v>
      </c>
      <c r="F37" s="205">
        <f>SUMIF(修正!A45:A56,G2,修正!F45:F56)</f>
        <v>0.2</v>
      </c>
      <c r="G37" s="199">
        <f t="shared" ca="1" si="6"/>
        <v>364</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1457</v>
      </c>
      <c r="D38" s="2838"/>
      <c r="E38" s="199">
        <f t="shared" ca="1" si="7"/>
        <v>0</v>
      </c>
      <c r="F38" s="205">
        <f>SUMIF(修正!A45:A56,G2,修正!G45:G56)</f>
        <v>0.2</v>
      </c>
      <c r="G38" s="199">
        <f t="shared" ca="1" si="6"/>
        <v>364</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1093</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63" t="s">
        <v>2972</v>
      </c>
      <c r="B90" s="3363"/>
      <c r="C90" s="3363"/>
      <c r="D90" s="3363"/>
      <c r="E90" s="3363"/>
      <c r="F90" s="3363"/>
      <c r="G90" s="3363"/>
      <c r="H90" s="3363"/>
      <c r="I90" s="3363"/>
      <c r="J90" s="3363"/>
      <c r="K90" s="2885"/>
      <c r="L90" s="2885"/>
      <c r="M90" s="2885"/>
      <c r="N90" s="2885"/>
    </row>
    <row r="91" spans="1:37">
      <c r="A91" s="3365" t="s">
        <v>2973</v>
      </c>
      <c r="B91" s="3365" t="s">
        <v>2974</v>
      </c>
      <c r="C91" s="2839" t="s">
        <v>2975</v>
      </c>
      <c r="D91" s="2840"/>
      <c r="E91" s="2840"/>
      <c r="F91" s="2840"/>
      <c r="G91" s="2840"/>
      <c r="H91" s="2840"/>
      <c r="I91" s="2840"/>
      <c r="J91" s="2886"/>
      <c r="K91" s="2887"/>
      <c r="L91" s="2887"/>
      <c r="M91" s="2887"/>
      <c r="N91" s="2887"/>
    </row>
    <row r="92" spans="1:37">
      <c r="A92" s="3365"/>
      <c r="B92" s="3365"/>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66"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6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6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6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6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6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67"/>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6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66" t="s">
        <v>2977</v>
      </c>
      <c r="B101" s="2892" t="s">
        <v>2978</v>
      </c>
      <c r="C101" s="2893">
        <f>$G$3</f>
        <v>4.8899999999999997</v>
      </c>
      <c r="D101" s="2893">
        <f t="shared" ref="D101:N101" si="31">$G$3</f>
        <v>4.8899999999999997</v>
      </c>
      <c r="E101" s="2893">
        <f t="shared" si="31"/>
        <v>4.8899999999999997</v>
      </c>
      <c r="F101" s="2893">
        <f t="shared" si="31"/>
        <v>4.8899999999999997</v>
      </c>
      <c r="G101" s="2893">
        <f t="shared" si="31"/>
        <v>4.8899999999999997</v>
      </c>
      <c r="H101" s="2893">
        <f t="shared" si="31"/>
        <v>4.8899999999999997</v>
      </c>
      <c r="I101" s="2893">
        <f t="shared" si="31"/>
        <v>4.8899999999999997</v>
      </c>
      <c r="J101" s="2893">
        <f t="shared" si="31"/>
        <v>4.8899999999999997</v>
      </c>
      <c r="K101" s="2893">
        <f t="shared" si="31"/>
        <v>4.8899999999999997</v>
      </c>
      <c r="L101" s="2893">
        <f t="shared" si="31"/>
        <v>4.8899999999999997</v>
      </c>
      <c r="M101" s="2893">
        <f t="shared" si="31"/>
        <v>4.8899999999999997</v>
      </c>
      <c r="N101" s="2893">
        <f t="shared" si="31"/>
        <v>4.8899999999999997</v>
      </c>
    </row>
    <row r="102" spans="1:14">
      <c r="A102" s="3367"/>
      <c r="B102" s="2888">
        <v>1</v>
      </c>
      <c r="C102" s="2889">
        <f>1.9362/C101</f>
        <v>0.3959509202453988</v>
      </c>
      <c r="D102" s="2889">
        <f>1.9362/D101</f>
        <v>0.3959509202453988</v>
      </c>
      <c r="E102" s="2889">
        <f>1.8629/E101</f>
        <v>0.38096114519427404</v>
      </c>
      <c r="F102" s="2889">
        <f>1.8629/F101</f>
        <v>0.38096114519427404</v>
      </c>
      <c r="G102" s="2889">
        <f>1.8629/G101</f>
        <v>0.38096114519427404</v>
      </c>
      <c r="H102" s="2889">
        <f>1.8629/H101</f>
        <v>0.38096114519427404</v>
      </c>
      <c r="I102" s="2889">
        <f>1.8629/I101</f>
        <v>0.38096114519427404</v>
      </c>
      <c r="J102" s="2889">
        <f>1.942/J101</f>
        <v>0.39713701431492843</v>
      </c>
      <c r="K102" s="2889">
        <f>1.942/K101</f>
        <v>0.39713701431492843</v>
      </c>
      <c r="L102" s="2889">
        <f>1.942/L101</f>
        <v>0.39713701431492843</v>
      </c>
      <c r="M102" s="2889">
        <f>1.942/M101</f>
        <v>0.39713701431492843</v>
      </c>
      <c r="N102" s="2889">
        <f>1.942/N101</f>
        <v>0.39713701431492843</v>
      </c>
    </row>
    <row r="103" spans="1:14">
      <c r="A103" s="3367"/>
      <c r="B103" s="2888">
        <v>2</v>
      </c>
      <c r="C103" s="2889">
        <f>1.4198/C101</f>
        <v>0.29034764826175868</v>
      </c>
      <c r="D103" s="2889">
        <f>1.4198/D101</f>
        <v>0.29034764826175868</v>
      </c>
      <c r="E103" s="2889">
        <f>1.3372/E101</f>
        <v>0.27345603271983643</v>
      </c>
      <c r="F103" s="2889">
        <f>1.3372/F101</f>
        <v>0.27345603271983643</v>
      </c>
      <c r="G103" s="2889">
        <f>1.3372/G101</f>
        <v>0.27345603271983643</v>
      </c>
      <c r="H103" s="2889">
        <f>1.3372/H101</f>
        <v>0.27345603271983643</v>
      </c>
      <c r="I103" s="2889">
        <f>1.3372/I101</f>
        <v>0.27345603271983643</v>
      </c>
      <c r="J103" s="2889">
        <f>1.2799/J101</f>
        <v>0.26173824130879347</v>
      </c>
      <c r="K103" s="2889">
        <f>1.2799/K101</f>
        <v>0.26173824130879347</v>
      </c>
      <c r="L103" s="2889">
        <f>1.2799/L101</f>
        <v>0.26173824130879347</v>
      </c>
      <c r="M103" s="2889">
        <f>1.2799/M101</f>
        <v>0.26173824130879347</v>
      </c>
      <c r="N103" s="2889">
        <f>1.2799/N101</f>
        <v>0.26173824130879347</v>
      </c>
    </row>
    <row r="104" spans="1:14">
      <c r="A104" s="3367"/>
      <c r="B104" s="2888">
        <v>3</v>
      </c>
      <c r="C104" s="2889">
        <f>1.1594/C101</f>
        <v>0.23709611451942741</v>
      </c>
      <c r="D104" s="2889">
        <f>1.1594/D101</f>
        <v>0.23709611451942741</v>
      </c>
      <c r="E104" s="2889">
        <f>1.0788/E101</f>
        <v>0.22061349693251533</v>
      </c>
      <c r="F104" s="2889">
        <f>1.0788/F101</f>
        <v>0.22061349693251533</v>
      </c>
      <c r="G104" s="2889">
        <f>1.0788/G101</f>
        <v>0.22061349693251533</v>
      </c>
      <c r="H104" s="2889">
        <f>1.0788/H101</f>
        <v>0.22061349693251533</v>
      </c>
      <c r="I104" s="2889">
        <f>1.0788/I101</f>
        <v>0.22061349693251533</v>
      </c>
      <c r="J104" s="2889">
        <f>1.0072/J101</f>
        <v>0.20597137014314931</v>
      </c>
      <c r="K104" s="2889">
        <f>1.0072/K101</f>
        <v>0.20597137014314931</v>
      </c>
      <c r="L104" s="2889">
        <f>1.0072/L101</f>
        <v>0.20597137014314931</v>
      </c>
      <c r="M104" s="2889">
        <f>1.0072/M101</f>
        <v>0.20597137014314931</v>
      </c>
      <c r="N104" s="2889">
        <f>1.0072/N101</f>
        <v>0.20597137014314931</v>
      </c>
    </row>
    <row r="105" spans="1:14">
      <c r="A105" s="3367"/>
      <c r="B105" s="2888">
        <v>4</v>
      </c>
      <c r="C105" s="2889">
        <f>0.9622/C101</f>
        <v>0.19676891615541925</v>
      </c>
      <c r="D105" s="2889">
        <f>0.9622/D101</f>
        <v>0.19676891615541925</v>
      </c>
      <c r="E105" s="2889">
        <f>0.8656/E101</f>
        <v>0.17701431492842537</v>
      </c>
      <c r="F105" s="2889">
        <f>0.8656/F101</f>
        <v>0.17701431492842537</v>
      </c>
      <c r="G105" s="2889">
        <f>0.8656/G101</f>
        <v>0.17701431492842537</v>
      </c>
      <c r="H105" s="2889">
        <f>0.8656/H101</f>
        <v>0.17701431492842537</v>
      </c>
      <c r="I105" s="2889">
        <f>0.8656/I101</f>
        <v>0.17701431492842537</v>
      </c>
      <c r="J105" s="2889">
        <f>0.7525/J101</f>
        <v>0.15388548057259713</v>
      </c>
      <c r="K105" s="2889">
        <f>0.7525/K101</f>
        <v>0.15388548057259713</v>
      </c>
      <c r="L105" s="2889">
        <f>0.7525/L101</f>
        <v>0.15388548057259713</v>
      </c>
      <c r="M105" s="2889">
        <f>0.7525/M101</f>
        <v>0.15388548057259713</v>
      </c>
      <c r="N105" s="2889">
        <f>0.7525/N101</f>
        <v>0.15388548057259713</v>
      </c>
    </row>
    <row r="106" spans="1:14">
      <c r="A106" s="3367"/>
      <c r="B106" s="2888">
        <v>5</v>
      </c>
      <c r="C106" s="2889">
        <f>0.8417/C101</f>
        <v>0.17212678936605319</v>
      </c>
      <c r="D106" s="2889">
        <f>0.8417/D101</f>
        <v>0.17212678936605319</v>
      </c>
      <c r="E106" s="2889">
        <f>0.7371/E101</f>
        <v>0.15073619631901841</v>
      </c>
      <c r="F106" s="2889">
        <f>0.7371/F101</f>
        <v>0.15073619631901841</v>
      </c>
      <c r="G106" s="2889">
        <f>0.7371/G101</f>
        <v>0.15073619631901841</v>
      </c>
      <c r="H106" s="2889">
        <f>0.7371/H101</f>
        <v>0.15073619631901841</v>
      </c>
      <c r="I106" s="2889">
        <f>0.7371/I101</f>
        <v>0.15073619631901841</v>
      </c>
      <c r="J106" s="2889">
        <f>0.5659/J101</f>
        <v>0.11572597137014315</v>
      </c>
      <c r="K106" s="2889">
        <f>0.5659/K101</f>
        <v>0.11572597137014315</v>
      </c>
      <c r="L106" s="2889">
        <f>0.5659/L101</f>
        <v>0.11572597137014315</v>
      </c>
      <c r="M106" s="2889">
        <f>0.5659/M101</f>
        <v>0.11572597137014315</v>
      </c>
      <c r="N106" s="2889">
        <f>0.5659/N101</f>
        <v>0.11572597137014315</v>
      </c>
    </row>
    <row r="107" spans="1:14">
      <c r="A107" s="3367"/>
      <c r="B107" s="2888">
        <v>6</v>
      </c>
      <c r="C107" s="2889">
        <f>0.7608/C101</f>
        <v>0.15558282208588958</v>
      </c>
      <c r="D107" s="2889">
        <f>0.7608/D101</f>
        <v>0.15558282208588958</v>
      </c>
      <c r="E107" s="2889">
        <f>0.6482/E101</f>
        <v>0.1325562372188139</v>
      </c>
      <c r="F107" s="2889">
        <f>0.6482/F101</f>
        <v>0.1325562372188139</v>
      </c>
      <c r="G107" s="2889">
        <f>0.6482/G101</f>
        <v>0.1325562372188139</v>
      </c>
      <c r="H107" s="2889">
        <f>0.6482/H101</f>
        <v>0.1325562372188139</v>
      </c>
      <c r="I107" s="2889">
        <f>0.6482/I101</f>
        <v>0.1325562372188139</v>
      </c>
      <c r="J107" s="2889">
        <f>0.4525/J101</f>
        <v>9.2535787321063406E-2</v>
      </c>
      <c r="K107" s="2889">
        <f>0.4525/K101</f>
        <v>9.2535787321063406E-2</v>
      </c>
      <c r="L107" s="2889">
        <f>0.4525/L101</f>
        <v>9.2535787321063406E-2</v>
      </c>
      <c r="M107" s="2889">
        <f>0.4525/M101</f>
        <v>9.2535787321063406E-2</v>
      </c>
      <c r="N107" s="2889">
        <f>0.4525/N101</f>
        <v>9.2535787321063406E-2</v>
      </c>
    </row>
    <row r="108" spans="1:14">
      <c r="A108" s="3367"/>
      <c r="B108" s="3223"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68"/>
      <c r="B109" s="3224"/>
      <c r="C109" s="2891">
        <f>(-0.163*(C108^2)-0.59*C108+7617)*(10^(-4))/C101</f>
        <v>0.15576687116564419</v>
      </c>
      <c r="D109" s="2891">
        <f>(-0.163*(D108^2)-0.59*D108+7617)*(10^(-4))/D101</f>
        <v>0.15576687116564419</v>
      </c>
      <c r="E109" s="2891">
        <f>(-0.161*(E108^2)-7.509*E108+6533)*(10^(-4))/E101</f>
        <v>0.13359918200408999</v>
      </c>
      <c r="F109" s="2891">
        <f>(-0.161*(F108^2)-7.509*F108+6533)*(10^(-4))/F101</f>
        <v>0.13359918200408999</v>
      </c>
      <c r="G109" s="2891">
        <f>(-0.161*(G108^2)-7.509*G108+6533)*(10^(-4))/G101</f>
        <v>0.13359918200408999</v>
      </c>
      <c r="H109" s="2891">
        <f>(-0.161*(H108^2)-7.509*H108+6533)*(10^(-4))/H101</f>
        <v>0.13359918200408999</v>
      </c>
      <c r="I109" s="2891">
        <f>(-0.161*(I108^2)-7.509*I108+6533)*(10^(-4))/I101</f>
        <v>0.13359918200408999</v>
      </c>
      <c r="J109" s="2891">
        <f>(-0.214*(J108^2)-21.991*J108+4665)*(10^(-4))/J101</f>
        <v>9.5398773006134988E-2</v>
      </c>
      <c r="K109" s="2891">
        <f>(-0.214*(K108^2)-21.991*K108+4665)*(10^(-4))/K101</f>
        <v>9.5398773006134988E-2</v>
      </c>
      <c r="L109" s="2891">
        <f>(-0.214*(L108^2)-21.991*L108+4665)*(10^(-4))/L101</f>
        <v>9.5398773006134988E-2</v>
      </c>
      <c r="M109" s="2891">
        <f>(-0.214*(M108^2)-21.991*M108+4665)*(10^(-4))/M101</f>
        <v>9.5398773006134988E-2</v>
      </c>
      <c r="N109" s="2891">
        <f>(-0.214*(N108^2)-21.991*N108+4665)*(10^(-4))/N101</f>
        <v>9.5398773006134988E-2</v>
      </c>
    </row>
    <row r="110" spans="1:14">
      <c r="A110" s="3364" t="s">
        <v>2980</v>
      </c>
      <c r="B110" s="3364"/>
      <c r="C110" s="3364"/>
      <c r="D110" s="3364"/>
      <c r="E110" s="3364"/>
      <c r="F110" s="3364"/>
      <c r="G110" s="3364"/>
      <c r="H110" s="3364"/>
      <c r="I110" s="3364"/>
      <c r="J110" s="3364"/>
      <c r="K110" s="2894"/>
      <c r="L110" s="2894"/>
      <c r="M110" s="2894"/>
      <c r="N110" s="2894"/>
    </row>
    <row r="112" spans="1:14" ht="13.5" thickBot="1"/>
    <row r="113" spans="1:13" ht="25.5" thickBot="1">
      <c r="A113" s="896" t="s">
        <v>2981</v>
      </c>
      <c r="B113" s="1283">
        <f>G3</f>
        <v>4.8899999999999997</v>
      </c>
      <c r="C113" s="897" t="s">
        <v>2982</v>
      </c>
      <c r="D113" s="898">
        <f>SUMPRODUCT((A115:A118=F113)*(B114:M114=H113)*B115:M118)</f>
        <v>0.70089999999999997</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0.88749999999999996</v>
      </c>
      <c r="C115" s="903">
        <f>B115</f>
        <v>0.88749999999999996</v>
      </c>
      <c r="D115" s="903">
        <f>ROUND(0.8331-0.0109*B113,4)</f>
        <v>0.77980000000000005</v>
      </c>
      <c r="E115" s="903">
        <f>D115</f>
        <v>0.77980000000000005</v>
      </c>
      <c r="F115" s="903">
        <f>E115</f>
        <v>0.77980000000000005</v>
      </c>
      <c r="G115" s="903">
        <f>F115</f>
        <v>0.77980000000000005</v>
      </c>
      <c r="H115" s="903">
        <f>G115</f>
        <v>0.77980000000000005</v>
      </c>
      <c r="I115" s="903">
        <f>ROUND(0.689-0.0155*B113,4)</f>
        <v>0.61319999999999997</v>
      </c>
      <c r="J115" s="903">
        <f t="shared" ref="J115:M118" si="33">I115</f>
        <v>0.61319999999999997</v>
      </c>
      <c r="K115" s="903">
        <f t="shared" si="33"/>
        <v>0.61319999999999997</v>
      </c>
      <c r="L115" s="903">
        <f t="shared" si="33"/>
        <v>0.61319999999999997</v>
      </c>
      <c r="M115" s="904">
        <f t="shared" si="33"/>
        <v>0.61319999999999997</v>
      </c>
    </row>
    <row r="116" spans="1:13">
      <c r="A116" s="902" t="s">
        <v>2879</v>
      </c>
      <c r="B116" s="903">
        <f>ROUND(0.949-0.012*B113,4)</f>
        <v>0.89029999999999998</v>
      </c>
      <c r="C116" s="903">
        <f>B116</f>
        <v>0.89029999999999998</v>
      </c>
      <c r="D116" s="903">
        <f>ROUND(0.8567-0.013*B113,4)</f>
        <v>0.79310000000000003</v>
      </c>
      <c r="E116" s="903">
        <f t="shared" ref="E116:H117" si="34">D116</f>
        <v>0.79310000000000003</v>
      </c>
      <c r="F116" s="903">
        <f t="shared" si="34"/>
        <v>0.79310000000000003</v>
      </c>
      <c r="G116" s="903">
        <f t="shared" si="34"/>
        <v>0.79310000000000003</v>
      </c>
      <c r="H116" s="903">
        <f t="shared" si="34"/>
        <v>0.79310000000000003</v>
      </c>
      <c r="I116" s="903">
        <f>ROUND(0.7694-0.014*B113,4)</f>
        <v>0.70089999999999997</v>
      </c>
      <c r="J116" s="903">
        <f t="shared" si="33"/>
        <v>0.70089999999999997</v>
      </c>
      <c r="K116" s="903">
        <f t="shared" si="33"/>
        <v>0.70089999999999997</v>
      </c>
      <c r="L116" s="903">
        <f t="shared" si="33"/>
        <v>0.70089999999999997</v>
      </c>
      <c r="M116" s="904">
        <f t="shared" si="33"/>
        <v>0.70089999999999997</v>
      </c>
    </row>
    <row r="117" spans="1:13">
      <c r="A117" s="902" t="s">
        <v>2880</v>
      </c>
      <c r="B117" s="903">
        <f>ROUND(0.8808-0.006*B113,4)</f>
        <v>0.85150000000000003</v>
      </c>
      <c r="C117" s="903">
        <f>B117</f>
        <v>0.85150000000000003</v>
      </c>
      <c r="D117" s="903">
        <f>ROUND(0.8748-0.008*B113,4)</f>
        <v>0.8357</v>
      </c>
      <c r="E117" s="903">
        <f t="shared" si="34"/>
        <v>0.8357</v>
      </c>
      <c r="F117" s="903">
        <f t="shared" si="34"/>
        <v>0.8357</v>
      </c>
      <c r="G117" s="903">
        <f t="shared" si="34"/>
        <v>0.8357</v>
      </c>
      <c r="H117" s="903">
        <f t="shared" si="34"/>
        <v>0.8357</v>
      </c>
      <c r="I117" s="903">
        <f>ROUND(0.7412-0.0095*B113,4)</f>
        <v>0.69469999999999998</v>
      </c>
      <c r="J117" s="903">
        <f t="shared" si="33"/>
        <v>0.69469999999999998</v>
      </c>
      <c r="K117" s="903">
        <f t="shared" si="33"/>
        <v>0.69469999999999998</v>
      </c>
      <c r="L117" s="903">
        <f t="shared" si="33"/>
        <v>0.69469999999999998</v>
      </c>
      <c r="M117" s="904">
        <f t="shared" si="33"/>
        <v>0.69469999999999998</v>
      </c>
    </row>
    <row r="118" spans="1:13" ht="13.5" thickBot="1">
      <c r="A118" s="713" t="s">
        <v>2881</v>
      </c>
      <c r="B118" s="905">
        <f>ROUND(0.7275-0.01*B113,4)</f>
        <v>0.67859999999999998</v>
      </c>
      <c r="C118" s="905">
        <f>B118</f>
        <v>0.67859999999999998</v>
      </c>
      <c r="D118" s="905">
        <f>ROUND(0.7043-0.012*B113,4)</f>
        <v>0.64559999999999995</v>
      </c>
      <c r="E118" s="905">
        <f>D118</f>
        <v>0.64559999999999995</v>
      </c>
      <c r="F118" s="905">
        <f>E118</f>
        <v>0.64559999999999995</v>
      </c>
      <c r="G118" s="905">
        <f>ROUND(0.6299-0.0122*B113,4)</f>
        <v>0.57020000000000004</v>
      </c>
      <c r="H118" s="905">
        <f>G118</f>
        <v>0.57020000000000004</v>
      </c>
      <c r="I118" s="905">
        <f>ROUND(0.5667-0.0136*B113,4)</f>
        <v>0.50019999999999998</v>
      </c>
      <c r="J118" s="905">
        <f t="shared" si="33"/>
        <v>0.50019999999999998</v>
      </c>
      <c r="K118" s="905">
        <f t="shared" si="33"/>
        <v>0.50019999999999998</v>
      </c>
      <c r="L118" s="905">
        <f t="shared" si="33"/>
        <v>0.50019999999999998</v>
      </c>
      <c r="M118" s="906">
        <f t="shared" si="33"/>
        <v>0.50019999999999998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72" t="s">
        <v>183</v>
      </c>
      <c r="B18" s="875" t="s">
        <v>560</v>
      </c>
      <c r="C18" s="876" t="s">
        <v>561</v>
      </c>
      <c r="D18" s="877"/>
      <c r="E18" s="875">
        <v>1</v>
      </c>
      <c r="F18" s="878" t="s">
        <v>562</v>
      </c>
      <c r="G18" s="879"/>
      <c r="H18" s="871"/>
      <c r="I18" s="871"/>
    </row>
    <row r="19" spans="1:9" s="880" customFormat="1" ht="19.5" customHeight="1">
      <c r="A19" s="3372"/>
      <c r="B19" s="3372" t="s">
        <v>563</v>
      </c>
      <c r="C19" s="876" t="s">
        <v>564</v>
      </c>
      <c r="D19" s="877"/>
      <c r="E19" s="875">
        <v>0.9</v>
      </c>
      <c r="F19" s="878" t="s">
        <v>565</v>
      </c>
      <c r="G19" s="879"/>
      <c r="H19" s="871"/>
      <c r="I19" s="871"/>
    </row>
    <row r="20" spans="1:9" s="880" customFormat="1" ht="19.5" customHeight="1">
      <c r="A20" s="3372"/>
      <c r="B20" s="3372"/>
      <c r="C20" s="876" t="s">
        <v>566</v>
      </c>
      <c r="D20" s="877"/>
      <c r="E20" s="875">
        <v>1.1000000000000001</v>
      </c>
      <c r="F20" s="878" t="s">
        <v>567</v>
      </c>
      <c r="G20" s="879"/>
      <c r="H20" s="871"/>
      <c r="I20" s="871"/>
    </row>
    <row r="21" spans="1:9" s="880" customFormat="1" ht="19.5" customHeight="1">
      <c r="A21" s="3372"/>
      <c r="B21" s="3372"/>
      <c r="C21" s="876" t="s">
        <v>568</v>
      </c>
      <c r="D21" s="877"/>
      <c r="E21" s="875">
        <v>0.8</v>
      </c>
      <c r="F21" s="878" t="s">
        <v>569</v>
      </c>
      <c r="G21" s="879"/>
      <c r="H21" s="871"/>
      <c r="I21" s="871"/>
    </row>
    <row r="22" spans="1:9" s="880" customFormat="1" ht="19.5" customHeight="1">
      <c r="A22" s="3372"/>
      <c r="B22" s="3372"/>
      <c r="C22" s="876" t="s">
        <v>570</v>
      </c>
      <c r="D22" s="877"/>
      <c r="E22" s="875">
        <v>0.5</v>
      </c>
      <c r="F22" s="878"/>
      <c r="G22" s="879"/>
      <c r="H22" s="871"/>
      <c r="I22" s="871"/>
    </row>
    <row r="23" spans="1:9" s="880" customFormat="1" ht="19.5" customHeight="1">
      <c r="A23" s="3372" t="s">
        <v>184</v>
      </c>
      <c r="B23" s="875" t="s">
        <v>560</v>
      </c>
      <c r="C23" s="876" t="s">
        <v>571</v>
      </c>
      <c r="D23" s="877"/>
      <c r="E23" s="875">
        <v>1</v>
      </c>
      <c r="F23" s="878" t="s">
        <v>572</v>
      </c>
      <c r="G23" s="879"/>
      <c r="H23" s="871"/>
      <c r="I23" s="871"/>
    </row>
    <row r="24" spans="1:9" s="880" customFormat="1" ht="19.5" customHeight="1">
      <c r="A24" s="3372"/>
      <c r="B24" s="3372" t="s">
        <v>563</v>
      </c>
      <c r="C24" s="876" t="s">
        <v>573</v>
      </c>
      <c r="D24" s="877"/>
      <c r="E24" s="875">
        <v>0.5</v>
      </c>
      <c r="F24" s="878"/>
      <c r="G24" s="879"/>
      <c r="H24" s="871"/>
      <c r="I24" s="871"/>
    </row>
    <row r="25" spans="1:9" s="880" customFormat="1" ht="19.5" customHeight="1">
      <c r="A25" s="3372"/>
      <c r="B25" s="3372"/>
      <c r="C25" s="876" t="s">
        <v>574</v>
      </c>
      <c r="D25" s="877"/>
      <c r="E25" s="875">
        <v>1.1000000000000001</v>
      </c>
      <c r="F25" s="878"/>
      <c r="G25" s="879"/>
      <c r="H25" s="871"/>
      <c r="I25" s="871"/>
    </row>
    <row r="26" spans="1:9" s="880" customFormat="1" ht="19.5" customHeight="1">
      <c r="A26" s="3372"/>
      <c r="B26" s="3372"/>
      <c r="C26" s="876" t="s">
        <v>575</v>
      </c>
      <c r="D26" s="877"/>
      <c r="E26" s="875">
        <v>1.1000000000000001</v>
      </c>
      <c r="F26" s="878"/>
      <c r="G26" s="879"/>
      <c r="H26" s="871"/>
      <c r="I26" s="871"/>
    </row>
    <row r="27" spans="1:9" s="880" customFormat="1" ht="19.5" customHeight="1">
      <c r="A27" s="3372"/>
      <c r="B27" s="3372"/>
      <c r="C27" s="876" t="s">
        <v>576</v>
      </c>
      <c r="D27" s="877"/>
      <c r="E27" s="875">
        <v>0.9</v>
      </c>
      <c r="F27" s="878" t="s">
        <v>577</v>
      </c>
      <c r="G27" s="879"/>
      <c r="H27" s="871"/>
      <c r="I27" s="871"/>
    </row>
    <row r="28" spans="1:9" s="880" customFormat="1" ht="19.5" customHeight="1">
      <c r="A28" s="3372"/>
      <c r="B28" s="3372"/>
      <c r="C28" s="876" t="s">
        <v>578</v>
      </c>
      <c r="D28" s="877"/>
      <c r="E28" s="875">
        <v>0.9</v>
      </c>
      <c r="F28" s="878" t="s">
        <v>579</v>
      </c>
      <c r="G28" s="879"/>
      <c r="H28" s="871"/>
      <c r="I28" s="871"/>
    </row>
    <row r="29" spans="1:9" s="880" customFormat="1" ht="19.5" customHeight="1">
      <c r="A29" s="3372"/>
      <c r="B29" s="3372"/>
      <c r="C29" s="876" t="s">
        <v>580</v>
      </c>
      <c r="D29" s="877"/>
      <c r="E29" s="875">
        <v>0.9</v>
      </c>
      <c r="F29" s="878" t="s">
        <v>581</v>
      </c>
      <c r="G29" s="879"/>
      <c r="H29" s="871"/>
      <c r="I29" s="871"/>
    </row>
    <row r="30" spans="1:9" s="880" customFormat="1" ht="19.5" customHeight="1">
      <c r="A30" s="3372"/>
      <c r="B30" s="3372"/>
      <c r="C30" s="876" t="s">
        <v>582</v>
      </c>
      <c r="D30" s="877"/>
      <c r="E30" s="875">
        <v>0.9</v>
      </c>
      <c r="F30" s="878" t="s">
        <v>583</v>
      </c>
      <c r="G30" s="879"/>
      <c r="H30" s="871"/>
      <c r="I30" s="871"/>
    </row>
    <row r="31" spans="1:9" s="880" customFormat="1" ht="19.5" customHeight="1">
      <c r="A31" s="3372"/>
      <c r="B31" s="3372"/>
      <c r="C31" s="876" t="s">
        <v>584</v>
      </c>
      <c r="D31" s="877"/>
      <c r="E31" s="875">
        <v>0.8</v>
      </c>
      <c r="F31" s="878" t="s">
        <v>585</v>
      </c>
      <c r="G31" s="879"/>
      <c r="H31" s="871"/>
      <c r="I31" s="871"/>
    </row>
    <row r="32" spans="1:9" s="880" customFormat="1" ht="19.5" customHeight="1">
      <c r="A32" s="3372"/>
      <c r="B32" s="3372"/>
      <c r="C32" s="876" t="s">
        <v>586</v>
      </c>
      <c r="D32" s="877"/>
      <c r="E32" s="875">
        <v>0.8</v>
      </c>
      <c r="F32" s="878" t="s">
        <v>587</v>
      </c>
      <c r="G32" s="879"/>
      <c r="H32" s="871"/>
      <c r="I32" s="871"/>
    </row>
    <row r="33" spans="1:9" s="880" customFormat="1" ht="19.5" customHeight="1">
      <c r="A33" s="3372" t="s">
        <v>185</v>
      </c>
      <c r="B33" s="875" t="s">
        <v>560</v>
      </c>
      <c r="C33" s="876" t="s">
        <v>588</v>
      </c>
      <c r="D33" s="877"/>
      <c r="E33" s="875">
        <v>1</v>
      </c>
      <c r="F33" s="878" t="s">
        <v>589</v>
      </c>
      <c r="G33" s="879"/>
      <c r="H33" s="871"/>
      <c r="I33" s="871"/>
    </row>
    <row r="34" spans="1:9" s="880" customFormat="1" ht="19.5" customHeight="1">
      <c r="A34" s="3372"/>
      <c r="B34" s="875" t="s">
        <v>563</v>
      </c>
      <c r="C34" s="876" t="s">
        <v>590</v>
      </c>
      <c r="D34" s="877"/>
      <c r="E34" s="875">
        <v>1.5</v>
      </c>
      <c r="F34" s="878" t="s">
        <v>591</v>
      </c>
      <c r="G34" s="879"/>
      <c r="H34" s="871"/>
      <c r="I34" s="871"/>
    </row>
    <row r="35" spans="1:9" s="880" customFormat="1" ht="19.5" customHeight="1">
      <c r="A35" s="3372" t="s">
        <v>186</v>
      </c>
      <c r="B35" s="875" t="s">
        <v>560</v>
      </c>
      <c r="C35" s="876" t="s">
        <v>592</v>
      </c>
      <c r="D35" s="877"/>
      <c r="E35" s="875">
        <v>1</v>
      </c>
      <c r="F35" s="878" t="s">
        <v>593</v>
      </c>
      <c r="G35" s="879"/>
      <c r="H35" s="871"/>
      <c r="I35" s="871"/>
    </row>
    <row r="36" spans="1:9" s="880" customFormat="1" ht="19.5" customHeight="1">
      <c r="A36" s="3372"/>
      <c r="B36" s="3372" t="s">
        <v>563</v>
      </c>
      <c r="C36" s="876" t="s">
        <v>594</v>
      </c>
      <c r="D36" s="877"/>
      <c r="E36" s="875">
        <v>1</v>
      </c>
      <c r="F36" s="878" t="s">
        <v>595</v>
      </c>
      <c r="G36" s="879"/>
      <c r="H36" s="871"/>
      <c r="I36" s="871"/>
    </row>
    <row r="37" spans="1:9" s="880" customFormat="1" ht="19.5" customHeight="1">
      <c r="A37" s="3372"/>
      <c r="B37" s="3372"/>
      <c r="C37" s="876" t="s">
        <v>596</v>
      </c>
      <c r="D37" s="877"/>
      <c r="E37" s="875">
        <v>1.5</v>
      </c>
      <c r="F37" s="878" t="s">
        <v>597</v>
      </c>
      <c r="G37" s="879"/>
      <c r="H37" s="871"/>
      <c r="I37" s="871"/>
    </row>
    <row r="38" spans="1:9" s="880" customFormat="1" ht="19.5" customHeight="1">
      <c r="A38" s="3372"/>
      <c r="B38" s="3372"/>
      <c r="C38" s="876" t="s">
        <v>598</v>
      </c>
      <c r="D38" s="877"/>
      <c r="E38" s="875">
        <v>1</v>
      </c>
      <c r="F38" s="878" t="s">
        <v>599</v>
      </c>
      <c r="G38" s="879"/>
      <c r="H38" s="871"/>
      <c r="I38" s="871"/>
    </row>
    <row r="39" spans="1:9" s="880" customFormat="1" ht="19.5" customHeight="1">
      <c r="A39" s="3372"/>
      <c r="B39" s="337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72" t="s">
        <v>614</v>
      </c>
      <c r="C61" s="811" t="s">
        <v>615</v>
      </c>
      <c r="D61" s="811" t="s">
        <v>616</v>
      </c>
      <c r="E61" s="888">
        <v>0.5</v>
      </c>
      <c r="F61" s="875">
        <v>80</v>
      </c>
    </row>
    <row r="62" spans="1:8" s="871" customFormat="1" ht="24">
      <c r="A62" s="875">
        <v>2</v>
      </c>
      <c r="B62" s="3372"/>
      <c r="C62" s="811" t="s">
        <v>617</v>
      </c>
      <c r="D62" s="811" t="s">
        <v>618</v>
      </c>
      <c r="E62" s="888">
        <v>0.5</v>
      </c>
      <c r="F62" s="875">
        <v>80</v>
      </c>
    </row>
    <row r="63" spans="1:8" s="871" customFormat="1" ht="36">
      <c r="A63" s="875">
        <v>3</v>
      </c>
      <c r="B63" s="3372"/>
      <c r="C63" s="811" t="s">
        <v>619</v>
      </c>
      <c r="D63" s="811" t="s">
        <v>620</v>
      </c>
      <c r="E63" s="888">
        <v>0.5</v>
      </c>
      <c r="F63" s="875">
        <v>80</v>
      </c>
    </row>
    <row r="64" spans="1:8" s="871" customFormat="1" ht="36">
      <c r="A64" s="875">
        <v>4</v>
      </c>
      <c r="B64" s="3372"/>
      <c r="C64" s="811" t="s">
        <v>621</v>
      </c>
      <c r="D64" s="811" t="s">
        <v>622</v>
      </c>
      <c r="E64" s="888">
        <v>0.4</v>
      </c>
      <c r="F64" s="875">
        <v>60</v>
      </c>
    </row>
    <row r="65" spans="1:6" s="871" customFormat="1" ht="36">
      <c r="A65" s="875">
        <v>5</v>
      </c>
      <c r="B65" s="3372"/>
      <c r="C65" s="811" t="s">
        <v>623</v>
      </c>
      <c r="D65" s="811" t="s">
        <v>624</v>
      </c>
      <c r="E65" s="888">
        <v>0.2</v>
      </c>
      <c r="F65" s="875">
        <v>30</v>
      </c>
    </row>
    <row r="66" spans="1:6" s="871" customFormat="1" ht="36">
      <c r="A66" s="875">
        <v>6</v>
      </c>
      <c r="B66" s="3372"/>
      <c r="C66" s="811" t="s">
        <v>625</v>
      </c>
      <c r="D66" s="811" t="s">
        <v>626</v>
      </c>
      <c r="E66" s="888">
        <v>0.3</v>
      </c>
      <c r="F66" s="875">
        <v>50</v>
      </c>
    </row>
    <row r="67" spans="1:6" s="871" customFormat="1" ht="36">
      <c r="A67" s="875">
        <v>7</v>
      </c>
      <c r="B67" s="3372"/>
      <c r="C67" s="811" t="s">
        <v>627</v>
      </c>
      <c r="D67" s="811" t="s">
        <v>628</v>
      </c>
      <c r="E67" s="888">
        <v>0.2</v>
      </c>
      <c r="F67" s="875">
        <v>30</v>
      </c>
    </row>
    <row r="68" spans="1:6" s="871" customFormat="1" ht="36">
      <c r="A68" s="875">
        <v>8</v>
      </c>
      <c r="B68" s="3372"/>
      <c r="C68" s="811" t="s">
        <v>629</v>
      </c>
      <c r="D68" s="811" t="s">
        <v>630</v>
      </c>
      <c r="E68" s="888">
        <v>0.2</v>
      </c>
      <c r="F68" s="875">
        <v>30</v>
      </c>
    </row>
    <row r="69" spans="1:6" s="871" customFormat="1" ht="36">
      <c r="A69" s="875">
        <v>9</v>
      </c>
      <c r="B69" s="3372"/>
      <c r="C69" s="811" t="s">
        <v>631</v>
      </c>
      <c r="D69" s="811" t="s">
        <v>632</v>
      </c>
      <c r="E69" s="888">
        <v>0.2</v>
      </c>
      <c r="F69" s="875">
        <v>30</v>
      </c>
    </row>
    <row r="70" spans="1:6" s="871" customFormat="1" ht="48">
      <c r="A70" s="875">
        <v>10</v>
      </c>
      <c r="B70" s="3372"/>
      <c r="C70" s="811" t="s">
        <v>633</v>
      </c>
      <c r="D70" s="811" t="s">
        <v>634</v>
      </c>
      <c r="E70" s="888">
        <v>0.2</v>
      </c>
      <c r="F70" s="875">
        <v>30</v>
      </c>
    </row>
    <row r="71" spans="1:6" s="871" customFormat="1" ht="48">
      <c r="A71" s="875">
        <v>11</v>
      </c>
      <c r="B71" s="3372"/>
      <c r="C71" s="811" t="s">
        <v>635</v>
      </c>
      <c r="D71" s="811" t="s">
        <v>636</v>
      </c>
      <c r="E71" s="888">
        <v>0.2</v>
      </c>
      <c r="F71" s="875">
        <v>30</v>
      </c>
    </row>
    <row r="72" spans="1:6" s="871" customFormat="1" ht="36">
      <c r="A72" s="875">
        <v>12</v>
      </c>
      <c r="B72" s="3372"/>
      <c r="C72" s="811" t="s">
        <v>637</v>
      </c>
      <c r="D72" s="811" t="s">
        <v>638</v>
      </c>
      <c r="E72" s="888">
        <v>0.5</v>
      </c>
      <c r="F72" s="875">
        <v>80</v>
      </c>
    </row>
    <row r="73" spans="1:6" s="871" customFormat="1" ht="24">
      <c r="A73" s="875">
        <v>13</v>
      </c>
      <c r="B73" s="3372"/>
      <c r="C73" s="811" t="s">
        <v>639</v>
      </c>
      <c r="D73" s="811" t="s">
        <v>640</v>
      </c>
      <c r="E73" s="888">
        <v>0.4</v>
      </c>
      <c r="F73" s="875">
        <v>60</v>
      </c>
    </row>
    <row r="74" spans="1:6" s="871" customFormat="1" ht="24">
      <c r="A74" s="875">
        <v>14</v>
      </c>
      <c r="B74" s="3372"/>
      <c r="C74" s="811" t="s">
        <v>641</v>
      </c>
      <c r="D74" s="811" t="s">
        <v>642</v>
      </c>
      <c r="E74" s="888">
        <v>0.2</v>
      </c>
      <c r="F74" s="875">
        <v>30</v>
      </c>
    </row>
    <row r="75" spans="1:6" s="871" customFormat="1" ht="24">
      <c r="A75" s="875">
        <v>15</v>
      </c>
      <c r="B75" s="3372"/>
      <c r="C75" s="811" t="s">
        <v>643</v>
      </c>
      <c r="D75" s="811" t="s">
        <v>644</v>
      </c>
      <c r="E75" s="888">
        <v>0.2</v>
      </c>
      <c r="F75" s="875">
        <v>30</v>
      </c>
    </row>
    <row r="76" spans="1:6" s="871" customFormat="1" ht="24">
      <c r="A76" s="875">
        <v>16</v>
      </c>
      <c r="B76" s="3372" t="s">
        <v>645</v>
      </c>
      <c r="C76" s="811" t="s">
        <v>646</v>
      </c>
      <c r="D76" s="811" t="s">
        <v>647</v>
      </c>
      <c r="E76" s="888">
        <v>0.5</v>
      </c>
      <c r="F76" s="875">
        <v>80</v>
      </c>
    </row>
    <row r="77" spans="1:6" s="871" customFormat="1" ht="24">
      <c r="A77" s="875">
        <v>17</v>
      </c>
      <c r="B77" s="3372"/>
      <c r="C77" s="811" t="s">
        <v>648</v>
      </c>
      <c r="D77" s="811" t="s">
        <v>649</v>
      </c>
      <c r="E77" s="888">
        <v>0.5</v>
      </c>
      <c r="F77" s="875">
        <v>80</v>
      </c>
    </row>
    <row r="78" spans="1:6" s="871" customFormat="1" ht="24">
      <c r="A78" s="875">
        <v>18</v>
      </c>
      <c r="B78" s="3372"/>
      <c r="C78" s="811" t="s">
        <v>650</v>
      </c>
      <c r="D78" s="811" t="s">
        <v>651</v>
      </c>
      <c r="E78" s="888">
        <v>0.2</v>
      </c>
      <c r="F78" s="875">
        <v>30</v>
      </c>
    </row>
    <row r="79" spans="1:6" s="871" customFormat="1" ht="24">
      <c r="A79" s="875">
        <v>19</v>
      </c>
      <c r="B79" s="3372"/>
      <c r="C79" s="811" t="s">
        <v>652</v>
      </c>
      <c r="D79" s="811" t="s">
        <v>653</v>
      </c>
      <c r="E79" s="888">
        <v>0.5</v>
      </c>
      <c r="F79" s="875">
        <v>80</v>
      </c>
    </row>
    <row r="80" spans="1:6" s="871" customFormat="1" ht="36">
      <c r="A80" s="875">
        <v>20</v>
      </c>
      <c r="B80" s="3372"/>
      <c r="C80" s="811" t="s">
        <v>654</v>
      </c>
      <c r="D80" s="811" t="s">
        <v>655</v>
      </c>
      <c r="E80" s="888">
        <v>0.2</v>
      </c>
      <c r="F80" s="875">
        <v>30</v>
      </c>
    </row>
    <row r="81" spans="1:6" s="871" customFormat="1" ht="36">
      <c r="A81" s="875">
        <v>21</v>
      </c>
      <c r="B81" s="3372"/>
      <c r="C81" s="811" t="s">
        <v>656</v>
      </c>
      <c r="D81" s="811" t="s">
        <v>657</v>
      </c>
      <c r="E81" s="888">
        <v>0.2</v>
      </c>
      <c r="F81" s="875">
        <v>30</v>
      </c>
    </row>
    <row r="82" spans="1:6" s="871" customFormat="1" ht="48">
      <c r="A82" s="875">
        <v>22</v>
      </c>
      <c r="B82" s="3372"/>
      <c r="C82" s="811" t="s">
        <v>658</v>
      </c>
      <c r="D82" s="811" t="s">
        <v>659</v>
      </c>
      <c r="E82" s="888">
        <v>0.2</v>
      </c>
      <c r="F82" s="875">
        <v>30</v>
      </c>
    </row>
    <row r="83" spans="1:6" s="871" customFormat="1" ht="48">
      <c r="A83" s="875">
        <v>23</v>
      </c>
      <c r="B83" s="3372"/>
      <c r="C83" s="811" t="s">
        <v>660</v>
      </c>
      <c r="D83" s="811" t="s">
        <v>661</v>
      </c>
      <c r="E83" s="888">
        <v>0.2</v>
      </c>
      <c r="F83" s="875">
        <v>30</v>
      </c>
    </row>
    <row r="84" spans="1:6" s="871" customFormat="1" ht="36">
      <c r="A84" s="875">
        <v>24</v>
      </c>
      <c r="B84" s="3372"/>
      <c r="C84" s="811" t="s">
        <v>662</v>
      </c>
      <c r="D84" s="811" t="s">
        <v>663</v>
      </c>
      <c r="E84" s="888">
        <v>0.2</v>
      </c>
      <c r="F84" s="875">
        <v>30</v>
      </c>
    </row>
    <row r="85" spans="1:6" s="871" customFormat="1" ht="36">
      <c r="A85" s="875">
        <v>25</v>
      </c>
      <c r="B85" s="3372"/>
      <c r="C85" s="811" t="s">
        <v>664</v>
      </c>
      <c r="D85" s="811" t="s">
        <v>665</v>
      </c>
      <c r="E85" s="888">
        <v>0.5</v>
      </c>
      <c r="F85" s="875">
        <v>80</v>
      </c>
    </row>
    <row r="86" spans="1:6" s="871" customFormat="1" ht="36">
      <c r="A86" s="875">
        <v>26</v>
      </c>
      <c r="B86" s="3372"/>
      <c r="C86" s="811" t="s">
        <v>666</v>
      </c>
      <c r="D86" s="811" t="s">
        <v>667</v>
      </c>
      <c r="E86" s="888">
        <v>0.2</v>
      </c>
      <c r="F86" s="875">
        <v>30</v>
      </c>
    </row>
    <row r="87" spans="1:6" s="871" customFormat="1" ht="36">
      <c r="A87" s="875">
        <v>27</v>
      </c>
      <c r="B87" s="3372"/>
      <c r="C87" s="811" t="s">
        <v>668</v>
      </c>
      <c r="D87" s="811" t="s">
        <v>669</v>
      </c>
      <c r="E87" s="888">
        <v>0.2</v>
      </c>
      <c r="F87" s="875">
        <v>30</v>
      </c>
    </row>
    <row r="88" spans="1:6" s="871" customFormat="1" ht="36">
      <c r="A88" s="875">
        <v>28</v>
      </c>
      <c r="B88" s="3372"/>
      <c r="C88" s="811" t="s">
        <v>670</v>
      </c>
      <c r="D88" s="811" t="s">
        <v>671</v>
      </c>
      <c r="E88" s="888">
        <v>0.2</v>
      </c>
      <c r="F88" s="875">
        <v>30</v>
      </c>
    </row>
    <row r="89" spans="1:6" s="871" customFormat="1" ht="24">
      <c r="A89" s="875">
        <v>29</v>
      </c>
      <c r="B89" s="3372"/>
      <c r="C89" s="811" t="s">
        <v>672</v>
      </c>
      <c r="D89" s="811" t="s">
        <v>673</v>
      </c>
      <c r="E89" s="888">
        <v>0.2</v>
      </c>
      <c r="F89" s="875">
        <v>30</v>
      </c>
    </row>
    <row r="90" spans="1:6" s="871" customFormat="1" ht="24">
      <c r="A90" s="875">
        <v>30</v>
      </c>
      <c r="B90" s="3372"/>
      <c r="C90" s="811" t="s">
        <v>674</v>
      </c>
      <c r="D90" s="811" t="s">
        <v>675</v>
      </c>
      <c r="E90" s="888">
        <v>0.2</v>
      </c>
      <c r="F90" s="875">
        <v>30</v>
      </c>
    </row>
    <row r="91" spans="1:6" s="871" customFormat="1" ht="36">
      <c r="A91" s="875">
        <v>31</v>
      </c>
      <c r="B91" s="3372"/>
      <c r="C91" s="811" t="s">
        <v>676</v>
      </c>
      <c r="D91" s="811" t="s">
        <v>677</v>
      </c>
      <c r="E91" s="888">
        <v>0.2</v>
      </c>
      <c r="F91" s="875">
        <v>30</v>
      </c>
    </row>
    <row r="92" spans="1:6" s="871" customFormat="1" ht="24">
      <c r="A92" s="875">
        <v>32</v>
      </c>
      <c r="B92" s="3372" t="s">
        <v>678</v>
      </c>
      <c r="C92" s="875" t="s">
        <v>679</v>
      </c>
      <c r="D92" s="811" t="s">
        <v>680</v>
      </c>
      <c r="E92" s="888">
        <v>0.2</v>
      </c>
      <c r="F92" s="875">
        <v>30</v>
      </c>
    </row>
    <row r="93" spans="1:6" s="871" customFormat="1" ht="36">
      <c r="A93" s="875">
        <v>33</v>
      </c>
      <c r="B93" s="3372"/>
      <c r="C93" s="875" t="s">
        <v>681</v>
      </c>
      <c r="D93" s="811" t="s">
        <v>682</v>
      </c>
      <c r="E93" s="888">
        <v>0.2</v>
      </c>
      <c r="F93" s="875">
        <v>30</v>
      </c>
    </row>
    <row r="94" spans="1:6" s="871" customFormat="1" ht="48">
      <c r="A94" s="875">
        <v>34</v>
      </c>
      <c r="B94" s="3372"/>
      <c r="C94" s="875" t="s">
        <v>683</v>
      </c>
      <c r="D94" s="811" t="s">
        <v>684</v>
      </c>
      <c r="E94" s="888">
        <v>0.2</v>
      </c>
      <c r="F94" s="875">
        <v>30</v>
      </c>
    </row>
    <row r="95" spans="1:6" s="871" customFormat="1" ht="36">
      <c r="A95" s="875">
        <v>35</v>
      </c>
      <c r="B95" s="3372"/>
      <c r="C95" s="875" t="s">
        <v>685</v>
      </c>
      <c r="D95" s="811" t="s">
        <v>686</v>
      </c>
      <c r="E95" s="888">
        <v>0.2</v>
      </c>
      <c r="F95" s="875">
        <v>30</v>
      </c>
    </row>
    <row r="96" spans="1:6" s="871" customFormat="1" ht="48">
      <c r="A96" s="875">
        <v>36</v>
      </c>
      <c r="B96" s="3372"/>
      <c r="C96" s="811" t="s">
        <v>687</v>
      </c>
      <c r="D96" s="811" t="s">
        <v>688</v>
      </c>
      <c r="E96" s="888">
        <v>0.2</v>
      </c>
      <c r="F96" s="875">
        <v>30</v>
      </c>
    </row>
    <row r="97" spans="1:6" s="871" customFormat="1" ht="36">
      <c r="A97" s="875">
        <v>37</v>
      </c>
      <c r="B97" s="3372"/>
      <c r="C97" s="875" t="s">
        <v>689</v>
      </c>
      <c r="D97" s="811" t="s">
        <v>690</v>
      </c>
      <c r="E97" s="888">
        <v>0.2</v>
      </c>
      <c r="F97" s="875">
        <v>30</v>
      </c>
    </row>
    <row r="98" spans="1:6" s="871" customFormat="1" ht="36">
      <c r="A98" s="875">
        <v>38</v>
      </c>
      <c r="B98" s="3372"/>
      <c r="C98" s="875" t="s">
        <v>691</v>
      </c>
      <c r="D98" s="811" t="s">
        <v>692</v>
      </c>
      <c r="E98" s="888">
        <v>0.2</v>
      </c>
      <c r="F98" s="875">
        <v>30</v>
      </c>
    </row>
    <row r="99" spans="1:6" s="871" customFormat="1" ht="36">
      <c r="A99" s="875">
        <v>39</v>
      </c>
      <c r="B99" s="3372" t="s">
        <v>693</v>
      </c>
      <c r="C99" s="875" t="s">
        <v>694</v>
      </c>
      <c r="D99" s="811" t="s">
        <v>695</v>
      </c>
      <c r="E99" s="888">
        <v>0.3</v>
      </c>
      <c r="F99" s="875">
        <v>50</v>
      </c>
    </row>
    <row r="100" spans="1:6" s="871" customFormat="1" ht="24">
      <c r="A100" s="875">
        <v>40</v>
      </c>
      <c r="B100" s="3372"/>
      <c r="C100" s="875" t="s">
        <v>696</v>
      </c>
      <c r="D100" s="811" t="s">
        <v>697</v>
      </c>
      <c r="E100" s="888">
        <v>0.2</v>
      </c>
      <c r="F100" s="875">
        <v>30</v>
      </c>
    </row>
    <row r="101" spans="1:6" s="871" customFormat="1" ht="36">
      <c r="A101" s="875">
        <v>41</v>
      </c>
      <c r="B101" s="337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72" t="s">
        <v>708</v>
      </c>
      <c r="C105" s="875" t="s">
        <v>709</v>
      </c>
      <c r="D105" s="811" t="s">
        <v>710</v>
      </c>
      <c r="E105" s="888">
        <v>0.2</v>
      </c>
      <c r="F105" s="875">
        <v>30</v>
      </c>
    </row>
    <row r="106" spans="1:6" s="871" customFormat="1" ht="36">
      <c r="A106" s="875">
        <v>46</v>
      </c>
      <c r="B106" s="3372"/>
      <c r="C106" s="875" t="s">
        <v>711</v>
      </c>
      <c r="D106" s="811" t="s">
        <v>712</v>
      </c>
      <c r="E106" s="888">
        <v>0.2</v>
      </c>
      <c r="F106" s="875">
        <v>30</v>
      </c>
    </row>
    <row r="107" spans="1:6" s="871" customFormat="1" ht="36">
      <c r="A107" s="875">
        <v>47</v>
      </c>
      <c r="B107" s="3372" t="s">
        <v>713</v>
      </c>
      <c r="C107" s="875" t="s">
        <v>714</v>
      </c>
      <c r="D107" s="811" t="s">
        <v>715</v>
      </c>
      <c r="E107" s="888">
        <v>0.3</v>
      </c>
      <c r="F107" s="875">
        <v>50</v>
      </c>
    </row>
    <row r="108" spans="1:6" s="871" customFormat="1" ht="36">
      <c r="A108" s="875">
        <v>48</v>
      </c>
      <c r="B108" s="337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72" t="s">
        <v>724</v>
      </c>
      <c r="C111" s="875" t="s">
        <v>725</v>
      </c>
      <c r="D111" s="811" t="s">
        <v>726</v>
      </c>
      <c r="E111" s="888">
        <v>0.2</v>
      </c>
      <c r="F111" s="875">
        <v>30</v>
      </c>
    </row>
    <row r="112" spans="1:6" s="871" customFormat="1" ht="24">
      <c r="A112" s="875">
        <v>52</v>
      </c>
      <c r="B112" s="3372"/>
      <c r="C112" s="875" t="s">
        <v>727</v>
      </c>
      <c r="D112" s="811" t="s">
        <v>728</v>
      </c>
      <c r="E112" s="888">
        <v>0.2</v>
      </c>
      <c r="F112" s="875">
        <v>30</v>
      </c>
    </row>
    <row r="113" spans="1:6" s="871" customFormat="1" ht="24">
      <c r="A113" s="875">
        <v>53</v>
      </c>
      <c r="B113" s="337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72" t="s">
        <v>737</v>
      </c>
      <c r="C116" s="875" t="s">
        <v>738</v>
      </c>
      <c r="D116" s="811" t="s">
        <v>739</v>
      </c>
      <c r="E116" s="888">
        <v>0.2</v>
      </c>
      <c r="F116" s="875">
        <v>30</v>
      </c>
    </row>
    <row r="117" spans="1:6" ht="36">
      <c r="A117" s="875">
        <v>57</v>
      </c>
      <c r="B117" s="337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0.74529999999999996</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5401</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5401</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78" t="s">
        <v>1150</v>
      </c>
      <c r="C1" s="3378"/>
      <c r="D1" s="3378"/>
      <c r="E1" s="3378"/>
      <c r="F1" s="3378"/>
      <c r="G1" s="3377" t="s">
        <v>1151</v>
      </c>
      <c r="H1" s="3377"/>
      <c r="I1" s="3377"/>
      <c r="J1" s="3377"/>
      <c r="K1" s="3377"/>
      <c r="L1" s="3377"/>
      <c r="N1" s="3377" t="s">
        <v>1152</v>
      </c>
      <c r="O1" s="3377"/>
      <c r="P1" s="3377"/>
      <c r="Q1" s="3377"/>
      <c r="R1" s="1442"/>
      <c r="S1" s="3377" t="s">
        <v>1153</v>
      </c>
      <c r="T1" s="3377"/>
      <c r="U1" s="3377"/>
      <c r="V1" s="3377"/>
      <c r="X1" s="3376" t="s">
        <v>1154</v>
      </c>
      <c r="Y1" s="3377"/>
      <c r="Z1" s="3377"/>
      <c r="AA1" s="3377"/>
      <c r="AB1" s="3377"/>
      <c r="AD1" s="3376" t="s">
        <v>1155</v>
      </c>
      <c r="AE1" s="3377"/>
      <c r="AF1" s="3377"/>
      <c r="AG1" s="3377"/>
      <c r="AH1" s="3377"/>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9">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4"/>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4"/>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5"/>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73">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4"/>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4"/>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5"/>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73">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4"/>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4"/>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5"/>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80">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81"/>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81"/>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82"/>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73">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74"/>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74"/>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5"/>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73">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4">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74">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5">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73">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4">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74">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5">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73">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4">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74">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5">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73">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4">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74">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5">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73">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4">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74">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5">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73">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4">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74">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5">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73">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4">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74">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5">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73">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4">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74">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5">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73">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74">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74">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5">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73">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74">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74">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5">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84" t="s">
        <v>3006</v>
      </c>
      <c r="D1" s="3385"/>
      <c r="E1" s="3385"/>
      <c r="F1" s="3385"/>
      <c r="G1" s="3385"/>
      <c r="H1" s="3385"/>
      <c r="I1" s="3385"/>
      <c r="J1" s="3385"/>
      <c r="K1" s="3385"/>
      <c r="L1" s="3385"/>
      <c r="M1" s="3385"/>
      <c r="N1" s="3385"/>
      <c r="O1" s="3385"/>
      <c r="P1" s="3385"/>
      <c r="Q1" s="3385"/>
      <c r="R1" s="3385"/>
      <c r="S1" s="3386"/>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245" t="s">
        <v>33</v>
      </c>
      <c r="D22" s="3246"/>
      <c r="E22" s="3246"/>
      <c r="F22" s="3246"/>
      <c r="G22" s="3246"/>
      <c r="H22" s="3246"/>
      <c r="I22" s="3246"/>
      <c r="J22" s="3246"/>
      <c r="K22" s="3246"/>
      <c r="L22" s="3246"/>
      <c r="M22" s="3246"/>
      <c r="N22" s="3246"/>
      <c r="O22" s="3246"/>
      <c r="P22" s="3246"/>
      <c r="Q22" s="3383"/>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topLeftCell="A28" zoomScale="90" zoomScaleNormal="90" workbookViewId="0">
      <selection activeCell="J42" sqref="J42"/>
    </sheetView>
  </sheetViews>
  <sheetFormatPr defaultRowHeight="13.5"/>
  <cols>
    <col min="1" max="1" width="17.25" style="1631" customWidth="1"/>
    <col min="2" max="2" width="17.75" style="1631" customWidth="1"/>
    <col min="3" max="3" width="14.75" style="1631" customWidth="1"/>
    <col min="4" max="4" width="18" style="1631" customWidth="1"/>
    <col min="5" max="5" width="11.625" style="1631" customWidth="1"/>
    <col min="6" max="6" width="10.5" style="1631" bestFit="1" customWidth="1"/>
    <col min="7" max="13" width="9" style="1631"/>
    <col min="14" max="14" width="9.5" style="1631" bestFit="1" customWidth="1"/>
    <col min="15" max="16384" width="9" style="1631"/>
  </cols>
  <sheetData>
    <row r="1" spans="1:12">
      <c r="A1" s="3400" t="s">
        <v>3071</v>
      </c>
      <c r="B1" s="3400"/>
      <c r="C1" s="3400"/>
      <c r="D1" s="3400"/>
    </row>
    <row r="2" spans="1:12">
      <c r="A2" s="2938" t="s">
        <v>3072</v>
      </c>
      <c r="B2" s="2938" t="s">
        <v>3073</v>
      </c>
      <c r="C2" s="2938" t="s">
        <v>3074</v>
      </c>
      <c r="D2" s="2938" t="s">
        <v>1375</v>
      </c>
      <c r="E2" s="3040" t="s">
        <v>3444</v>
      </c>
      <c r="F2" s="3040" t="s">
        <v>3445</v>
      </c>
    </row>
    <row r="3" spans="1:12" s="2966" customFormat="1">
      <c r="A3" s="3401"/>
      <c r="B3" s="2965"/>
      <c r="C3" s="2941"/>
      <c r="D3" s="2960" t="s">
        <v>27</v>
      </c>
      <c r="E3" s="3041">
        <f ca="1">'结果表（办公）'!G20</f>
        <v>43650</v>
      </c>
      <c r="F3" s="3041">
        <f ca="1">ROUND(C3*E3/10000,0)</f>
        <v>0</v>
      </c>
      <c r="I3" s="2967" t="s">
        <v>3185</v>
      </c>
      <c r="J3" s="2967" t="s">
        <v>3186</v>
      </c>
      <c r="K3" s="2967" t="s">
        <v>3187</v>
      </c>
      <c r="L3" s="2967" t="s">
        <v>3183</v>
      </c>
    </row>
    <row r="4" spans="1:12">
      <c r="A4" s="3388"/>
      <c r="B4" s="2940"/>
      <c r="C4" s="2941"/>
      <c r="D4" s="2939" t="s">
        <v>27</v>
      </c>
      <c r="E4" s="3042">
        <f ca="1">E3</f>
        <v>43650</v>
      </c>
      <c r="F4" s="3041">
        <f t="shared" ref="F4:F25" ca="1" si="0">ROUND(C4*E4/10000,0)</f>
        <v>0</v>
      </c>
      <c r="H4" s="2968" t="s">
        <v>3184</v>
      </c>
      <c r="I4" s="1631">
        <f>C26+C68+C97+C373+C416+C478+C534+C579-C429-C430-C431-C432-C433-C434-C435-C436</f>
        <v>13076.410000000002</v>
      </c>
      <c r="J4" s="1631">
        <f>C115+C670+C769+C583+C826+C429+C430+C431+C432+C433+C434+C435+C436</f>
        <v>862.38999999999987</v>
      </c>
      <c r="K4" s="1631">
        <f>C298+C665+C764+C822+C889</f>
        <v>3026.9400000000051</v>
      </c>
    </row>
    <row r="5" spans="1:12">
      <c r="A5" s="3388"/>
      <c r="B5" s="2939"/>
      <c r="C5" s="2941"/>
      <c r="D5" s="2939" t="s">
        <v>27</v>
      </c>
      <c r="E5" s="3042">
        <f t="shared" ref="E5:E25" ca="1" si="1">E4</f>
        <v>43650</v>
      </c>
      <c r="F5" s="3041">
        <f t="shared" ca="1" si="0"/>
        <v>0</v>
      </c>
    </row>
    <row r="6" spans="1:12">
      <c r="A6" s="3388"/>
      <c r="B6" s="2939"/>
      <c r="C6" s="2941"/>
      <c r="D6" s="2939" t="s">
        <v>27</v>
      </c>
      <c r="E6" s="3042">
        <f t="shared" ca="1" si="1"/>
        <v>43650</v>
      </c>
      <c r="F6" s="3041">
        <f t="shared" ca="1" si="0"/>
        <v>0</v>
      </c>
    </row>
    <row r="7" spans="1:12">
      <c r="A7" s="3388"/>
      <c r="B7" s="2939"/>
      <c r="C7" s="2941"/>
      <c r="D7" s="2939" t="s">
        <v>27</v>
      </c>
      <c r="E7" s="3042">
        <f t="shared" ca="1" si="1"/>
        <v>43650</v>
      </c>
      <c r="F7" s="3041">
        <f t="shared" ca="1" si="0"/>
        <v>0</v>
      </c>
      <c r="I7" s="2968" t="s">
        <v>3440</v>
      </c>
      <c r="J7" s="2968" t="s">
        <v>3441</v>
      </c>
      <c r="L7" s="2968"/>
    </row>
    <row r="8" spans="1:12">
      <c r="A8" s="3388"/>
      <c r="B8" s="2939"/>
      <c r="C8" s="2941"/>
      <c r="D8" s="2939" t="s">
        <v>27</v>
      </c>
      <c r="E8" s="3042">
        <f t="shared" ca="1" si="1"/>
        <v>43650</v>
      </c>
      <c r="F8" s="3041">
        <f t="shared" ca="1" si="0"/>
        <v>0</v>
      </c>
      <c r="I8" s="1631">
        <f>K4-J8</f>
        <v>3026.9400000000051</v>
      </c>
      <c r="J8" s="1631">
        <v>0</v>
      </c>
    </row>
    <row r="9" spans="1:12">
      <c r="A9" s="3388"/>
      <c r="B9" s="2939"/>
      <c r="C9" s="2941"/>
      <c r="D9" s="2939" t="s">
        <v>27</v>
      </c>
      <c r="E9" s="3042">
        <f t="shared" ca="1" si="1"/>
        <v>43650</v>
      </c>
      <c r="F9" s="3041">
        <f t="shared" ca="1" si="0"/>
        <v>0</v>
      </c>
      <c r="H9" s="2968" t="s">
        <v>3442</v>
      </c>
      <c r="I9" s="1631">
        <v>1.5</v>
      </c>
      <c r="J9" s="1631">
        <f>ROUND(I9*1.5,1)</f>
        <v>2.2999999999999998</v>
      </c>
    </row>
    <row r="10" spans="1:12">
      <c r="A10" s="3388"/>
      <c r="B10" s="2939"/>
      <c r="C10" s="2941"/>
      <c r="D10" s="2939" t="s">
        <v>27</v>
      </c>
      <c r="E10" s="3042">
        <f t="shared" ca="1" si="1"/>
        <v>43650</v>
      </c>
      <c r="F10" s="3041">
        <f t="shared" ca="1" si="0"/>
        <v>0</v>
      </c>
    </row>
    <row r="11" spans="1:12">
      <c r="A11" s="3388"/>
      <c r="B11" s="2939"/>
      <c r="C11" s="2941"/>
      <c r="D11" s="2939" t="s">
        <v>27</v>
      </c>
      <c r="E11" s="3042">
        <f t="shared" ca="1" si="1"/>
        <v>43650</v>
      </c>
      <c r="F11" s="3041">
        <f t="shared" ca="1" si="0"/>
        <v>0</v>
      </c>
      <c r="I11" s="1631">
        <f>ROUND((I8*I9+J8*J9)/K4,1)</f>
        <v>1.5</v>
      </c>
    </row>
    <row r="12" spans="1:12">
      <c r="A12" s="3388"/>
      <c r="B12" s="2939"/>
      <c r="C12" s="2941"/>
      <c r="D12" s="2939" t="s">
        <v>27</v>
      </c>
      <c r="E12" s="3042">
        <f t="shared" ca="1" si="1"/>
        <v>43650</v>
      </c>
      <c r="F12" s="3041">
        <f t="shared" ca="1" si="0"/>
        <v>0</v>
      </c>
    </row>
    <row r="13" spans="1:12">
      <c r="A13" s="3388"/>
      <c r="B13" s="2939"/>
      <c r="C13" s="2941"/>
      <c r="D13" s="2939" t="s">
        <v>27</v>
      </c>
      <c r="E13" s="3042">
        <f t="shared" ca="1" si="1"/>
        <v>43650</v>
      </c>
      <c r="F13" s="3041">
        <f t="shared" ca="1" si="0"/>
        <v>0</v>
      </c>
    </row>
    <row r="14" spans="1:12">
      <c r="A14" s="3388"/>
      <c r="B14" s="2939"/>
      <c r="C14" s="2941"/>
      <c r="D14" s="2939" t="s">
        <v>27</v>
      </c>
      <c r="E14" s="3042">
        <f t="shared" ca="1" si="1"/>
        <v>43650</v>
      </c>
      <c r="F14" s="3041">
        <f t="shared" ca="1" si="0"/>
        <v>0</v>
      </c>
    </row>
    <row r="15" spans="1:12">
      <c r="A15" s="3388"/>
      <c r="B15" s="2939"/>
      <c r="C15" s="2941"/>
      <c r="D15" s="2939" t="s">
        <v>27</v>
      </c>
      <c r="E15" s="3042">
        <f t="shared" ca="1" si="1"/>
        <v>43650</v>
      </c>
      <c r="F15" s="3041">
        <f t="shared" ca="1" si="0"/>
        <v>0</v>
      </c>
    </row>
    <row r="16" spans="1:12">
      <c r="A16" s="3388"/>
      <c r="B16" s="2939"/>
      <c r="C16" s="2941"/>
      <c r="D16" s="2939" t="s">
        <v>27</v>
      </c>
      <c r="E16" s="3042">
        <f t="shared" ca="1" si="1"/>
        <v>43650</v>
      </c>
      <c r="F16" s="3041">
        <f t="shared" ca="1" si="0"/>
        <v>0</v>
      </c>
    </row>
    <row r="17" spans="1:14">
      <c r="A17" s="3388"/>
      <c r="B17" s="2939"/>
      <c r="C17" s="2941"/>
      <c r="D17" s="2939" t="s">
        <v>27</v>
      </c>
      <c r="E17" s="3042">
        <f t="shared" ca="1" si="1"/>
        <v>43650</v>
      </c>
      <c r="F17" s="3041">
        <f t="shared" ca="1" si="0"/>
        <v>0</v>
      </c>
    </row>
    <row r="18" spans="1:14">
      <c r="A18" s="3388"/>
      <c r="B18" s="2939"/>
      <c r="C18" s="2941"/>
      <c r="D18" s="2939" t="s">
        <v>27</v>
      </c>
      <c r="E18" s="3042">
        <f t="shared" ca="1" si="1"/>
        <v>43650</v>
      </c>
      <c r="F18" s="3041">
        <f t="shared" ca="1" si="0"/>
        <v>0</v>
      </c>
    </row>
    <row r="19" spans="1:14">
      <c r="A19" s="3388"/>
      <c r="B19" s="2939"/>
      <c r="C19" s="2941"/>
      <c r="D19" s="2939" t="s">
        <v>27</v>
      </c>
      <c r="E19" s="3042">
        <f t="shared" ca="1" si="1"/>
        <v>43650</v>
      </c>
      <c r="F19" s="3041">
        <f t="shared" ca="1" si="0"/>
        <v>0</v>
      </c>
    </row>
    <row r="20" spans="1:14">
      <c r="A20" s="3388"/>
      <c r="B20" s="2939"/>
      <c r="C20" s="2941"/>
      <c r="D20" s="2939" t="s">
        <v>27</v>
      </c>
      <c r="E20" s="3042">
        <f t="shared" ca="1" si="1"/>
        <v>43650</v>
      </c>
      <c r="F20" s="3041">
        <f t="shared" ca="1" si="0"/>
        <v>0</v>
      </c>
    </row>
    <row r="21" spans="1:14">
      <c r="A21" s="3388"/>
      <c r="B21" s="2939"/>
      <c r="C21" s="2941"/>
      <c r="D21" s="2939" t="s">
        <v>27</v>
      </c>
      <c r="E21" s="3042">
        <f t="shared" ca="1" si="1"/>
        <v>43650</v>
      </c>
      <c r="F21" s="3041">
        <f t="shared" ca="1" si="0"/>
        <v>0</v>
      </c>
    </row>
    <row r="22" spans="1:14">
      <c r="A22" s="3388"/>
      <c r="B22" s="2939"/>
      <c r="C22" s="2941"/>
      <c r="D22" s="2939" t="s">
        <v>27</v>
      </c>
      <c r="E22" s="3042">
        <f t="shared" ca="1" si="1"/>
        <v>43650</v>
      </c>
      <c r="F22" s="3041">
        <f t="shared" ca="1" si="0"/>
        <v>0</v>
      </c>
    </row>
    <row r="23" spans="1:14">
      <c r="A23" s="3388"/>
      <c r="B23" s="2939"/>
      <c r="C23" s="2941"/>
      <c r="D23" s="2939" t="s">
        <v>27</v>
      </c>
      <c r="E23" s="3042">
        <f t="shared" ca="1" si="1"/>
        <v>43650</v>
      </c>
      <c r="F23" s="3041">
        <f t="shared" ca="1" si="0"/>
        <v>0</v>
      </c>
      <c r="J23" s="2968"/>
    </row>
    <row r="24" spans="1:14">
      <c r="A24" s="3388"/>
      <c r="B24" s="2939"/>
      <c r="C24" s="2941"/>
      <c r="D24" s="2939" t="s">
        <v>27</v>
      </c>
      <c r="E24" s="3042">
        <f t="shared" ca="1" si="1"/>
        <v>43650</v>
      </c>
      <c r="F24" s="3041">
        <f t="shared" ca="1" si="0"/>
        <v>0</v>
      </c>
      <c r="L24" s="2968" t="s">
        <v>3450</v>
      </c>
      <c r="M24" s="2968" t="s">
        <v>3451</v>
      </c>
      <c r="N24" s="2968" t="s">
        <v>3452</v>
      </c>
    </row>
    <row r="25" spans="1:14">
      <c r="A25" s="3389"/>
      <c r="B25" s="2939"/>
      <c r="C25" s="2941"/>
      <c r="D25" s="2939" t="s">
        <v>27</v>
      </c>
      <c r="E25" s="3042">
        <f t="shared" ca="1" si="1"/>
        <v>43650</v>
      </c>
      <c r="F25" s="3041">
        <f t="shared" ca="1" si="0"/>
        <v>0</v>
      </c>
      <c r="K25" s="2968" t="s">
        <v>3449</v>
      </c>
      <c r="L25" s="1631">
        <f ca="1">F26+F68+F97+F373+F416+F478+F534+F579-F578-F429-F430-F431-F432-F433-F434-F435-F436</f>
        <v>56834</v>
      </c>
      <c r="M25" s="1631">
        <f ca="1">F115+F583+F670+F769+F826+F429+F430+F431+F432+F433+F434+F435+F436-F669</f>
        <v>1645</v>
      </c>
      <c r="N25" s="3063">
        <f ca="1">F298+F665+F764+F822+F889-F763</f>
        <v>2232.389999999999</v>
      </c>
    </row>
    <row r="26" spans="1:14">
      <c r="A26" s="3397" t="s">
        <v>40</v>
      </c>
      <c r="B26" s="3398"/>
      <c r="C26" s="2942">
        <f>SUM(C3:C25)</f>
        <v>0</v>
      </c>
      <c r="D26" s="2942" t="s">
        <v>27</v>
      </c>
      <c r="E26" s="3043" t="s">
        <v>3446</v>
      </c>
      <c r="F26" s="3041">
        <f ca="1">SUM(F3:F25)</f>
        <v>0</v>
      </c>
    </row>
    <row r="27" spans="1:14">
      <c r="A27" s="3394"/>
      <c r="B27" s="2939"/>
      <c r="C27" s="2941"/>
      <c r="D27" s="2939" t="s">
        <v>27</v>
      </c>
      <c r="E27" s="3043">
        <f ca="1">E3</f>
        <v>43650</v>
      </c>
      <c r="F27" s="3041">
        <f ca="1">ROUND(C27*E27/10000,0)</f>
        <v>0</v>
      </c>
    </row>
    <row r="28" spans="1:14">
      <c r="A28" s="3388"/>
      <c r="B28" s="2939"/>
      <c r="C28" s="2941"/>
      <c r="D28" s="2939" t="s">
        <v>27</v>
      </c>
      <c r="E28" s="3043">
        <f ca="1">E27</f>
        <v>43650</v>
      </c>
      <c r="F28" s="3041">
        <f t="shared" ref="F28:F91" ca="1" si="2">ROUND(C28*E28/10000,0)</f>
        <v>0</v>
      </c>
      <c r="J28" s="2968" t="s">
        <v>3454</v>
      </c>
    </row>
    <row r="29" spans="1:14">
      <c r="A29" s="3388"/>
      <c r="B29" s="2939"/>
      <c r="C29" s="2941"/>
      <c r="D29" s="2939" t="s">
        <v>27</v>
      </c>
      <c r="E29" s="3043">
        <f t="shared" ref="E29:E67" ca="1" si="3">E28</f>
        <v>43650</v>
      </c>
      <c r="F29" s="3041">
        <f t="shared" ca="1" si="2"/>
        <v>0</v>
      </c>
      <c r="K29" s="3044"/>
      <c r="L29" s="3044" t="s">
        <v>27</v>
      </c>
      <c r="M29" s="3044" t="s">
        <v>1377</v>
      </c>
      <c r="N29" s="3044" t="s">
        <v>3070</v>
      </c>
    </row>
    <row r="30" spans="1:14">
      <c r="A30" s="3388"/>
      <c r="B30" s="2939"/>
      <c r="C30" s="2941"/>
      <c r="D30" s="2939" t="s">
        <v>27</v>
      </c>
      <c r="E30" s="3043">
        <f t="shared" ca="1" si="3"/>
        <v>43650</v>
      </c>
      <c r="F30" s="3041">
        <f t="shared" ca="1" si="2"/>
        <v>0</v>
      </c>
      <c r="K30" s="3044" t="s">
        <v>3448</v>
      </c>
      <c r="L30" s="3044">
        <v>56834</v>
      </c>
      <c r="M30" s="3044">
        <v>1645</v>
      </c>
      <c r="N30" s="3044">
        <v>2232.389999999999</v>
      </c>
    </row>
    <row r="31" spans="1:14">
      <c r="A31" s="3388"/>
      <c r="B31" s="2939"/>
      <c r="C31" s="2941"/>
      <c r="D31" s="2939" t="s">
        <v>27</v>
      </c>
      <c r="E31" s="3043">
        <f t="shared" ca="1" si="3"/>
        <v>43650</v>
      </c>
      <c r="F31" s="3041">
        <f t="shared" ca="1" si="2"/>
        <v>0</v>
      </c>
    </row>
    <row r="32" spans="1:14">
      <c r="A32" s="3388"/>
      <c r="B32" s="2939"/>
      <c r="C32" s="2941"/>
      <c r="D32" s="2939" t="s">
        <v>27</v>
      </c>
      <c r="E32" s="3043">
        <f t="shared" ca="1" si="3"/>
        <v>43650</v>
      </c>
      <c r="F32" s="3041">
        <f t="shared" ca="1" si="2"/>
        <v>0</v>
      </c>
    </row>
    <row r="33" spans="1:14">
      <c r="A33" s="3388"/>
      <c r="B33" s="2939"/>
      <c r="C33" s="2941"/>
      <c r="D33" s="2939" t="s">
        <v>27</v>
      </c>
      <c r="E33" s="3043">
        <f t="shared" ca="1" si="3"/>
        <v>43650</v>
      </c>
      <c r="F33" s="3041">
        <f t="shared" ca="1" si="2"/>
        <v>0</v>
      </c>
      <c r="J33" s="2968" t="s">
        <v>3453</v>
      </c>
    </row>
    <row r="34" spans="1:14">
      <c r="A34" s="3388"/>
      <c r="B34" s="2939"/>
      <c r="C34" s="2941"/>
      <c r="D34" s="2939" t="s">
        <v>27</v>
      </c>
      <c r="E34" s="3043">
        <f t="shared" ca="1" si="3"/>
        <v>43650</v>
      </c>
      <c r="F34" s="3041">
        <f t="shared" ca="1" si="2"/>
        <v>0</v>
      </c>
      <c r="K34" s="3044"/>
      <c r="L34" s="3044" t="s">
        <v>27</v>
      </c>
      <c r="M34" s="3044" t="s">
        <v>1377</v>
      </c>
      <c r="N34" s="3044" t="s">
        <v>3070</v>
      </c>
    </row>
    <row r="35" spans="1:14">
      <c r="A35" s="3388"/>
      <c r="B35" s="2939"/>
      <c r="C35" s="2941"/>
      <c r="D35" s="2939" t="s">
        <v>27</v>
      </c>
      <c r="E35" s="3043">
        <f t="shared" ca="1" si="3"/>
        <v>43650</v>
      </c>
      <c r="F35" s="3041">
        <f t="shared" ca="1" si="2"/>
        <v>0</v>
      </c>
      <c r="K35" s="3044" t="s">
        <v>3448</v>
      </c>
      <c r="L35" s="3044">
        <f ca="1">'结果表（办公）'!G19</f>
        <v>57078</v>
      </c>
      <c r="M35" s="3044">
        <f ca="1">'结果表（商业）'!G19</f>
        <v>1969</v>
      </c>
      <c r="N35" s="3044">
        <f ca="1">'结果表（地下车库）'!G19</f>
        <v>2245</v>
      </c>
    </row>
    <row r="36" spans="1:14">
      <c r="A36" s="3388"/>
      <c r="B36" s="2939"/>
      <c r="C36" s="2941"/>
      <c r="D36" s="2939" t="s">
        <v>27</v>
      </c>
      <c r="E36" s="3043">
        <f t="shared" ca="1" si="3"/>
        <v>43650</v>
      </c>
      <c r="F36" s="3041">
        <f t="shared" ca="1" si="2"/>
        <v>0</v>
      </c>
    </row>
    <row r="37" spans="1:14">
      <c r="A37" s="3388"/>
      <c r="B37" s="2939"/>
      <c r="C37" s="2941"/>
      <c r="D37" s="2939" t="s">
        <v>27</v>
      </c>
      <c r="E37" s="3043">
        <f t="shared" ca="1" si="3"/>
        <v>43650</v>
      </c>
      <c r="F37" s="3041">
        <f t="shared" ca="1" si="2"/>
        <v>0</v>
      </c>
    </row>
    <row r="38" spans="1:14">
      <c r="A38" s="3388"/>
      <c r="B38" s="2939"/>
      <c r="C38" s="2941"/>
      <c r="D38" s="2939" t="s">
        <v>27</v>
      </c>
      <c r="E38" s="3043">
        <f t="shared" ca="1" si="3"/>
        <v>43650</v>
      </c>
      <c r="F38" s="3041">
        <f t="shared" ca="1" si="2"/>
        <v>0</v>
      </c>
    </row>
    <row r="39" spans="1:14">
      <c r="A39" s="3388"/>
      <c r="B39" s="2939"/>
      <c r="C39" s="2941"/>
      <c r="D39" s="2939" t="s">
        <v>27</v>
      </c>
      <c r="E39" s="3043">
        <f t="shared" ca="1" si="3"/>
        <v>43650</v>
      </c>
      <c r="F39" s="3041">
        <f t="shared" ca="1" si="2"/>
        <v>0</v>
      </c>
      <c r="J39" s="2968" t="s">
        <v>3459</v>
      </c>
    </row>
    <row r="40" spans="1:14">
      <c r="A40" s="3388"/>
      <c r="B40" s="2939"/>
      <c r="C40" s="2941"/>
      <c r="D40" s="2939" t="s">
        <v>27</v>
      </c>
      <c r="E40" s="3043">
        <f t="shared" ca="1" si="3"/>
        <v>43650</v>
      </c>
      <c r="F40" s="3041">
        <f t="shared" ca="1" si="2"/>
        <v>0</v>
      </c>
      <c r="J40" s="1631">
        <f ca="1">ROUND('结果表（商业）'!H118*10000/('数据-汇总表'!F20+0.5*'数据-汇总表'!G20),0)</f>
        <v>34910</v>
      </c>
    </row>
    <row r="41" spans="1:14">
      <c r="A41" s="3388"/>
      <c r="B41" s="2939"/>
      <c r="C41" s="2941"/>
      <c r="D41" s="2939" t="s">
        <v>27</v>
      </c>
      <c r="E41" s="3043">
        <f t="shared" ca="1" si="3"/>
        <v>43650</v>
      </c>
      <c r="F41" s="3041">
        <f t="shared" ca="1" si="2"/>
        <v>0</v>
      </c>
      <c r="J41" s="2968" t="s">
        <v>3460</v>
      </c>
    </row>
    <row r="42" spans="1:14">
      <c r="A42" s="3388"/>
      <c r="B42" s="2939"/>
      <c r="C42" s="2941"/>
      <c r="D42" s="2939" t="s">
        <v>27</v>
      </c>
      <c r="E42" s="3043">
        <f t="shared" ca="1" si="3"/>
        <v>43650</v>
      </c>
      <c r="F42" s="3041">
        <f t="shared" ca="1" si="2"/>
        <v>0</v>
      </c>
      <c r="J42" s="1631">
        <f ca="1">ROUND(J40*0.5,0)</f>
        <v>17455</v>
      </c>
    </row>
    <row r="43" spans="1:14">
      <c r="A43" s="3388"/>
      <c r="B43" s="2939"/>
      <c r="C43" s="2941"/>
      <c r="D43" s="2939" t="s">
        <v>27</v>
      </c>
      <c r="E43" s="3043">
        <f t="shared" ca="1" si="3"/>
        <v>43650</v>
      </c>
      <c r="F43" s="3041">
        <f t="shared" ca="1" si="2"/>
        <v>0</v>
      </c>
    </row>
    <row r="44" spans="1:14">
      <c r="A44" s="3388"/>
      <c r="B44" s="2939"/>
      <c r="C44" s="2941"/>
      <c r="D44" s="2939" t="s">
        <v>27</v>
      </c>
      <c r="E44" s="3043">
        <f t="shared" ca="1" si="3"/>
        <v>43650</v>
      </c>
      <c r="F44" s="3041">
        <f t="shared" ca="1" si="2"/>
        <v>0</v>
      </c>
    </row>
    <row r="45" spans="1:14">
      <c r="A45" s="3388"/>
      <c r="B45" s="2939"/>
      <c r="C45" s="2941"/>
      <c r="D45" s="2939" t="s">
        <v>27</v>
      </c>
      <c r="E45" s="3043">
        <f t="shared" ca="1" si="3"/>
        <v>43650</v>
      </c>
      <c r="F45" s="3041">
        <f t="shared" ca="1" si="2"/>
        <v>0</v>
      </c>
    </row>
    <row r="46" spans="1:14">
      <c r="A46" s="3388"/>
      <c r="B46" s="2939"/>
      <c r="C46" s="2941"/>
      <c r="D46" s="2939" t="s">
        <v>27</v>
      </c>
      <c r="E46" s="3043">
        <f t="shared" ca="1" si="3"/>
        <v>43650</v>
      </c>
      <c r="F46" s="3041">
        <f t="shared" ca="1" si="2"/>
        <v>0</v>
      </c>
    </row>
    <row r="47" spans="1:14">
      <c r="A47" s="3388"/>
      <c r="B47" s="2939"/>
      <c r="C47" s="2941"/>
      <c r="D47" s="2939" t="s">
        <v>27</v>
      </c>
      <c r="E47" s="3043">
        <f t="shared" ca="1" si="3"/>
        <v>43650</v>
      </c>
      <c r="F47" s="3041">
        <f t="shared" ca="1" si="2"/>
        <v>0</v>
      </c>
    </row>
    <row r="48" spans="1:14">
      <c r="A48" s="3388"/>
      <c r="B48" s="2939"/>
      <c r="C48" s="2941"/>
      <c r="D48" s="2939" t="s">
        <v>27</v>
      </c>
      <c r="E48" s="3043">
        <f t="shared" ca="1" si="3"/>
        <v>43650</v>
      </c>
      <c r="F48" s="3041">
        <f t="shared" ca="1" si="2"/>
        <v>0</v>
      </c>
    </row>
    <row r="49" spans="1:6">
      <c r="A49" s="3388"/>
      <c r="B49" s="2939"/>
      <c r="C49" s="2941"/>
      <c r="D49" s="2939" t="s">
        <v>27</v>
      </c>
      <c r="E49" s="3043">
        <f t="shared" ca="1" si="3"/>
        <v>43650</v>
      </c>
      <c r="F49" s="3041">
        <f t="shared" ca="1" si="2"/>
        <v>0</v>
      </c>
    </row>
    <row r="50" spans="1:6">
      <c r="A50" s="3388"/>
      <c r="B50" s="2939"/>
      <c r="C50" s="2941"/>
      <c r="D50" s="2939" t="s">
        <v>27</v>
      </c>
      <c r="E50" s="3043">
        <f t="shared" ca="1" si="3"/>
        <v>43650</v>
      </c>
      <c r="F50" s="3041">
        <f t="shared" ca="1" si="2"/>
        <v>0</v>
      </c>
    </row>
    <row r="51" spans="1:6">
      <c r="A51" s="3388"/>
      <c r="B51" s="2939"/>
      <c r="C51" s="2941"/>
      <c r="D51" s="2939" t="s">
        <v>27</v>
      </c>
      <c r="E51" s="3043">
        <f t="shared" ca="1" si="3"/>
        <v>43650</v>
      </c>
      <c r="F51" s="3041">
        <f t="shared" ca="1" si="2"/>
        <v>0</v>
      </c>
    </row>
    <row r="52" spans="1:6">
      <c r="A52" s="3388"/>
      <c r="B52" s="2939"/>
      <c r="C52" s="2941"/>
      <c r="D52" s="2939" t="s">
        <v>27</v>
      </c>
      <c r="E52" s="3043">
        <f t="shared" ca="1" si="3"/>
        <v>43650</v>
      </c>
      <c r="F52" s="3041">
        <f t="shared" ca="1" si="2"/>
        <v>0</v>
      </c>
    </row>
    <row r="53" spans="1:6">
      <c r="A53" s="3388"/>
      <c r="B53" s="2939"/>
      <c r="C53" s="2941"/>
      <c r="D53" s="2939" t="s">
        <v>27</v>
      </c>
      <c r="E53" s="3043">
        <f t="shared" ca="1" si="3"/>
        <v>43650</v>
      </c>
      <c r="F53" s="3041">
        <f t="shared" ca="1" si="2"/>
        <v>0</v>
      </c>
    </row>
    <row r="54" spans="1:6">
      <c r="A54" s="3388"/>
      <c r="B54" s="2939"/>
      <c r="C54" s="2941"/>
      <c r="D54" s="2939" t="s">
        <v>27</v>
      </c>
      <c r="E54" s="3043">
        <f t="shared" ca="1" si="3"/>
        <v>43650</v>
      </c>
      <c r="F54" s="3041">
        <f t="shared" ca="1" si="2"/>
        <v>0</v>
      </c>
    </row>
    <row r="55" spans="1:6">
      <c r="A55" s="3388"/>
      <c r="B55" s="2939"/>
      <c r="C55" s="2941"/>
      <c r="D55" s="2939" t="s">
        <v>27</v>
      </c>
      <c r="E55" s="3043">
        <f t="shared" ca="1" si="3"/>
        <v>43650</v>
      </c>
      <c r="F55" s="3041">
        <f t="shared" ca="1" si="2"/>
        <v>0</v>
      </c>
    </row>
    <row r="56" spans="1:6">
      <c r="A56" s="3388"/>
      <c r="B56" s="2939"/>
      <c r="C56" s="2941"/>
      <c r="D56" s="2939" t="s">
        <v>27</v>
      </c>
      <c r="E56" s="3043">
        <f t="shared" ca="1" si="3"/>
        <v>43650</v>
      </c>
      <c r="F56" s="3041">
        <f t="shared" ca="1" si="2"/>
        <v>0</v>
      </c>
    </row>
    <row r="57" spans="1:6">
      <c r="A57" s="3388"/>
      <c r="B57" s="2939"/>
      <c r="C57" s="2941"/>
      <c r="D57" s="2939" t="s">
        <v>27</v>
      </c>
      <c r="E57" s="3043">
        <f t="shared" ca="1" si="3"/>
        <v>43650</v>
      </c>
      <c r="F57" s="3041">
        <f t="shared" ca="1" si="2"/>
        <v>0</v>
      </c>
    </row>
    <row r="58" spans="1:6">
      <c r="A58" s="3388"/>
      <c r="B58" s="2939"/>
      <c r="C58" s="2941"/>
      <c r="D58" s="2939" t="s">
        <v>27</v>
      </c>
      <c r="E58" s="3043">
        <f t="shared" ca="1" si="3"/>
        <v>43650</v>
      </c>
      <c r="F58" s="3041">
        <f t="shared" ca="1" si="2"/>
        <v>0</v>
      </c>
    </row>
    <row r="59" spans="1:6">
      <c r="A59" s="3388"/>
      <c r="B59" s="2939"/>
      <c r="C59" s="2941"/>
      <c r="D59" s="2939" t="s">
        <v>27</v>
      </c>
      <c r="E59" s="3043">
        <f t="shared" ca="1" si="3"/>
        <v>43650</v>
      </c>
      <c r="F59" s="3041">
        <f t="shared" ca="1" si="2"/>
        <v>0</v>
      </c>
    </row>
    <row r="60" spans="1:6">
      <c r="A60" s="3388"/>
      <c r="B60" s="2939"/>
      <c r="C60" s="2941"/>
      <c r="D60" s="2939" t="s">
        <v>27</v>
      </c>
      <c r="E60" s="3043">
        <f t="shared" ca="1" si="3"/>
        <v>43650</v>
      </c>
      <c r="F60" s="3041">
        <f t="shared" ca="1" si="2"/>
        <v>0</v>
      </c>
    </row>
    <row r="61" spans="1:6">
      <c r="A61" s="3388"/>
      <c r="B61" s="2939"/>
      <c r="C61" s="2941"/>
      <c r="D61" s="2939" t="s">
        <v>27</v>
      </c>
      <c r="E61" s="3043">
        <f t="shared" ca="1" si="3"/>
        <v>43650</v>
      </c>
      <c r="F61" s="3041">
        <f t="shared" ca="1" si="2"/>
        <v>0</v>
      </c>
    </row>
    <row r="62" spans="1:6">
      <c r="A62" s="3388"/>
      <c r="B62" s="2939"/>
      <c r="C62" s="2941"/>
      <c r="D62" s="2939" t="s">
        <v>27</v>
      </c>
      <c r="E62" s="3043">
        <f t="shared" ca="1" si="3"/>
        <v>43650</v>
      </c>
      <c r="F62" s="3041">
        <f t="shared" ca="1" si="2"/>
        <v>0</v>
      </c>
    </row>
    <row r="63" spans="1:6">
      <c r="A63" s="3388"/>
      <c r="B63" s="2939"/>
      <c r="C63" s="2941"/>
      <c r="D63" s="2939" t="s">
        <v>27</v>
      </c>
      <c r="E63" s="3043">
        <f t="shared" ca="1" si="3"/>
        <v>43650</v>
      </c>
      <c r="F63" s="3041">
        <f t="shared" ca="1" si="2"/>
        <v>0</v>
      </c>
    </row>
    <row r="64" spans="1:6">
      <c r="A64" s="3388"/>
      <c r="B64" s="2939"/>
      <c r="C64" s="2941"/>
      <c r="D64" s="2939" t="s">
        <v>27</v>
      </c>
      <c r="E64" s="3043">
        <f t="shared" ca="1" si="3"/>
        <v>43650</v>
      </c>
      <c r="F64" s="3041">
        <f t="shared" ca="1" si="2"/>
        <v>0</v>
      </c>
    </row>
    <row r="65" spans="1:6">
      <c r="A65" s="3388"/>
      <c r="B65" s="2939"/>
      <c r="C65" s="2941"/>
      <c r="D65" s="2939" t="s">
        <v>27</v>
      </c>
      <c r="E65" s="3043">
        <f t="shared" ca="1" si="3"/>
        <v>43650</v>
      </c>
      <c r="F65" s="3041">
        <f t="shared" ca="1" si="2"/>
        <v>0</v>
      </c>
    </row>
    <row r="66" spans="1:6">
      <c r="A66" s="3388"/>
      <c r="B66" s="2939"/>
      <c r="C66" s="2941"/>
      <c r="D66" s="2939" t="s">
        <v>27</v>
      </c>
      <c r="E66" s="3043">
        <f t="shared" ca="1" si="3"/>
        <v>43650</v>
      </c>
      <c r="F66" s="3041">
        <f t="shared" ca="1" si="2"/>
        <v>0</v>
      </c>
    </row>
    <row r="67" spans="1:6">
      <c r="A67" s="3389"/>
      <c r="B67" s="2939"/>
      <c r="C67" s="2941"/>
      <c r="D67" s="2939" t="s">
        <v>27</v>
      </c>
      <c r="E67" s="3043">
        <f t="shared" ca="1" si="3"/>
        <v>43650</v>
      </c>
      <c r="F67" s="3041">
        <f t="shared" ca="1" si="2"/>
        <v>0</v>
      </c>
    </row>
    <row r="68" spans="1:6">
      <c r="A68" s="3397" t="s">
        <v>40</v>
      </c>
      <c r="B68" s="3398"/>
      <c r="C68" s="2942">
        <f>SUM(C27:C67)</f>
        <v>0</v>
      </c>
      <c r="D68" s="2942" t="s">
        <v>27</v>
      </c>
      <c r="E68" s="3042"/>
      <c r="F68" s="3041">
        <f ca="1">SUM(F27:F67)</f>
        <v>0</v>
      </c>
    </row>
    <row r="69" spans="1:6">
      <c r="A69" s="3394"/>
      <c r="B69" s="2939"/>
      <c r="C69" s="2941"/>
      <c r="D69" s="2939" t="s">
        <v>27</v>
      </c>
      <c r="E69" s="3042">
        <f ca="1">E3</f>
        <v>43650</v>
      </c>
      <c r="F69" s="3041">
        <f t="shared" ca="1" si="2"/>
        <v>0</v>
      </c>
    </row>
    <row r="70" spans="1:6">
      <c r="A70" s="3388"/>
      <c r="B70" s="2939"/>
      <c r="C70" s="2941"/>
      <c r="D70" s="2939" t="s">
        <v>27</v>
      </c>
      <c r="E70" s="3042">
        <f ca="1">E69</f>
        <v>43650</v>
      </c>
      <c r="F70" s="3041">
        <f t="shared" ca="1" si="2"/>
        <v>0</v>
      </c>
    </row>
    <row r="71" spans="1:6">
      <c r="A71" s="3388"/>
      <c r="B71" s="2939"/>
      <c r="C71" s="2941"/>
      <c r="D71" s="2939" t="s">
        <v>27</v>
      </c>
      <c r="E71" s="3042">
        <f t="shared" ref="E71:E96" ca="1" si="4">E70</f>
        <v>43650</v>
      </c>
      <c r="F71" s="3041">
        <f t="shared" ca="1" si="2"/>
        <v>0</v>
      </c>
    </row>
    <row r="72" spans="1:6">
      <c r="A72" s="3388"/>
      <c r="B72" s="2939"/>
      <c r="C72" s="2941"/>
      <c r="D72" s="2939" t="s">
        <v>27</v>
      </c>
      <c r="E72" s="3042">
        <f t="shared" ca="1" si="4"/>
        <v>43650</v>
      </c>
      <c r="F72" s="3041">
        <f t="shared" ca="1" si="2"/>
        <v>0</v>
      </c>
    </row>
    <row r="73" spans="1:6">
      <c r="A73" s="3388"/>
      <c r="B73" s="2939"/>
      <c r="C73" s="2941"/>
      <c r="D73" s="2939" t="s">
        <v>27</v>
      </c>
      <c r="E73" s="3042">
        <f t="shared" ca="1" si="4"/>
        <v>43650</v>
      </c>
      <c r="F73" s="3041">
        <f t="shared" ca="1" si="2"/>
        <v>0</v>
      </c>
    </row>
    <row r="74" spans="1:6">
      <c r="A74" s="3388"/>
      <c r="B74" s="2939"/>
      <c r="C74" s="2941"/>
      <c r="D74" s="2939" t="s">
        <v>27</v>
      </c>
      <c r="E74" s="3042">
        <f t="shared" ca="1" si="4"/>
        <v>43650</v>
      </c>
      <c r="F74" s="3041">
        <f t="shared" ca="1" si="2"/>
        <v>0</v>
      </c>
    </row>
    <row r="75" spans="1:6">
      <c r="A75" s="3388"/>
      <c r="B75" s="2939"/>
      <c r="C75" s="2941"/>
      <c r="D75" s="2939" t="s">
        <v>27</v>
      </c>
      <c r="E75" s="3042">
        <f t="shared" ca="1" si="4"/>
        <v>43650</v>
      </c>
      <c r="F75" s="3041">
        <f t="shared" ca="1" si="2"/>
        <v>0</v>
      </c>
    </row>
    <row r="76" spans="1:6">
      <c r="A76" s="3388"/>
      <c r="B76" s="2939"/>
      <c r="C76" s="2941"/>
      <c r="D76" s="2939" t="s">
        <v>27</v>
      </c>
      <c r="E76" s="3042">
        <f t="shared" ca="1" si="4"/>
        <v>43650</v>
      </c>
      <c r="F76" s="3041">
        <f t="shared" ca="1" si="2"/>
        <v>0</v>
      </c>
    </row>
    <row r="77" spans="1:6">
      <c r="A77" s="3388"/>
      <c r="B77" s="2939"/>
      <c r="C77" s="2941"/>
      <c r="D77" s="2939" t="s">
        <v>27</v>
      </c>
      <c r="E77" s="3042">
        <f t="shared" ca="1" si="4"/>
        <v>43650</v>
      </c>
      <c r="F77" s="3041">
        <f t="shared" ca="1" si="2"/>
        <v>0</v>
      </c>
    </row>
    <row r="78" spans="1:6">
      <c r="A78" s="3388"/>
      <c r="B78" s="2939"/>
      <c r="C78" s="2941"/>
      <c r="D78" s="2939" t="s">
        <v>27</v>
      </c>
      <c r="E78" s="3042">
        <f t="shared" ca="1" si="4"/>
        <v>43650</v>
      </c>
      <c r="F78" s="3041">
        <f t="shared" ca="1" si="2"/>
        <v>0</v>
      </c>
    </row>
    <row r="79" spans="1:6">
      <c r="A79" s="3388"/>
      <c r="B79" s="2939"/>
      <c r="C79" s="2941"/>
      <c r="D79" s="2939" t="s">
        <v>27</v>
      </c>
      <c r="E79" s="3042">
        <f t="shared" ca="1" si="4"/>
        <v>43650</v>
      </c>
      <c r="F79" s="3041">
        <f t="shared" ca="1" si="2"/>
        <v>0</v>
      </c>
    </row>
    <row r="80" spans="1:6">
      <c r="A80" s="3388"/>
      <c r="B80" s="2939"/>
      <c r="C80" s="2941"/>
      <c r="D80" s="2939" t="s">
        <v>27</v>
      </c>
      <c r="E80" s="3042">
        <f t="shared" ca="1" si="4"/>
        <v>43650</v>
      </c>
      <c r="F80" s="3041">
        <f t="shared" ca="1" si="2"/>
        <v>0</v>
      </c>
    </row>
    <row r="81" spans="1:6">
      <c r="A81" s="3388"/>
      <c r="B81" s="2939"/>
      <c r="C81" s="2941"/>
      <c r="D81" s="2939" t="s">
        <v>27</v>
      </c>
      <c r="E81" s="3042">
        <f t="shared" ca="1" si="4"/>
        <v>43650</v>
      </c>
      <c r="F81" s="3041">
        <f t="shared" ca="1" si="2"/>
        <v>0</v>
      </c>
    </row>
    <row r="82" spans="1:6">
      <c r="A82" s="3388"/>
      <c r="B82" s="2939"/>
      <c r="C82" s="2941"/>
      <c r="D82" s="2939" t="s">
        <v>27</v>
      </c>
      <c r="E82" s="3042">
        <f t="shared" ca="1" si="4"/>
        <v>43650</v>
      </c>
      <c r="F82" s="3041">
        <f t="shared" ca="1" si="2"/>
        <v>0</v>
      </c>
    </row>
    <row r="83" spans="1:6">
      <c r="A83" s="3388"/>
      <c r="B83" s="2939"/>
      <c r="C83" s="2941"/>
      <c r="D83" s="2939" t="s">
        <v>27</v>
      </c>
      <c r="E83" s="3042">
        <f t="shared" ca="1" si="4"/>
        <v>43650</v>
      </c>
      <c r="F83" s="3041">
        <f t="shared" ca="1" si="2"/>
        <v>0</v>
      </c>
    </row>
    <row r="84" spans="1:6">
      <c r="A84" s="3388"/>
      <c r="B84" s="2939"/>
      <c r="C84" s="2941"/>
      <c r="D84" s="2939" t="s">
        <v>27</v>
      </c>
      <c r="E84" s="3042">
        <f t="shared" ca="1" si="4"/>
        <v>43650</v>
      </c>
      <c r="F84" s="3041">
        <f t="shared" ca="1" si="2"/>
        <v>0</v>
      </c>
    </row>
    <row r="85" spans="1:6">
      <c r="A85" s="3388"/>
      <c r="B85" s="2939"/>
      <c r="C85" s="2941"/>
      <c r="D85" s="2939" t="s">
        <v>27</v>
      </c>
      <c r="E85" s="3042">
        <f t="shared" ca="1" si="4"/>
        <v>43650</v>
      </c>
      <c r="F85" s="3041">
        <f t="shared" ca="1" si="2"/>
        <v>0</v>
      </c>
    </row>
    <row r="86" spans="1:6">
      <c r="A86" s="3388"/>
      <c r="B86" s="2939"/>
      <c r="C86" s="2941"/>
      <c r="D86" s="2939" t="s">
        <v>27</v>
      </c>
      <c r="E86" s="3042">
        <f t="shared" ca="1" si="4"/>
        <v>43650</v>
      </c>
      <c r="F86" s="3041">
        <f t="shared" ca="1" si="2"/>
        <v>0</v>
      </c>
    </row>
    <row r="87" spans="1:6">
      <c r="A87" s="3388"/>
      <c r="B87" s="2939"/>
      <c r="C87" s="2941"/>
      <c r="D87" s="2939" t="s">
        <v>27</v>
      </c>
      <c r="E87" s="3042">
        <f t="shared" ca="1" si="4"/>
        <v>43650</v>
      </c>
      <c r="F87" s="3041">
        <f t="shared" ca="1" si="2"/>
        <v>0</v>
      </c>
    </row>
    <row r="88" spans="1:6">
      <c r="A88" s="3388"/>
      <c r="B88" s="2939"/>
      <c r="C88" s="2941"/>
      <c r="D88" s="2939" t="s">
        <v>27</v>
      </c>
      <c r="E88" s="3042">
        <f t="shared" ca="1" si="4"/>
        <v>43650</v>
      </c>
      <c r="F88" s="3041">
        <f t="shared" ca="1" si="2"/>
        <v>0</v>
      </c>
    </row>
    <row r="89" spans="1:6">
      <c r="A89" s="3388"/>
      <c r="B89" s="2939"/>
      <c r="C89" s="2941"/>
      <c r="D89" s="2939" t="s">
        <v>27</v>
      </c>
      <c r="E89" s="3042">
        <f t="shared" ca="1" si="4"/>
        <v>43650</v>
      </c>
      <c r="F89" s="3041">
        <f t="shared" ca="1" si="2"/>
        <v>0</v>
      </c>
    </row>
    <row r="90" spans="1:6">
      <c r="A90" s="3388"/>
      <c r="B90" s="2939"/>
      <c r="C90" s="2941"/>
      <c r="D90" s="2939" t="s">
        <v>27</v>
      </c>
      <c r="E90" s="3042">
        <f t="shared" ca="1" si="4"/>
        <v>43650</v>
      </c>
      <c r="F90" s="3041">
        <f t="shared" ca="1" si="2"/>
        <v>0</v>
      </c>
    </row>
    <row r="91" spans="1:6">
      <c r="A91" s="3388"/>
      <c r="B91" s="2939"/>
      <c r="C91" s="2941"/>
      <c r="D91" s="2939" t="s">
        <v>27</v>
      </c>
      <c r="E91" s="3042">
        <f t="shared" ca="1" si="4"/>
        <v>43650</v>
      </c>
      <c r="F91" s="3041">
        <f t="shared" ca="1" si="2"/>
        <v>0</v>
      </c>
    </row>
    <row r="92" spans="1:6">
      <c r="A92" s="3388"/>
      <c r="B92" s="2939"/>
      <c r="C92" s="2941"/>
      <c r="D92" s="2939" t="s">
        <v>27</v>
      </c>
      <c r="E92" s="3042">
        <f t="shared" ca="1" si="4"/>
        <v>43650</v>
      </c>
      <c r="F92" s="3041">
        <f t="shared" ref="F92:F114" ca="1" si="5">ROUND(C92*E92/10000,0)</f>
        <v>0</v>
      </c>
    </row>
    <row r="93" spans="1:6">
      <c r="A93" s="3388"/>
      <c r="B93" s="2939"/>
      <c r="C93" s="2941"/>
      <c r="D93" s="2939" t="s">
        <v>27</v>
      </c>
      <c r="E93" s="3042">
        <f t="shared" ca="1" si="4"/>
        <v>43650</v>
      </c>
      <c r="F93" s="3041">
        <f t="shared" ca="1" si="5"/>
        <v>0</v>
      </c>
    </row>
    <row r="94" spans="1:6">
      <c r="A94" s="3388"/>
      <c r="B94" s="2939"/>
      <c r="C94" s="2941"/>
      <c r="D94" s="2939" t="s">
        <v>27</v>
      </c>
      <c r="E94" s="3042">
        <f t="shared" ca="1" si="4"/>
        <v>43650</v>
      </c>
      <c r="F94" s="3041">
        <f t="shared" ca="1" si="5"/>
        <v>0</v>
      </c>
    </row>
    <row r="95" spans="1:6">
      <c r="A95" s="3388"/>
      <c r="B95" s="2939"/>
      <c r="C95" s="2941"/>
      <c r="D95" s="2939" t="s">
        <v>27</v>
      </c>
      <c r="E95" s="3042">
        <f t="shared" ca="1" si="4"/>
        <v>43650</v>
      </c>
      <c r="F95" s="3041">
        <f t="shared" ca="1" si="5"/>
        <v>0</v>
      </c>
    </row>
    <row r="96" spans="1:6">
      <c r="A96" s="3389"/>
      <c r="B96" s="2939"/>
      <c r="C96" s="2941"/>
      <c r="D96" s="2939" t="s">
        <v>27</v>
      </c>
      <c r="E96" s="3042">
        <f t="shared" ca="1" si="4"/>
        <v>43650</v>
      </c>
      <c r="F96" s="3041">
        <f t="shared" ca="1" si="5"/>
        <v>0</v>
      </c>
    </row>
    <row r="97" spans="1:6">
      <c r="A97" s="3390" t="s">
        <v>40</v>
      </c>
      <c r="B97" s="3390"/>
      <c r="C97" s="2942">
        <f>SUM(C69:C96)</f>
        <v>0</v>
      </c>
      <c r="D97" s="2942" t="s">
        <v>27</v>
      </c>
      <c r="E97" s="3043" t="s">
        <v>3446</v>
      </c>
      <c r="F97" s="3041">
        <f ca="1">SUM(F69:F96)</f>
        <v>0</v>
      </c>
    </row>
    <row r="98" spans="1:6">
      <c r="A98" s="3394"/>
      <c r="B98" s="2939"/>
      <c r="C98" s="2941"/>
      <c r="D98" s="2939" t="s">
        <v>1377</v>
      </c>
      <c r="E98" s="3043">
        <f ca="1">'结果表（商业）'!I118</f>
        <v>22832</v>
      </c>
      <c r="F98" s="3041">
        <f t="shared" ca="1" si="5"/>
        <v>0</v>
      </c>
    </row>
    <row r="99" spans="1:6">
      <c r="A99" s="3388"/>
      <c r="B99" s="2939"/>
      <c r="C99" s="2941"/>
      <c r="D99" s="2939" t="s">
        <v>1377</v>
      </c>
      <c r="E99" s="3042">
        <f ca="1">E98</f>
        <v>22832</v>
      </c>
      <c r="F99" s="3041">
        <f t="shared" ca="1" si="5"/>
        <v>0</v>
      </c>
    </row>
    <row r="100" spans="1:6">
      <c r="A100" s="3388"/>
      <c r="B100" s="2939"/>
      <c r="C100" s="2941"/>
      <c r="D100" s="2939" t="s">
        <v>1377</v>
      </c>
      <c r="E100" s="3042">
        <f t="shared" ref="E100:E114" ca="1" si="6">E99</f>
        <v>22832</v>
      </c>
      <c r="F100" s="3041">
        <f t="shared" ca="1" si="5"/>
        <v>0</v>
      </c>
    </row>
    <row r="101" spans="1:6">
      <c r="A101" s="3388"/>
      <c r="B101" s="2939"/>
      <c r="C101" s="2941"/>
      <c r="D101" s="2939" t="s">
        <v>1377</v>
      </c>
      <c r="E101" s="3042">
        <f t="shared" ca="1" si="6"/>
        <v>22832</v>
      </c>
      <c r="F101" s="3041">
        <f t="shared" ca="1" si="5"/>
        <v>0</v>
      </c>
    </row>
    <row r="102" spans="1:6">
      <c r="A102" s="3388"/>
      <c r="B102" s="2939"/>
      <c r="C102" s="2941"/>
      <c r="D102" s="2939" t="s">
        <v>1377</v>
      </c>
      <c r="E102" s="3042">
        <f t="shared" ca="1" si="6"/>
        <v>22832</v>
      </c>
      <c r="F102" s="3041">
        <f t="shared" ca="1" si="5"/>
        <v>0</v>
      </c>
    </row>
    <row r="103" spans="1:6">
      <c r="A103" s="3388"/>
      <c r="B103" s="2939"/>
      <c r="C103" s="2941"/>
      <c r="D103" s="2939" t="s">
        <v>1377</v>
      </c>
      <c r="E103" s="3042">
        <f t="shared" ca="1" si="6"/>
        <v>22832</v>
      </c>
      <c r="F103" s="3041">
        <f t="shared" ca="1" si="5"/>
        <v>0</v>
      </c>
    </row>
    <row r="104" spans="1:6">
      <c r="A104" s="3388"/>
      <c r="B104" s="2939"/>
      <c r="C104" s="2941"/>
      <c r="D104" s="2939" t="s">
        <v>1377</v>
      </c>
      <c r="E104" s="3042">
        <f t="shared" ca="1" si="6"/>
        <v>22832</v>
      </c>
      <c r="F104" s="3041">
        <f t="shared" ca="1" si="5"/>
        <v>0</v>
      </c>
    </row>
    <row r="105" spans="1:6">
      <c r="A105" s="3388"/>
      <c r="B105" s="2939"/>
      <c r="C105" s="2941"/>
      <c r="D105" s="2939" t="s">
        <v>1377</v>
      </c>
      <c r="E105" s="3042">
        <f t="shared" ca="1" si="6"/>
        <v>22832</v>
      </c>
      <c r="F105" s="3041">
        <f t="shared" ca="1" si="5"/>
        <v>0</v>
      </c>
    </row>
    <row r="106" spans="1:6">
      <c r="A106" s="3388"/>
      <c r="B106" s="2939"/>
      <c r="C106" s="2941"/>
      <c r="D106" s="2939" t="s">
        <v>1377</v>
      </c>
      <c r="E106" s="3042">
        <f t="shared" ca="1" si="6"/>
        <v>22832</v>
      </c>
      <c r="F106" s="3041">
        <f t="shared" ca="1" si="5"/>
        <v>0</v>
      </c>
    </row>
    <row r="107" spans="1:6">
      <c r="A107" s="3388"/>
      <c r="B107" s="2939"/>
      <c r="C107" s="2941"/>
      <c r="D107" s="2939" t="s">
        <v>1377</v>
      </c>
      <c r="E107" s="3042">
        <f t="shared" ca="1" si="6"/>
        <v>22832</v>
      </c>
      <c r="F107" s="3041">
        <f t="shared" ca="1" si="5"/>
        <v>0</v>
      </c>
    </row>
    <row r="108" spans="1:6">
      <c r="A108" s="3388"/>
      <c r="B108" s="2939"/>
      <c r="C108" s="2941"/>
      <c r="D108" s="2939" t="s">
        <v>1377</v>
      </c>
      <c r="E108" s="3042">
        <f t="shared" ca="1" si="6"/>
        <v>22832</v>
      </c>
      <c r="F108" s="3041">
        <f t="shared" ca="1" si="5"/>
        <v>0</v>
      </c>
    </row>
    <row r="109" spans="1:6">
      <c r="A109" s="3388"/>
      <c r="B109" s="2939"/>
      <c r="C109" s="2941"/>
      <c r="D109" s="2939" t="s">
        <v>1377</v>
      </c>
      <c r="E109" s="3042">
        <f t="shared" ca="1" si="6"/>
        <v>22832</v>
      </c>
      <c r="F109" s="3041">
        <f t="shared" ca="1" si="5"/>
        <v>0</v>
      </c>
    </row>
    <row r="110" spans="1:6">
      <c r="A110" s="3388"/>
      <c r="B110" s="2939"/>
      <c r="C110" s="2941"/>
      <c r="D110" s="2939" t="s">
        <v>1377</v>
      </c>
      <c r="E110" s="3042">
        <f t="shared" ca="1" si="6"/>
        <v>22832</v>
      </c>
      <c r="F110" s="3041">
        <f t="shared" ca="1" si="5"/>
        <v>0</v>
      </c>
    </row>
    <row r="111" spans="1:6">
      <c r="A111" s="3388"/>
      <c r="B111" s="2939"/>
      <c r="C111" s="2941"/>
      <c r="D111" s="2939" t="s">
        <v>1377</v>
      </c>
      <c r="E111" s="3042">
        <f t="shared" ca="1" si="6"/>
        <v>22832</v>
      </c>
      <c r="F111" s="3041">
        <f t="shared" ca="1" si="5"/>
        <v>0</v>
      </c>
    </row>
    <row r="112" spans="1:6">
      <c r="A112" s="3388"/>
      <c r="B112" s="2939"/>
      <c r="C112" s="2941"/>
      <c r="D112" s="2939" t="s">
        <v>1377</v>
      </c>
      <c r="E112" s="3042">
        <f t="shared" ca="1" si="6"/>
        <v>22832</v>
      </c>
      <c r="F112" s="3041">
        <f t="shared" ca="1" si="5"/>
        <v>0</v>
      </c>
    </row>
    <row r="113" spans="1:6">
      <c r="A113" s="3388"/>
      <c r="B113" s="2939"/>
      <c r="C113" s="2941"/>
      <c r="D113" s="2939" t="s">
        <v>1377</v>
      </c>
      <c r="E113" s="3042">
        <f t="shared" ca="1" si="6"/>
        <v>22832</v>
      </c>
      <c r="F113" s="3041">
        <f t="shared" ca="1" si="5"/>
        <v>0</v>
      </c>
    </row>
    <row r="114" spans="1:6">
      <c r="A114" s="3389"/>
      <c r="B114" s="2939"/>
      <c r="C114" s="2941"/>
      <c r="D114" s="2939" t="s">
        <v>1377</v>
      </c>
      <c r="E114" s="3042">
        <f t="shared" ca="1" si="6"/>
        <v>22832</v>
      </c>
      <c r="F114" s="3041">
        <f t="shared" ca="1" si="5"/>
        <v>0</v>
      </c>
    </row>
    <row r="115" spans="1:6">
      <c r="A115" s="3390" t="s">
        <v>40</v>
      </c>
      <c r="B115" s="3390"/>
      <c r="C115" s="2942">
        <f>SUM(C98:C114)</f>
        <v>0</v>
      </c>
      <c r="D115" s="2942" t="s">
        <v>1377</v>
      </c>
      <c r="E115" s="3043" t="s">
        <v>3447</v>
      </c>
      <c r="F115" s="3041">
        <f ca="1">SUM(F98:F114)</f>
        <v>0</v>
      </c>
    </row>
    <row r="116" spans="1:6">
      <c r="A116" s="3393"/>
      <c r="B116" s="2943"/>
      <c r="C116" s="2941"/>
      <c r="D116" s="2944" t="s">
        <v>48</v>
      </c>
      <c r="E116" s="3043">
        <f ca="1">'结果表（地下车库）'!I118</f>
        <v>7417</v>
      </c>
      <c r="F116" s="3041">
        <f ca="1">ROUND(C116*E116/10000,2)</f>
        <v>0</v>
      </c>
    </row>
    <row r="117" spans="1:6">
      <c r="A117" s="3393"/>
      <c r="B117" s="2943"/>
      <c r="C117" s="2941"/>
      <c r="D117" s="2944" t="s">
        <v>48</v>
      </c>
      <c r="E117" s="3042">
        <f ca="1">E116</f>
        <v>7417</v>
      </c>
      <c r="F117" s="3041">
        <f t="shared" ref="F117:F180" ca="1" si="7">ROUND(C117*E117/10000,2)</f>
        <v>0</v>
      </c>
    </row>
    <row r="118" spans="1:6">
      <c r="A118" s="3393"/>
      <c r="B118" s="2943"/>
      <c r="C118" s="2941"/>
      <c r="D118" s="2944" t="s">
        <v>48</v>
      </c>
      <c r="E118" s="3042">
        <f t="shared" ref="E118:E181" ca="1" si="8">E117</f>
        <v>7417</v>
      </c>
      <c r="F118" s="3041">
        <f t="shared" ca="1" si="7"/>
        <v>0</v>
      </c>
    </row>
    <row r="119" spans="1:6">
      <c r="A119" s="3393"/>
      <c r="B119" s="2943"/>
      <c r="C119" s="2941"/>
      <c r="D119" s="2944" t="s">
        <v>48</v>
      </c>
      <c r="E119" s="3042">
        <f t="shared" ca="1" si="8"/>
        <v>7417</v>
      </c>
      <c r="F119" s="3041">
        <f t="shared" ca="1" si="7"/>
        <v>0</v>
      </c>
    </row>
    <row r="120" spans="1:6">
      <c r="A120" s="3393"/>
      <c r="B120" s="2943"/>
      <c r="C120" s="2941"/>
      <c r="D120" s="2944" t="s">
        <v>48</v>
      </c>
      <c r="E120" s="3042">
        <f t="shared" ca="1" si="8"/>
        <v>7417</v>
      </c>
      <c r="F120" s="3041">
        <f t="shared" ca="1" si="7"/>
        <v>0</v>
      </c>
    </row>
    <row r="121" spans="1:6">
      <c r="A121" s="3393"/>
      <c r="B121" s="2943"/>
      <c r="C121" s="2941"/>
      <c r="D121" s="2944" t="s">
        <v>48</v>
      </c>
      <c r="E121" s="3042">
        <f t="shared" ca="1" si="8"/>
        <v>7417</v>
      </c>
      <c r="F121" s="3041">
        <f t="shared" ca="1" si="7"/>
        <v>0</v>
      </c>
    </row>
    <row r="122" spans="1:6">
      <c r="A122" s="3393"/>
      <c r="B122" s="2943"/>
      <c r="C122" s="2941"/>
      <c r="D122" s="2944" t="s">
        <v>48</v>
      </c>
      <c r="E122" s="3042">
        <f t="shared" ca="1" si="8"/>
        <v>7417</v>
      </c>
      <c r="F122" s="3041">
        <f t="shared" ca="1" si="7"/>
        <v>0</v>
      </c>
    </row>
    <row r="123" spans="1:6">
      <c r="A123" s="3393"/>
      <c r="B123" s="2943"/>
      <c r="C123" s="2941"/>
      <c r="D123" s="2944" t="s">
        <v>48</v>
      </c>
      <c r="E123" s="3042">
        <f t="shared" ca="1" si="8"/>
        <v>7417</v>
      </c>
      <c r="F123" s="3041">
        <f t="shared" ca="1" si="7"/>
        <v>0</v>
      </c>
    </row>
    <row r="124" spans="1:6">
      <c r="A124" s="3393"/>
      <c r="B124" s="2943"/>
      <c r="C124" s="2941"/>
      <c r="D124" s="2944" t="s">
        <v>48</v>
      </c>
      <c r="E124" s="3042">
        <f t="shared" ca="1" si="8"/>
        <v>7417</v>
      </c>
      <c r="F124" s="3041">
        <f t="shared" ca="1" si="7"/>
        <v>0</v>
      </c>
    </row>
    <row r="125" spans="1:6">
      <c r="A125" s="3393"/>
      <c r="B125" s="2943"/>
      <c r="C125" s="2941"/>
      <c r="D125" s="2944" t="s">
        <v>48</v>
      </c>
      <c r="E125" s="3042">
        <f t="shared" ca="1" si="8"/>
        <v>7417</v>
      </c>
      <c r="F125" s="3041">
        <f t="shared" ca="1" si="7"/>
        <v>0</v>
      </c>
    </row>
    <row r="126" spans="1:6">
      <c r="A126" s="3393"/>
      <c r="B126" s="2943"/>
      <c r="C126" s="2941"/>
      <c r="D126" s="2944" t="s">
        <v>48</v>
      </c>
      <c r="E126" s="3042">
        <f t="shared" ca="1" si="8"/>
        <v>7417</v>
      </c>
      <c r="F126" s="3041">
        <f t="shared" ca="1" si="7"/>
        <v>0</v>
      </c>
    </row>
    <row r="127" spans="1:6">
      <c r="A127" s="3393"/>
      <c r="B127" s="2943"/>
      <c r="C127" s="2941"/>
      <c r="D127" s="2944" t="s">
        <v>48</v>
      </c>
      <c r="E127" s="3042">
        <f t="shared" ca="1" si="8"/>
        <v>7417</v>
      </c>
      <c r="F127" s="3041">
        <f t="shared" ca="1" si="7"/>
        <v>0</v>
      </c>
    </row>
    <row r="128" spans="1:6">
      <c r="A128" s="3393"/>
      <c r="B128" s="2943"/>
      <c r="C128" s="2941"/>
      <c r="D128" s="2944" t="s">
        <v>48</v>
      </c>
      <c r="E128" s="3042">
        <f t="shared" ca="1" si="8"/>
        <v>7417</v>
      </c>
      <c r="F128" s="3041">
        <f t="shared" ca="1" si="7"/>
        <v>0</v>
      </c>
    </row>
    <row r="129" spans="1:6">
      <c r="A129" s="3393"/>
      <c r="B129" s="2943"/>
      <c r="C129" s="2941"/>
      <c r="D129" s="2944" t="s">
        <v>48</v>
      </c>
      <c r="E129" s="3042">
        <f t="shared" ca="1" si="8"/>
        <v>7417</v>
      </c>
      <c r="F129" s="3041">
        <f t="shared" ca="1" si="7"/>
        <v>0</v>
      </c>
    </row>
    <row r="130" spans="1:6">
      <c r="A130" s="3393"/>
      <c r="B130" s="2943"/>
      <c r="C130" s="2941"/>
      <c r="D130" s="2944" t="s">
        <v>48</v>
      </c>
      <c r="E130" s="3042">
        <f t="shared" ca="1" si="8"/>
        <v>7417</v>
      </c>
      <c r="F130" s="3041">
        <f t="shared" ca="1" si="7"/>
        <v>0</v>
      </c>
    </row>
    <row r="131" spans="1:6">
      <c r="A131" s="3393"/>
      <c r="B131" s="2943"/>
      <c r="C131" s="2941"/>
      <c r="D131" s="2944" t="s">
        <v>48</v>
      </c>
      <c r="E131" s="3042">
        <f t="shared" ca="1" si="8"/>
        <v>7417</v>
      </c>
      <c r="F131" s="3041">
        <f t="shared" ca="1" si="7"/>
        <v>0</v>
      </c>
    </row>
    <row r="132" spans="1:6">
      <c r="A132" s="3393"/>
      <c r="B132" s="2943"/>
      <c r="C132" s="2941"/>
      <c r="D132" s="2944" t="s">
        <v>48</v>
      </c>
      <c r="E132" s="3042">
        <f t="shared" ca="1" si="8"/>
        <v>7417</v>
      </c>
      <c r="F132" s="3041">
        <f t="shared" ca="1" si="7"/>
        <v>0</v>
      </c>
    </row>
    <row r="133" spans="1:6">
      <c r="A133" s="3393"/>
      <c r="B133" s="2943"/>
      <c r="C133" s="2941"/>
      <c r="D133" s="2944" t="s">
        <v>48</v>
      </c>
      <c r="E133" s="3042">
        <f t="shared" ca="1" si="8"/>
        <v>7417</v>
      </c>
      <c r="F133" s="3041">
        <f t="shared" ca="1" si="7"/>
        <v>0</v>
      </c>
    </row>
    <row r="134" spans="1:6">
      <c r="A134" s="3393"/>
      <c r="B134" s="2943"/>
      <c r="C134" s="2941"/>
      <c r="D134" s="2944" t="s">
        <v>48</v>
      </c>
      <c r="E134" s="3042">
        <f t="shared" ca="1" si="8"/>
        <v>7417</v>
      </c>
      <c r="F134" s="3041">
        <f t="shared" ca="1" si="7"/>
        <v>0</v>
      </c>
    </row>
    <row r="135" spans="1:6">
      <c r="A135" s="3393"/>
      <c r="B135" s="2943"/>
      <c r="C135" s="2941"/>
      <c r="D135" s="2944" t="s">
        <v>48</v>
      </c>
      <c r="E135" s="3042">
        <f t="shared" ca="1" si="8"/>
        <v>7417</v>
      </c>
      <c r="F135" s="3041">
        <f t="shared" ca="1" si="7"/>
        <v>0</v>
      </c>
    </row>
    <row r="136" spans="1:6">
      <c r="A136" s="3393"/>
      <c r="B136" s="2943"/>
      <c r="C136" s="2941"/>
      <c r="D136" s="2944" t="s">
        <v>48</v>
      </c>
      <c r="E136" s="3042">
        <f t="shared" ca="1" si="8"/>
        <v>7417</v>
      </c>
      <c r="F136" s="3041">
        <f t="shared" ca="1" si="7"/>
        <v>0</v>
      </c>
    </row>
    <row r="137" spans="1:6">
      <c r="A137" s="3393"/>
      <c r="B137" s="2943"/>
      <c r="C137" s="2941"/>
      <c r="D137" s="2944" t="s">
        <v>48</v>
      </c>
      <c r="E137" s="3042">
        <f t="shared" ca="1" si="8"/>
        <v>7417</v>
      </c>
      <c r="F137" s="3041">
        <f t="shared" ca="1" si="7"/>
        <v>0</v>
      </c>
    </row>
    <row r="138" spans="1:6">
      <c r="A138" s="3393"/>
      <c r="B138" s="2943"/>
      <c r="C138" s="2941"/>
      <c r="D138" s="2944" t="s">
        <v>48</v>
      </c>
      <c r="E138" s="3042">
        <f t="shared" ca="1" si="8"/>
        <v>7417</v>
      </c>
      <c r="F138" s="3041">
        <f t="shared" ca="1" si="7"/>
        <v>0</v>
      </c>
    </row>
    <row r="139" spans="1:6">
      <c r="A139" s="3393"/>
      <c r="B139" s="2943"/>
      <c r="C139" s="2941"/>
      <c r="D139" s="2944" t="s">
        <v>48</v>
      </c>
      <c r="E139" s="3042">
        <f t="shared" ca="1" si="8"/>
        <v>7417</v>
      </c>
      <c r="F139" s="3041">
        <f t="shared" ca="1" si="7"/>
        <v>0</v>
      </c>
    </row>
    <row r="140" spans="1:6">
      <c r="A140" s="3393"/>
      <c r="B140" s="2943"/>
      <c r="C140" s="2941"/>
      <c r="D140" s="2944" t="s">
        <v>48</v>
      </c>
      <c r="E140" s="3042">
        <f t="shared" ca="1" si="8"/>
        <v>7417</v>
      </c>
      <c r="F140" s="3041">
        <f t="shared" ca="1" si="7"/>
        <v>0</v>
      </c>
    </row>
    <row r="141" spans="1:6">
      <c r="A141" s="3393"/>
      <c r="B141" s="2943"/>
      <c r="C141" s="2941"/>
      <c r="D141" s="2944" t="s">
        <v>48</v>
      </c>
      <c r="E141" s="3042">
        <f t="shared" ca="1" si="8"/>
        <v>7417</v>
      </c>
      <c r="F141" s="3041">
        <f t="shared" ca="1" si="7"/>
        <v>0</v>
      </c>
    </row>
    <row r="142" spans="1:6">
      <c r="A142" s="3393"/>
      <c r="B142" s="2943"/>
      <c r="C142" s="2941"/>
      <c r="D142" s="2944" t="s">
        <v>48</v>
      </c>
      <c r="E142" s="3042">
        <f t="shared" ca="1" si="8"/>
        <v>7417</v>
      </c>
      <c r="F142" s="3041">
        <f t="shared" ca="1" si="7"/>
        <v>0</v>
      </c>
    </row>
    <row r="143" spans="1:6">
      <c r="A143" s="3393"/>
      <c r="B143" s="2943"/>
      <c r="C143" s="2941"/>
      <c r="D143" s="2944" t="s">
        <v>48</v>
      </c>
      <c r="E143" s="3042">
        <f t="shared" ca="1" si="8"/>
        <v>7417</v>
      </c>
      <c r="F143" s="3041">
        <f t="shared" ca="1" si="7"/>
        <v>0</v>
      </c>
    </row>
    <row r="144" spans="1:6">
      <c r="A144" s="3393"/>
      <c r="B144" s="2943"/>
      <c r="C144" s="2941"/>
      <c r="D144" s="2944" t="s">
        <v>48</v>
      </c>
      <c r="E144" s="3042">
        <f t="shared" ca="1" si="8"/>
        <v>7417</v>
      </c>
      <c r="F144" s="3041">
        <f t="shared" ca="1" si="7"/>
        <v>0</v>
      </c>
    </row>
    <row r="145" spans="1:6">
      <c r="A145" s="3393"/>
      <c r="B145" s="2943"/>
      <c r="C145" s="2941"/>
      <c r="D145" s="2944" t="s">
        <v>48</v>
      </c>
      <c r="E145" s="3042">
        <f t="shared" ca="1" si="8"/>
        <v>7417</v>
      </c>
      <c r="F145" s="3041">
        <f t="shared" ca="1" si="7"/>
        <v>0</v>
      </c>
    </row>
    <row r="146" spans="1:6">
      <c r="A146" s="3393"/>
      <c r="B146" s="2943"/>
      <c r="C146" s="2941"/>
      <c r="D146" s="2944" t="s">
        <v>48</v>
      </c>
      <c r="E146" s="3042">
        <f t="shared" ca="1" si="8"/>
        <v>7417</v>
      </c>
      <c r="F146" s="3041">
        <f t="shared" ca="1" si="7"/>
        <v>0</v>
      </c>
    </row>
    <row r="147" spans="1:6">
      <c r="A147" s="3393"/>
      <c r="B147" s="2943"/>
      <c r="C147" s="2941"/>
      <c r="D147" s="2944" t="s">
        <v>48</v>
      </c>
      <c r="E147" s="3042">
        <f t="shared" ca="1" si="8"/>
        <v>7417</v>
      </c>
      <c r="F147" s="3041">
        <f t="shared" ca="1" si="7"/>
        <v>0</v>
      </c>
    </row>
    <row r="148" spans="1:6">
      <c r="A148" s="3393"/>
      <c r="B148" s="2943"/>
      <c r="C148" s="2941"/>
      <c r="D148" s="2944" t="s">
        <v>48</v>
      </c>
      <c r="E148" s="3042">
        <f t="shared" ca="1" si="8"/>
        <v>7417</v>
      </c>
      <c r="F148" s="3041">
        <f t="shared" ca="1" si="7"/>
        <v>0</v>
      </c>
    </row>
    <row r="149" spans="1:6">
      <c r="A149" s="3393"/>
      <c r="B149" s="2943"/>
      <c r="C149" s="2941"/>
      <c r="D149" s="2944" t="s">
        <v>48</v>
      </c>
      <c r="E149" s="3042">
        <f t="shared" ca="1" si="8"/>
        <v>7417</v>
      </c>
      <c r="F149" s="3041">
        <f t="shared" ca="1" si="7"/>
        <v>0</v>
      </c>
    </row>
    <row r="150" spans="1:6">
      <c r="A150" s="3393"/>
      <c r="B150" s="2943"/>
      <c r="C150" s="2941"/>
      <c r="D150" s="2944" t="s">
        <v>48</v>
      </c>
      <c r="E150" s="3042">
        <f t="shared" ca="1" si="8"/>
        <v>7417</v>
      </c>
      <c r="F150" s="3041">
        <f t="shared" ca="1" si="7"/>
        <v>0</v>
      </c>
    </row>
    <row r="151" spans="1:6">
      <c r="A151" s="3393"/>
      <c r="B151" s="2943"/>
      <c r="C151" s="2941"/>
      <c r="D151" s="2944" t="s">
        <v>48</v>
      </c>
      <c r="E151" s="3042">
        <f t="shared" ca="1" si="8"/>
        <v>7417</v>
      </c>
      <c r="F151" s="3041">
        <f t="shared" ca="1" si="7"/>
        <v>0</v>
      </c>
    </row>
    <row r="152" spans="1:6">
      <c r="A152" s="3393"/>
      <c r="B152" s="2943"/>
      <c r="C152" s="2941"/>
      <c r="D152" s="2944" t="s">
        <v>48</v>
      </c>
      <c r="E152" s="3042">
        <f t="shared" ca="1" si="8"/>
        <v>7417</v>
      </c>
      <c r="F152" s="3041">
        <f t="shared" ca="1" si="7"/>
        <v>0</v>
      </c>
    </row>
    <row r="153" spans="1:6">
      <c r="A153" s="3393"/>
      <c r="B153" s="2943"/>
      <c r="C153" s="2941"/>
      <c r="D153" s="2944" t="s">
        <v>48</v>
      </c>
      <c r="E153" s="3042">
        <f t="shared" ca="1" si="8"/>
        <v>7417</v>
      </c>
      <c r="F153" s="3041">
        <f t="shared" ca="1" si="7"/>
        <v>0</v>
      </c>
    </row>
    <row r="154" spans="1:6">
      <c r="A154" s="3393"/>
      <c r="B154" s="2943"/>
      <c r="C154" s="2941"/>
      <c r="D154" s="2944" t="s">
        <v>48</v>
      </c>
      <c r="E154" s="3042">
        <f t="shared" ca="1" si="8"/>
        <v>7417</v>
      </c>
      <c r="F154" s="3041">
        <f t="shared" ca="1" si="7"/>
        <v>0</v>
      </c>
    </row>
    <row r="155" spans="1:6">
      <c r="A155" s="3393"/>
      <c r="B155" s="2943"/>
      <c r="C155" s="2941"/>
      <c r="D155" s="2944" t="s">
        <v>48</v>
      </c>
      <c r="E155" s="3042">
        <f t="shared" ca="1" si="8"/>
        <v>7417</v>
      </c>
      <c r="F155" s="3041">
        <f t="shared" ca="1" si="7"/>
        <v>0</v>
      </c>
    </row>
    <row r="156" spans="1:6">
      <c r="A156" s="3393"/>
      <c r="B156" s="2943"/>
      <c r="C156" s="2941"/>
      <c r="D156" s="2944" t="s">
        <v>48</v>
      </c>
      <c r="E156" s="3042">
        <f t="shared" ca="1" si="8"/>
        <v>7417</v>
      </c>
      <c r="F156" s="3041">
        <f t="shared" ca="1" si="7"/>
        <v>0</v>
      </c>
    </row>
    <row r="157" spans="1:6">
      <c r="A157" s="3393"/>
      <c r="B157" s="2943"/>
      <c r="C157" s="2941"/>
      <c r="D157" s="2944" t="s">
        <v>48</v>
      </c>
      <c r="E157" s="3042">
        <f t="shared" ca="1" si="8"/>
        <v>7417</v>
      </c>
      <c r="F157" s="3041">
        <f t="shared" ca="1" si="7"/>
        <v>0</v>
      </c>
    </row>
    <row r="158" spans="1:6">
      <c r="A158" s="3393"/>
      <c r="B158" s="2943"/>
      <c r="C158" s="2941"/>
      <c r="D158" s="2944" t="s">
        <v>48</v>
      </c>
      <c r="E158" s="3042">
        <f t="shared" ca="1" si="8"/>
        <v>7417</v>
      </c>
      <c r="F158" s="3041">
        <f t="shared" ca="1" si="7"/>
        <v>0</v>
      </c>
    </row>
    <row r="159" spans="1:6">
      <c r="A159" s="3393"/>
      <c r="B159" s="2943"/>
      <c r="C159" s="2941"/>
      <c r="D159" s="2944" t="s">
        <v>48</v>
      </c>
      <c r="E159" s="3042">
        <f t="shared" ca="1" si="8"/>
        <v>7417</v>
      </c>
      <c r="F159" s="3041">
        <f t="shared" ca="1" si="7"/>
        <v>0</v>
      </c>
    </row>
    <row r="160" spans="1:6">
      <c r="A160" s="3393"/>
      <c r="B160" s="2943"/>
      <c r="C160" s="2941"/>
      <c r="D160" s="2944" t="s">
        <v>48</v>
      </c>
      <c r="E160" s="3042">
        <f t="shared" ca="1" si="8"/>
        <v>7417</v>
      </c>
      <c r="F160" s="3041">
        <f t="shared" ca="1" si="7"/>
        <v>0</v>
      </c>
    </row>
    <row r="161" spans="1:6">
      <c r="A161" s="3393"/>
      <c r="B161" s="2943"/>
      <c r="C161" s="2941"/>
      <c r="D161" s="2944" t="s">
        <v>48</v>
      </c>
      <c r="E161" s="3042">
        <f t="shared" ca="1" si="8"/>
        <v>7417</v>
      </c>
      <c r="F161" s="3041">
        <f t="shared" ca="1" si="7"/>
        <v>0</v>
      </c>
    </row>
    <row r="162" spans="1:6">
      <c r="A162" s="3393"/>
      <c r="B162" s="2943"/>
      <c r="C162" s="2941"/>
      <c r="D162" s="2944" t="s">
        <v>48</v>
      </c>
      <c r="E162" s="3042">
        <f t="shared" ca="1" si="8"/>
        <v>7417</v>
      </c>
      <c r="F162" s="3041">
        <f t="shared" ca="1" si="7"/>
        <v>0</v>
      </c>
    </row>
    <row r="163" spans="1:6">
      <c r="A163" s="3393"/>
      <c r="B163" s="2943"/>
      <c r="C163" s="2941"/>
      <c r="D163" s="2944" t="s">
        <v>48</v>
      </c>
      <c r="E163" s="3042">
        <f t="shared" ca="1" si="8"/>
        <v>7417</v>
      </c>
      <c r="F163" s="3041">
        <f t="shared" ca="1" si="7"/>
        <v>0</v>
      </c>
    </row>
    <row r="164" spans="1:6">
      <c r="A164" s="3393"/>
      <c r="B164" s="2943"/>
      <c r="C164" s="2941"/>
      <c r="D164" s="2944" t="s">
        <v>48</v>
      </c>
      <c r="E164" s="3042">
        <f t="shared" ca="1" si="8"/>
        <v>7417</v>
      </c>
      <c r="F164" s="3041">
        <f t="shared" ca="1" si="7"/>
        <v>0</v>
      </c>
    </row>
    <row r="165" spans="1:6">
      <c r="A165" s="3393"/>
      <c r="B165" s="2943"/>
      <c r="C165" s="2941"/>
      <c r="D165" s="2944" t="s">
        <v>48</v>
      </c>
      <c r="E165" s="3042">
        <f t="shared" ca="1" si="8"/>
        <v>7417</v>
      </c>
      <c r="F165" s="3041">
        <f t="shared" ca="1" si="7"/>
        <v>0</v>
      </c>
    </row>
    <row r="166" spans="1:6">
      <c r="A166" s="3393"/>
      <c r="B166" s="2943"/>
      <c r="C166" s="2941"/>
      <c r="D166" s="2944" t="s">
        <v>48</v>
      </c>
      <c r="E166" s="3042">
        <f t="shared" ca="1" si="8"/>
        <v>7417</v>
      </c>
      <c r="F166" s="3041">
        <f t="shared" ca="1" si="7"/>
        <v>0</v>
      </c>
    </row>
    <row r="167" spans="1:6">
      <c r="A167" s="3393"/>
      <c r="B167" s="2943"/>
      <c r="C167" s="2941"/>
      <c r="D167" s="2944" t="s">
        <v>48</v>
      </c>
      <c r="E167" s="3042">
        <f t="shared" ca="1" si="8"/>
        <v>7417</v>
      </c>
      <c r="F167" s="3041">
        <f t="shared" ca="1" si="7"/>
        <v>0</v>
      </c>
    </row>
    <row r="168" spans="1:6">
      <c r="A168" s="3393"/>
      <c r="B168" s="2943"/>
      <c r="C168" s="2941"/>
      <c r="D168" s="2944" t="s">
        <v>48</v>
      </c>
      <c r="E168" s="3042">
        <f t="shared" ca="1" si="8"/>
        <v>7417</v>
      </c>
      <c r="F168" s="3041">
        <f t="shared" ca="1" si="7"/>
        <v>0</v>
      </c>
    </row>
    <row r="169" spans="1:6">
      <c r="A169" s="3393"/>
      <c r="B169" s="2943"/>
      <c r="C169" s="2941"/>
      <c r="D169" s="2944" t="s">
        <v>48</v>
      </c>
      <c r="E169" s="3042">
        <f t="shared" ca="1" si="8"/>
        <v>7417</v>
      </c>
      <c r="F169" s="3041">
        <f t="shared" ca="1" si="7"/>
        <v>0</v>
      </c>
    </row>
    <row r="170" spans="1:6">
      <c r="A170" s="3393"/>
      <c r="B170" s="2943"/>
      <c r="C170" s="2941"/>
      <c r="D170" s="2944" t="s">
        <v>48</v>
      </c>
      <c r="E170" s="3042">
        <f t="shared" ca="1" si="8"/>
        <v>7417</v>
      </c>
      <c r="F170" s="3041">
        <f t="shared" ca="1" si="7"/>
        <v>0</v>
      </c>
    </row>
    <row r="171" spans="1:6">
      <c r="A171" s="3393"/>
      <c r="B171" s="2943"/>
      <c r="C171" s="2941"/>
      <c r="D171" s="2944" t="s">
        <v>48</v>
      </c>
      <c r="E171" s="3042">
        <f t="shared" ca="1" si="8"/>
        <v>7417</v>
      </c>
      <c r="F171" s="3041">
        <f t="shared" ca="1" si="7"/>
        <v>0</v>
      </c>
    </row>
    <row r="172" spans="1:6">
      <c r="A172" s="3393"/>
      <c r="B172" s="2943"/>
      <c r="C172" s="2941"/>
      <c r="D172" s="2944" t="s">
        <v>48</v>
      </c>
      <c r="E172" s="3042">
        <f t="shared" ca="1" si="8"/>
        <v>7417</v>
      </c>
      <c r="F172" s="3041">
        <f t="shared" ca="1" si="7"/>
        <v>0</v>
      </c>
    </row>
    <row r="173" spans="1:6">
      <c r="A173" s="3393"/>
      <c r="B173" s="2943"/>
      <c r="C173" s="2941"/>
      <c r="D173" s="2944" t="s">
        <v>48</v>
      </c>
      <c r="E173" s="3042">
        <f t="shared" ca="1" si="8"/>
        <v>7417</v>
      </c>
      <c r="F173" s="3041">
        <f t="shared" ca="1" si="7"/>
        <v>0</v>
      </c>
    </row>
    <row r="174" spans="1:6">
      <c r="A174" s="3393"/>
      <c r="B174" s="2943"/>
      <c r="C174" s="2941"/>
      <c r="D174" s="2944" t="s">
        <v>48</v>
      </c>
      <c r="E174" s="3042">
        <f t="shared" ca="1" si="8"/>
        <v>7417</v>
      </c>
      <c r="F174" s="3041">
        <f t="shared" ca="1" si="7"/>
        <v>0</v>
      </c>
    </row>
    <row r="175" spans="1:6">
      <c r="A175" s="3393"/>
      <c r="B175" s="2943"/>
      <c r="C175" s="2941"/>
      <c r="D175" s="2944" t="s">
        <v>48</v>
      </c>
      <c r="E175" s="3042">
        <f t="shared" ca="1" si="8"/>
        <v>7417</v>
      </c>
      <c r="F175" s="3041">
        <f t="shared" ca="1" si="7"/>
        <v>0</v>
      </c>
    </row>
    <row r="176" spans="1:6">
      <c r="A176" s="3393"/>
      <c r="B176" s="2943"/>
      <c r="C176" s="2941"/>
      <c r="D176" s="2944" t="s">
        <v>48</v>
      </c>
      <c r="E176" s="3042">
        <f t="shared" ca="1" si="8"/>
        <v>7417</v>
      </c>
      <c r="F176" s="3041">
        <f t="shared" ca="1" si="7"/>
        <v>0</v>
      </c>
    </row>
    <row r="177" spans="1:6">
      <c r="A177" s="3393"/>
      <c r="B177" s="2943"/>
      <c r="C177" s="2941"/>
      <c r="D177" s="2944" t="s">
        <v>48</v>
      </c>
      <c r="E177" s="3042">
        <f t="shared" ca="1" si="8"/>
        <v>7417</v>
      </c>
      <c r="F177" s="3041">
        <f t="shared" ca="1" si="7"/>
        <v>0</v>
      </c>
    </row>
    <row r="178" spans="1:6">
      <c r="A178" s="3393"/>
      <c r="B178" s="2943"/>
      <c r="C178" s="2941"/>
      <c r="D178" s="2944" t="s">
        <v>48</v>
      </c>
      <c r="E178" s="3042">
        <f t="shared" ca="1" si="8"/>
        <v>7417</v>
      </c>
      <c r="F178" s="3041">
        <f t="shared" ca="1" si="7"/>
        <v>0</v>
      </c>
    </row>
    <row r="179" spans="1:6">
      <c r="A179" s="3393"/>
      <c r="B179" s="2943"/>
      <c r="C179" s="2941"/>
      <c r="D179" s="2944" t="s">
        <v>48</v>
      </c>
      <c r="E179" s="3042">
        <f t="shared" ca="1" si="8"/>
        <v>7417</v>
      </c>
      <c r="F179" s="3041">
        <f t="shared" ca="1" si="7"/>
        <v>0</v>
      </c>
    </row>
    <row r="180" spans="1:6">
      <c r="A180" s="3393"/>
      <c r="B180" s="2943"/>
      <c r="C180" s="2941"/>
      <c r="D180" s="2944" t="s">
        <v>48</v>
      </c>
      <c r="E180" s="3042">
        <f t="shared" ca="1" si="8"/>
        <v>7417</v>
      </c>
      <c r="F180" s="3041">
        <f t="shared" ca="1" si="7"/>
        <v>0</v>
      </c>
    </row>
    <row r="181" spans="1:6">
      <c r="A181" s="3393"/>
      <c r="B181" s="2943"/>
      <c r="C181" s="2941"/>
      <c r="D181" s="2944" t="s">
        <v>48</v>
      </c>
      <c r="E181" s="3042">
        <f t="shared" ca="1" si="8"/>
        <v>7417</v>
      </c>
      <c r="F181" s="3041">
        <f t="shared" ref="F181:F244" ca="1" si="9">ROUND(C181*E181/10000,2)</f>
        <v>0</v>
      </c>
    </row>
    <row r="182" spans="1:6">
      <c r="A182" s="3393"/>
      <c r="B182" s="2943"/>
      <c r="C182" s="2941"/>
      <c r="D182" s="2944" t="s">
        <v>48</v>
      </c>
      <c r="E182" s="3042">
        <f t="shared" ref="E182:E245" ca="1" si="10">E181</f>
        <v>7417</v>
      </c>
      <c r="F182" s="3041">
        <f t="shared" ca="1" si="9"/>
        <v>0</v>
      </c>
    </row>
    <row r="183" spans="1:6">
      <c r="A183" s="3393"/>
      <c r="B183" s="2943"/>
      <c r="C183" s="2941"/>
      <c r="D183" s="2944" t="s">
        <v>48</v>
      </c>
      <c r="E183" s="3042">
        <f t="shared" ca="1" si="10"/>
        <v>7417</v>
      </c>
      <c r="F183" s="3041">
        <f t="shared" ca="1" si="9"/>
        <v>0</v>
      </c>
    </row>
    <row r="184" spans="1:6">
      <c r="A184" s="3393"/>
      <c r="B184" s="2943"/>
      <c r="C184" s="2941"/>
      <c r="D184" s="2944" t="s">
        <v>48</v>
      </c>
      <c r="E184" s="3042">
        <f t="shared" ca="1" si="10"/>
        <v>7417</v>
      </c>
      <c r="F184" s="3041">
        <f t="shared" ca="1" si="9"/>
        <v>0</v>
      </c>
    </row>
    <row r="185" spans="1:6">
      <c r="A185" s="3393"/>
      <c r="B185" s="2943"/>
      <c r="C185" s="2941"/>
      <c r="D185" s="2944" t="s">
        <v>48</v>
      </c>
      <c r="E185" s="3042">
        <f t="shared" ca="1" si="10"/>
        <v>7417</v>
      </c>
      <c r="F185" s="3041">
        <f t="shared" ca="1" si="9"/>
        <v>0</v>
      </c>
    </row>
    <row r="186" spans="1:6">
      <c r="A186" s="3393"/>
      <c r="B186" s="2943"/>
      <c r="C186" s="2941"/>
      <c r="D186" s="2944" t="s">
        <v>48</v>
      </c>
      <c r="E186" s="3042">
        <f t="shared" ca="1" si="10"/>
        <v>7417</v>
      </c>
      <c r="F186" s="3041">
        <f t="shared" ca="1" si="9"/>
        <v>0</v>
      </c>
    </row>
    <row r="187" spans="1:6">
      <c r="A187" s="3393"/>
      <c r="B187" s="2943"/>
      <c r="C187" s="2941"/>
      <c r="D187" s="2944" t="s">
        <v>48</v>
      </c>
      <c r="E187" s="3042">
        <f t="shared" ca="1" si="10"/>
        <v>7417</v>
      </c>
      <c r="F187" s="3041">
        <f t="shared" ca="1" si="9"/>
        <v>0</v>
      </c>
    </row>
    <row r="188" spans="1:6">
      <c r="A188" s="3393"/>
      <c r="B188" s="2943"/>
      <c r="C188" s="2941"/>
      <c r="D188" s="2944" t="s">
        <v>48</v>
      </c>
      <c r="E188" s="3042">
        <f t="shared" ca="1" si="10"/>
        <v>7417</v>
      </c>
      <c r="F188" s="3041">
        <f t="shared" ca="1" si="9"/>
        <v>0</v>
      </c>
    </row>
    <row r="189" spans="1:6">
      <c r="A189" s="3393"/>
      <c r="B189" s="2943"/>
      <c r="C189" s="2941"/>
      <c r="D189" s="2944" t="s">
        <v>48</v>
      </c>
      <c r="E189" s="3042">
        <f t="shared" ca="1" si="10"/>
        <v>7417</v>
      </c>
      <c r="F189" s="3041">
        <f t="shared" ca="1" si="9"/>
        <v>0</v>
      </c>
    </row>
    <row r="190" spans="1:6">
      <c r="A190" s="3393"/>
      <c r="B190" s="2943"/>
      <c r="C190" s="2941"/>
      <c r="D190" s="2944" t="s">
        <v>48</v>
      </c>
      <c r="E190" s="3042">
        <f t="shared" ca="1" si="10"/>
        <v>7417</v>
      </c>
      <c r="F190" s="3041">
        <f t="shared" ca="1" si="9"/>
        <v>0</v>
      </c>
    </row>
    <row r="191" spans="1:6">
      <c r="A191" s="3393"/>
      <c r="B191" s="2943"/>
      <c r="C191" s="2941"/>
      <c r="D191" s="2944" t="s">
        <v>48</v>
      </c>
      <c r="E191" s="3042">
        <f t="shared" ca="1" si="10"/>
        <v>7417</v>
      </c>
      <c r="F191" s="3041">
        <f t="shared" ca="1" si="9"/>
        <v>0</v>
      </c>
    </row>
    <row r="192" spans="1:6">
      <c r="A192" s="3393"/>
      <c r="B192" s="2943"/>
      <c r="C192" s="2941"/>
      <c r="D192" s="2944" t="s">
        <v>48</v>
      </c>
      <c r="E192" s="3042">
        <f t="shared" ca="1" si="10"/>
        <v>7417</v>
      </c>
      <c r="F192" s="3041">
        <f t="shared" ca="1" si="9"/>
        <v>0</v>
      </c>
    </row>
    <row r="193" spans="1:6">
      <c r="A193" s="3393"/>
      <c r="B193" s="2943"/>
      <c r="C193" s="2941"/>
      <c r="D193" s="2944" t="s">
        <v>48</v>
      </c>
      <c r="E193" s="3042">
        <f t="shared" ca="1" si="10"/>
        <v>7417</v>
      </c>
      <c r="F193" s="3041">
        <f t="shared" ca="1" si="9"/>
        <v>0</v>
      </c>
    </row>
    <row r="194" spans="1:6">
      <c r="A194" s="3393"/>
      <c r="B194" s="2943"/>
      <c r="C194" s="2941"/>
      <c r="D194" s="2944" t="s">
        <v>48</v>
      </c>
      <c r="E194" s="3042">
        <f t="shared" ca="1" si="10"/>
        <v>7417</v>
      </c>
      <c r="F194" s="3041">
        <f t="shared" ca="1" si="9"/>
        <v>0</v>
      </c>
    </row>
    <row r="195" spans="1:6">
      <c r="A195" s="3393"/>
      <c r="B195" s="2943"/>
      <c r="C195" s="2941"/>
      <c r="D195" s="2944" t="s">
        <v>48</v>
      </c>
      <c r="E195" s="3042">
        <f t="shared" ca="1" si="10"/>
        <v>7417</v>
      </c>
      <c r="F195" s="3041">
        <f t="shared" ca="1" si="9"/>
        <v>0</v>
      </c>
    </row>
    <row r="196" spans="1:6">
      <c r="A196" s="3393"/>
      <c r="B196" s="2943"/>
      <c r="C196" s="2941"/>
      <c r="D196" s="2944" t="s">
        <v>48</v>
      </c>
      <c r="E196" s="3042">
        <f t="shared" ca="1" si="10"/>
        <v>7417</v>
      </c>
      <c r="F196" s="3041">
        <f t="shared" ca="1" si="9"/>
        <v>0</v>
      </c>
    </row>
    <row r="197" spans="1:6">
      <c r="A197" s="3393"/>
      <c r="B197" s="2943"/>
      <c r="C197" s="2941"/>
      <c r="D197" s="2944" t="s">
        <v>48</v>
      </c>
      <c r="E197" s="3042">
        <f t="shared" ca="1" si="10"/>
        <v>7417</v>
      </c>
      <c r="F197" s="3041">
        <f t="shared" ca="1" si="9"/>
        <v>0</v>
      </c>
    </row>
    <row r="198" spans="1:6">
      <c r="A198" s="3393"/>
      <c r="B198" s="2943"/>
      <c r="C198" s="2941"/>
      <c r="D198" s="2944" t="s">
        <v>48</v>
      </c>
      <c r="E198" s="3042">
        <f t="shared" ca="1" si="10"/>
        <v>7417</v>
      </c>
      <c r="F198" s="3041">
        <f t="shared" ca="1" si="9"/>
        <v>0</v>
      </c>
    </row>
    <row r="199" spans="1:6">
      <c r="A199" s="3393"/>
      <c r="B199" s="2943"/>
      <c r="C199" s="2941"/>
      <c r="D199" s="2944" t="s">
        <v>48</v>
      </c>
      <c r="E199" s="3042">
        <f t="shared" ca="1" si="10"/>
        <v>7417</v>
      </c>
      <c r="F199" s="3041">
        <f t="shared" ca="1" si="9"/>
        <v>0</v>
      </c>
    </row>
    <row r="200" spans="1:6">
      <c r="A200" s="3393"/>
      <c r="B200" s="2943"/>
      <c r="C200" s="2941"/>
      <c r="D200" s="2944" t="s">
        <v>48</v>
      </c>
      <c r="E200" s="3042">
        <f t="shared" ca="1" si="10"/>
        <v>7417</v>
      </c>
      <c r="F200" s="3041">
        <f t="shared" ca="1" si="9"/>
        <v>0</v>
      </c>
    </row>
    <row r="201" spans="1:6">
      <c r="A201" s="3393"/>
      <c r="B201" s="2943"/>
      <c r="C201" s="2941"/>
      <c r="D201" s="2944" t="s">
        <v>48</v>
      </c>
      <c r="E201" s="3042">
        <f t="shared" ca="1" si="10"/>
        <v>7417</v>
      </c>
      <c r="F201" s="3041">
        <f t="shared" ca="1" si="9"/>
        <v>0</v>
      </c>
    </row>
    <row r="202" spans="1:6">
      <c r="A202" s="3393"/>
      <c r="B202" s="2943"/>
      <c r="C202" s="2941"/>
      <c r="D202" s="2944" t="s">
        <v>48</v>
      </c>
      <c r="E202" s="3042">
        <f t="shared" ca="1" si="10"/>
        <v>7417</v>
      </c>
      <c r="F202" s="3041">
        <f t="shared" ca="1" si="9"/>
        <v>0</v>
      </c>
    </row>
    <row r="203" spans="1:6">
      <c r="A203" s="3393"/>
      <c r="B203" s="2943"/>
      <c r="C203" s="2941"/>
      <c r="D203" s="2944" t="s">
        <v>48</v>
      </c>
      <c r="E203" s="3042">
        <f t="shared" ca="1" si="10"/>
        <v>7417</v>
      </c>
      <c r="F203" s="3041">
        <f t="shared" ca="1" si="9"/>
        <v>0</v>
      </c>
    </row>
    <row r="204" spans="1:6">
      <c r="A204" s="3393"/>
      <c r="B204" s="2943"/>
      <c r="C204" s="2941"/>
      <c r="D204" s="2944" t="s">
        <v>48</v>
      </c>
      <c r="E204" s="3042">
        <f t="shared" ca="1" si="10"/>
        <v>7417</v>
      </c>
      <c r="F204" s="3041">
        <f t="shared" ca="1" si="9"/>
        <v>0</v>
      </c>
    </row>
    <row r="205" spans="1:6">
      <c r="A205" s="3393"/>
      <c r="B205" s="2943"/>
      <c r="C205" s="2941"/>
      <c r="D205" s="2944" t="s">
        <v>48</v>
      </c>
      <c r="E205" s="3042">
        <f t="shared" ca="1" si="10"/>
        <v>7417</v>
      </c>
      <c r="F205" s="3041">
        <f t="shared" ca="1" si="9"/>
        <v>0</v>
      </c>
    </row>
    <row r="206" spans="1:6">
      <c r="A206" s="3393"/>
      <c r="B206" s="2943"/>
      <c r="C206" s="2941"/>
      <c r="D206" s="2944" t="s">
        <v>48</v>
      </c>
      <c r="E206" s="3042">
        <f t="shared" ca="1" si="10"/>
        <v>7417</v>
      </c>
      <c r="F206" s="3041">
        <f t="shared" ca="1" si="9"/>
        <v>0</v>
      </c>
    </row>
    <row r="207" spans="1:6">
      <c r="A207" s="3393"/>
      <c r="B207" s="2943"/>
      <c r="C207" s="2941"/>
      <c r="D207" s="2944" t="s">
        <v>48</v>
      </c>
      <c r="E207" s="3042">
        <f t="shared" ca="1" si="10"/>
        <v>7417</v>
      </c>
      <c r="F207" s="3041">
        <f t="shared" ca="1" si="9"/>
        <v>0</v>
      </c>
    </row>
    <row r="208" spans="1:6">
      <c r="A208" s="3393"/>
      <c r="B208" s="2943"/>
      <c r="C208" s="2941"/>
      <c r="D208" s="2944" t="s">
        <v>48</v>
      </c>
      <c r="E208" s="3042">
        <f t="shared" ca="1" si="10"/>
        <v>7417</v>
      </c>
      <c r="F208" s="3041">
        <f t="shared" ca="1" si="9"/>
        <v>0</v>
      </c>
    </row>
    <row r="209" spans="1:6">
      <c r="A209" s="3393"/>
      <c r="B209" s="2943"/>
      <c r="C209" s="2941"/>
      <c r="D209" s="2944" t="s">
        <v>48</v>
      </c>
      <c r="E209" s="3042">
        <f t="shared" ca="1" si="10"/>
        <v>7417</v>
      </c>
      <c r="F209" s="3041">
        <f t="shared" ca="1" si="9"/>
        <v>0</v>
      </c>
    </row>
    <row r="210" spans="1:6">
      <c r="A210" s="3393"/>
      <c r="B210" s="2943"/>
      <c r="C210" s="2941"/>
      <c r="D210" s="2944" t="s">
        <v>48</v>
      </c>
      <c r="E210" s="3042">
        <f t="shared" ca="1" si="10"/>
        <v>7417</v>
      </c>
      <c r="F210" s="3041">
        <f t="shared" ca="1" si="9"/>
        <v>0</v>
      </c>
    </row>
    <row r="211" spans="1:6">
      <c r="A211" s="3393"/>
      <c r="B211" s="2943"/>
      <c r="C211" s="2941"/>
      <c r="D211" s="2944" t="s">
        <v>48</v>
      </c>
      <c r="E211" s="3042">
        <f t="shared" ca="1" si="10"/>
        <v>7417</v>
      </c>
      <c r="F211" s="3041">
        <f t="shared" ca="1" si="9"/>
        <v>0</v>
      </c>
    </row>
    <row r="212" spans="1:6">
      <c r="A212" s="3393"/>
      <c r="B212" s="2943"/>
      <c r="C212" s="2941"/>
      <c r="D212" s="2944" t="s">
        <v>48</v>
      </c>
      <c r="E212" s="3042">
        <f t="shared" ca="1" si="10"/>
        <v>7417</v>
      </c>
      <c r="F212" s="3041">
        <f t="shared" ca="1" si="9"/>
        <v>0</v>
      </c>
    </row>
    <row r="213" spans="1:6">
      <c r="A213" s="3393"/>
      <c r="B213" s="2943"/>
      <c r="C213" s="2941"/>
      <c r="D213" s="2944" t="s">
        <v>48</v>
      </c>
      <c r="E213" s="3042">
        <f t="shared" ca="1" si="10"/>
        <v>7417</v>
      </c>
      <c r="F213" s="3041">
        <f t="shared" ca="1" si="9"/>
        <v>0</v>
      </c>
    </row>
    <row r="214" spans="1:6">
      <c r="A214" s="3393"/>
      <c r="B214" s="2943"/>
      <c r="C214" s="2941"/>
      <c r="D214" s="2944" t="s">
        <v>48</v>
      </c>
      <c r="E214" s="3042">
        <f t="shared" ca="1" si="10"/>
        <v>7417</v>
      </c>
      <c r="F214" s="3041">
        <f t="shared" ca="1" si="9"/>
        <v>0</v>
      </c>
    </row>
    <row r="215" spans="1:6">
      <c r="A215" s="3393"/>
      <c r="B215" s="2943"/>
      <c r="C215" s="2941"/>
      <c r="D215" s="2944" t="s">
        <v>48</v>
      </c>
      <c r="E215" s="3042">
        <f t="shared" ca="1" si="10"/>
        <v>7417</v>
      </c>
      <c r="F215" s="3041">
        <f t="shared" ca="1" si="9"/>
        <v>0</v>
      </c>
    </row>
    <row r="216" spans="1:6">
      <c r="A216" s="3393"/>
      <c r="B216" s="2943"/>
      <c r="C216" s="2941"/>
      <c r="D216" s="2944" t="s">
        <v>48</v>
      </c>
      <c r="E216" s="3042">
        <f t="shared" ca="1" si="10"/>
        <v>7417</v>
      </c>
      <c r="F216" s="3041">
        <f t="shared" ca="1" si="9"/>
        <v>0</v>
      </c>
    </row>
    <row r="217" spans="1:6">
      <c r="A217" s="3393"/>
      <c r="B217" s="2943"/>
      <c r="C217" s="2941"/>
      <c r="D217" s="2944" t="s">
        <v>48</v>
      </c>
      <c r="E217" s="3042">
        <f t="shared" ca="1" si="10"/>
        <v>7417</v>
      </c>
      <c r="F217" s="3041">
        <f t="shared" ca="1" si="9"/>
        <v>0</v>
      </c>
    </row>
    <row r="218" spans="1:6">
      <c r="A218" s="3393"/>
      <c r="B218" s="2943"/>
      <c r="C218" s="2941"/>
      <c r="D218" s="2944" t="s">
        <v>48</v>
      </c>
      <c r="E218" s="3042">
        <f t="shared" ca="1" si="10"/>
        <v>7417</v>
      </c>
      <c r="F218" s="3041">
        <f t="shared" ca="1" si="9"/>
        <v>0</v>
      </c>
    </row>
    <row r="219" spans="1:6">
      <c r="A219" s="3393"/>
      <c r="B219" s="2943"/>
      <c r="C219" s="2941"/>
      <c r="D219" s="2944" t="s">
        <v>48</v>
      </c>
      <c r="E219" s="3042">
        <f t="shared" ca="1" si="10"/>
        <v>7417</v>
      </c>
      <c r="F219" s="3041">
        <f t="shared" ca="1" si="9"/>
        <v>0</v>
      </c>
    </row>
    <row r="220" spans="1:6">
      <c r="A220" s="3393"/>
      <c r="B220" s="2943"/>
      <c r="C220" s="2941"/>
      <c r="D220" s="2944" t="s">
        <v>48</v>
      </c>
      <c r="E220" s="3042">
        <f t="shared" ca="1" si="10"/>
        <v>7417</v>
      </c>
      <c r="F220" s="3041">
        <f t="shared" ca="1" si="9"/>
        <v>0</v>
      </c>
    </row>
    <row r="221" spans="1:6">
      <c r="A221" s="3393"/>
      <c r="B221" s="2943"/>
      <c r="C221" s="2941"/>
      <c r="D221" s="2944" t="s">
        <v>48</v>
      </c>
      <c r="E221" s="3042">
        <f t="shared" ca="1" si="10"/>
        <v>7417</v>
      </c>
      <c r="F221" s="3041">
        <f t="shared" ca="1" si="9"/>
        <v>0</v>
      </c>
    </row>
    <row r="222" spans="1:6">
      <c r="A222" s="3393"/>
      <c r="B222" s="2943"/>
      <c r="C222" s="2941"/>
      <c r="D222" s="2944" t="s">
        <v>48</v>
      </c>
      <c r="E222" s="3042">
        <f t="shared" ca="1" si="10"/>
        <v>7417</v>
      </c>
      <c r="F222" s="3041">
        <f t="shared" ca="1" si="9"/>
        <v>0</v>
      </c>
    </row>
    <row r="223" spans="1:6">
      <c r="A223" s="3393"/>
      <c r="B223" s="2943"/>
      <c r="C223" s="2941"/>
      <c r="D223" s="2944" t="s">
        <v>48</v>
      </c>
      <c r="E223" s="3042">
        <f t="shared" ca="1" si="10"/>
        <v>7417</v>
      </c>
      <c r="F223" s="3041">
        <f t="shared" ca="1" si="9"/>
        <v>0</v>
      </c>
    </row>
    <row r="224" spans="1:6">
      <c r="A224" s="3393"/>
      <c r="B224" s="2943"/>
      <c r="C224" s="2941"/>
      <c r="D224" s="2944" t="s">
        <v>48</v>
      </c>
      <c r="E224" s="3042">
        <f t="shared" ca="1" si="10"/>
        <v>7417</v>
      </c>
      <c r="F224" s="3041">
        <f t="shared" ca="1" si="9"/>
        <v>0</v>
      </c>
    </row>
    <row r="225" spans="1:6">
      <c r="A225" s="3393"/>
      <c r="B225" s="2943"/>
      <c r="C225" s="2941"/>
      <c r="D225" s="2944" t="s">
        <v>48</v>
      </c>
      <c r="E225" s="3042">
        <f t="shared" ca="1" si="10"/>
        <v>7417</v>
      </c>
      <c r="F225" s="3041">
        <f t="shared" ca="1" si="9"/>
        <v>0</v>
      </c>
    </row>
    <row r="226" spans="1:6">
      <c r="A226" s="3393"/>
      <c r="B226" s="2943"/>
      <c r="C226" s="2941"/>
      <c r="D226" s="2944" t="s">
        <v>48</v>
      </c>
      <c r="E226" s="3042">
        <f t="shared" ca="1" si="10"/>
        <v>7417</v>
      </c>
      <c r="F226" s="3041">
        <f t="shared" ca="1" si="9"/>
        <v>0</v>
      </c>
    </row>
    <row r="227" spans="1:6">
      <c r="A227" s="3393"/>
      <c r="B227" s="2943"/>
      <c r="C227" s="2941"/>
      <c r="D227" s="2944" t="s">
        <v>48</v>
      </c>
      <c r="E227" s="3042">
        <f t="shared" ca="1" si="10"/>
        <v>7417</v>
      </c>
      <c r="F227" s="3041">
        <f t="shared" ca="1" si="9"/>
        <v>0</v>
      </c>
    </row>
    <row r="228" spans="1:6">
      <c r="A228" s="3393"/>
      <c r="B228" s="2943"/>
      <c r="C228" s="2941"/>
      <c r="D228" s="2944" t="s">
        <v>48</v>
      </c>
      <c r="E228" s="3042">
        <f t="shared" ca="1" si="10"/>
        <v>7417</v>
      </c>
      <c r="F228" s="3041">
        <f t="shared" ca="1" si="9"/>
        <v>0</v>
      </c>
    </row>
    <row r="229" spans="1:6">
      <c r="A229" s="3393"/>
      <c r="B229" s="2943"/>
      <c r="C229" s="2941"/>
      <c r="D229" s="2944" t="s">
        <v>48</v>
      </c>
      <c r="E229" s="3042">
        <f t="shared" ca="1" si="10"/>
        <v>7417</v>
      </c>
      <c r="F229" s="3041">
        <f t="shared" ca="1" si="9"/>
        <v>0</v>
      </c>
    </row>
    <row r="230" spans="1:6">
      <c r="A230" s="3393"/>
      <c r="B230" s="2943"/>
      <c r="C230" s="2941"/>
      <c r="D230" s="2944" t="s">
        <v>48</v>
      </c>
      <c r="E230" s="3042">
        <f t="shared" ca="1" si="10"/>
        <v>7417</v>
      </c>
      <c r="F230" s="3041">
        <f t="shared" ca="1" si="9"/>
        <v>0</v>
      </c>
    </row>
    <row r="231" spans="1:6">
      <c r="A231" s="3393"/>
      <c r="B231" s="2943"/>
      <c r="C231" s="2941"/>
      <c r="D231" s="2944" t="s">
        <v>48</v>
      </c>
      <c r="E231" s="3042">
        <f t="shared" ca="1" si="10"/>
        <v>7417</v>
      </c>
      <c r="F231" s="3041">
        <f t="shared" ca="1" si="9"/>
        <v>0</v>
      </c>
    </row>
    <row r="232" spans="1:6">
      <c r="A232" s="3393"/>
      <c r="B232" s="2943"/>
      <c r="C232" s="2941"/>
      <c r="D232" s="2944" t="s">
        <v>48</v>
      </c>
      <c r="E232" s="3042">
        <f t="shared" ca="1" si="10"/>
        <v>7417</v>
      </c>
      <c r="F232" s="3041">
        <f t="shared" ca="1" si="9"/>
        <v>0</v>
      </c>
    </row>
    <row r="233" spans="1:6">
      <c r="A233" s="3393"/>
      <c r="B233" s="2943"/>
      <c r="C233" s="2941"/>
      <c r="D233" s="2944" t="s">
        <v>48</v>
      </c>
      <c r="E233" s="3042">
        <f t="shared" ca="1" si="10"/>
        <v>7417</v>
      </c>
      <c r="F233" s="3041">
        <f t="shared" ca="1" si="9"/>
        <v>0</v>
      </c>
    </row>
    <row r="234" spans="1:6">
      <c r="A234" s="3393"/>
      <c r="B234" s="2943"/>
      <c r="C234" s="2941"/>
      <c r="D234" s="2944" t="s">
        <v>48</v>
      </c>
      <c r="E234" s="3042">
        <f t="shared" ca="1" si="10"/>
        <v>7417</v>
      </c>
      <c r="F234" s="3041">
        <f t="shared" ca="1" si="9"/>
        <v>0</v>
      </c>
    </row>
    <row r="235" spans="1:6">
      <c r="A235" s="3393"/>
      <c r="B235" s="2943"/>
      <c r="C235" s="2941"/>
      <c r="D235" s="2944" t="s">
        <v>48</v>
      </c>
      <c r="E235" s="3042">
        <f t="shared" ca="1" si="10"/>
        <v>7417</v>
      </c>
      <c r="F235" s="3041">
        <f t="shared" ca="1" si="9"/>
        <v>0</v>
      </c>
    </row>
    <row r="236" spans="1:6">
      <c r="A236" s="3393"/>
      <c r="B236" s="2943"/>
      <c r="C236" s="2941"/>
      <c r="D236" s="2944" t="s">
        <v>48</v>
      </c>
      <c r="E236" s="3042">
        <f t="shared" ca="1" si="10"/>
        <v>7417</v>
      </c>
      <c r="F236" s="3041">
        <f t="shared" ca="1" si="9"/>
        <v>0</v>
      </c>
    </row>
    <row r="237" spans="1:6">
      <c r="A237" s="3393"/>
      <c r="B237" s="2943"/>
      <c r="C237" s="2941"/>
      <c r="D237" s="2944" t="s">
        <v>48</v>
      </c>
      <c r="E237" s="3042">
        <f t="shared" ca="1" si="10"/>
        <v>7417</v>
      </c>
      <c r="F237" s="3041">
        <f t="shared" ca="1" si="9"/>
        <v>0</v>
      </c>
    </row>
    <row r="238" spans="1:6">
      <c r="A238" s="3393"/>
      <c r="B238" s="2943"/>
      <c r="C238" s="2941"/>
      <c r="D238" s="2944" t="s">
        <v>48</v>
      </c>
      <c r="E238" s="3042">
        <f t="shared" ca="1" si="10"/>
        <v>7417</v>
      </c>
      <c r="F238" s="3041">
        <f t="shared" ca="1" si="9"/>
        <v>0</v>
      </c>
    </row>
    <row r="239" spans="1:6">
      <c r="A239" s="3393"/>
      <c r="B239" s="2943"/>
      <c r="C239" s="2941"/>
      <c r="D239" s="2944" t="s">
        <v>48</v>
      </c>
      <c r="E239" s="3042">
        <f t="shared" ca="1" si="10"/>
        <v>7417</v>
      </c>
      <c r="F239" s="3041">
        <f t="shared" ca="1" si="9"/>
        <v>0</v>
      </c>
    </row>
    <row r="240" spans="1:6">
      <c r="A240" s="3393"/>
      <c r="B240" s="2943"/>
      <c r="C240" s="2941"/>
      <c r="D240" s="2944" t="s">
        <v>48</v>
      </c>
      <c r="E240" s="3042">
        <f t="shared" ca="1" si="10"/>
        <v>7417</v>
      </c>
      <c r="F240" s="3041">
        <f t="shared" ca="1" si="9"/>
        <v>0</v>
      </c>
    </row>
    <row r="241" spans="1:6">
      <c r="A241" s="3393"/>
      <c r="B241" s="2943"/>
      <c r="C241" s="2941"/>
      <c r="D241" s="2944" t="s">
        <v>48</v>
      </c>
      <c r="E241" s="3042">
        <f t="shared" ca="1" si="10"/>
        <v>7417</v>
      </c>
      <c r="F241" s="3041">
        <f t="shared" ca="1" si="9"/>
        <v>0</v>
      </c>
    </row>
    <row r="242" spans="1:6">
      <c r="A242" s="3393"/>
      <c r="B242" s="2943"/>
      <c r="C242" s="2941"/>
      <c r="D242" s="2944" t="s">
        <v>48</v>
      </c>
      <c r="E242" s="3042">
        <f t="shared" ca="1" si="10"/>
        <v>7417</v>
      </c>
      <c r="F242" s="3041">
        <f t="shared" ca="1" si="9"/>
        <v>0</v>
      </c>
    </row>
    <row r="243" spans="1:6">
      <c r="A243" s="3393"/>
      <c r="B243" s="2943"/>
      <c r="C243" s="2941"/>
      <c r="D243" s="2944" t="s">
        <v>48</v>
      </c>
      <c r="E243" s="3042">
        <f t="shared" ca="1" si="10"/>
        <v>7417</v>
      </c>
      <c r="F243" s="3041">
        <f t="shared" ca="1" si="9"/>
        <v>0</v>
      </c>
    </row>
    <row r="244" spans="1:6">
      <c r="A244" s="3393"/>
      <c r="B244" s="2943"/>
      <c r="C244" s="2941"/>
      <c r="D244" s="2944" t="s">
        <v>48</v>
      </c>
      <c r="E244" s="3042">
        <f t="shared" ca="1" si="10"/>
        <v>7417</v>
      </c>
      <c r="F244" s="3041">
        <f t="shared" ca="1" si="9"/>
        <v>0</v>
      </c>
    </row>
    <row r="245" spans="1:6">
      <c r="A245" s="3393"/>
      <c r="B245" s="2943"/>
      <c r="C245" s="2941"/>
      <c r="D245" s="2944" t="s">
        <v>48</v>
      </c>
      <c r="E245" s="3042">
        <f t="shared" ca="1" si="10"/>
        <v>7417</v>
      </c>
      <c r="F245" s="3041">
        <f t="shared" ref="F245:F297" ca="1" si="11">ROUND(C245*E245/10000,2)</f>
        <v>0</v>
      </c>
    </row>
    <row r="246" spans="1:6">
      <c r="A246" s="3393"/>
      <c r="B246" s="2943"/>
      <c r="C246" s="2941"/>
      <c r="D246" s="2944" t="s">
        <v>48</v>
      </c>
      <c r="E246" s="3042">
        <f t="shared" ref="E246:E297" ca="1" si="12">E245</f>
        <v>7417</v>
      </c>
      <c r="F246" s="3041">
        <f t="shared" ca="1" si="11"/>
        <v>0</v>
      </c>
    </row>
    <row r="247" spans="1:6">
      <c r="A247" s="3393"/>
      <c r="B247" s="2943"/>
      <c r="C247" s="2941"/>
      <c r="D247" s="2944" t="s">
        <v>48</v>
      </c>
      <c r="E247" s="3042">
        <f t="shared" ca="1" si="12"/>
        <v>7417</v>
      </c>
      <c r="F247" s="3041">
        <f t="shared" ca="1" si="11"/>
        <v>0</v>
      </c>
    </row>
    <row r="248" spans="1:6">
      <c r="A248" s="3393"/>
      <c r="B248" s="2943"/>
      <c r="C248" s="2941"/>
      <c r="D248" s="2944" t="s">
        <v>48</v>
      </c>
      <c r="E248" s="3042">
        <f t="shared" ca="1" si="12"/>
        <v>7417</v>
      </c>
      <c r="F248" s="3041">
        <f t="shared" ca="1" si="11"/>
        <v>0</v>
      </c>
    </row>
    <row r="249" spans="1:6">
      <c r="A249" s="3393"/>
      <c r="B249" s="2943"/>
      <c r="C249" s="2941"/>
      <c r="D249" s="2944" t="s">
        <v>48</v>
      </c>
      <c r="E249" s="3042">
        <f t="shared" ca="1" si="12"/>
        <v>7417</v>
      </c>
      <c r="F249" s="3041">
        <f t="shared" ca="1" si="11"/>
        <v>0</v>
      </c>
    </row>
    <row r="250" spans="1:6">
      <c r="A250" s="3393"/>
      <c r="B250" s="2943"/>
      <c r="C250" s="2941"/>
      <c r="D250" s="2944" t="s">
        <v>48</v>
      </c>
      <c r="E250" s="3042">
        <f t="shared" ca="1" si="12"/>
        <v>7417</v>
      </c>
      <c r="F250" s="3041">
        <f t="shared" ca="1" si="11"/>
        <v>0</v>
      </c>
    </row>
    <row r="251" spans="1:6">
      <c r="A251" s="3393"/>
      <c r="B251" s="2943"/>
      <c r="C251" s="2941"/>
      <c r="D251" s="2944" t="s">
        <v>48</v>
      </c>
      <c r="E251" s="3042">
        <f t="shared" ca="1" si="12"/>
        <v>7417</v>
      </c>
      <c r="F251" s="3041">
        <f t="shared" ca="1" si="11"/>
        <v>0</v>
      </c>
    </row>
    <row r="252" spans="1:6">
      <c r="A252" s="3393"/>
      <c r="B252" s="2943"/>
      <c r="C252" s="2941"/>
      <c r="D252" s="2944" t="s">
        <v>48</v>
      </c>
      <c r="E252" s="3042">
        <f t="shared" ca="1" si="12"/>
        <v>7417</v>
      </c>
      <c r="F252" s="3041">
        <f t="shared" ca="1" si="11"/>
        <v>0</v>
      </c>
    </row>
    <row r="253" spans="1:6">
      <c r="A253" s="3393"/>
      <c r="B253" s="2943"/>
      <c r="C253" s="2941"/>
      <c r="D253" s="2944" t="s">
        <v>48</v>
      </c>
      <c r="E253" s="3042">
        <f t="shared" ca="1" si="12"/>
        <v>7417</v>
      </c>
      <c r="F253" s="3041">
        <f t="shared" ca="1" si="11"/>
        <v>0</v>
      </c>
    </row>
    <row r="254" spans="1:6">
      <c r="A254" s="3393"/>
      <c r="B254" s="2943"/>
      <c r="C254" s="2941"/>
      <c r="D254" s="2944" t="s">
        <v>48</v>
      </c>
      <c r="E254" s="3042">
        <f t="shared" ca="1" si="12"/>
        <v>7417</v>
      </c>
      <c r="F254" s="3041">
        <f t="shared" ca="1" si="11"/>
        <v>0</v>
      </c>
    </row>
    <row r="255" spans="1:6">
      <c r="A255" s="3393"/>
      <c r="B255" s="2943"/>
      <c r="C255" s="2941"/>
      <c r="D255" s="2944" t="s">
        <v>48</v>
      </c>
      <c r="E255" s="3042">
        <f t="shared" ca="1" si="12"/>
        <v>7417</v>
      </c>
      <c r="F255" s="3041">
        <f t="shared" ca="1" si="11"/>
        <v>0</v>
      </c>
    </row>
    <row r="256" spans="1:6">
      <c r="A256" s="3393"/>
      <c r="B256" s="2943"/>
      <c r="C256" s="2941"/>
      <c r="D256" s="2944" t="s">
        <v>48</v>
      </c>
      <c r="E256" s="3042">
        <f t="shared" ca="1" si="12"/>
        <v>7417</v>
      </c>
      <c r="F256" s="3041">
        <f t="shared" ca="1" si="11"/>
        <v>0</v>
      </c>
    </row>
    <row r="257" spans="1:6">
      <c r="A257" s="3393"/>
      <c r="B257" s="2943"/>
      <c r="C257" s="2941"/>
      <c r="D257" s="2944" t="s">
        <v>48</v>
      </c>
      <c r="E257" s="3042">
        <f t="shared" ca="1" si="12"/>
        <v>7417</v>
      </c>
      <c r="F257" s="3041">
        <f t="shared" ca="1" si="11"/>
        <v>0</v>
      </c>
    </row>
    <row r="258" spans="1:6">
      <c r="A258" s="3393"/>
      <c r="B258" s="2943"/>
      <c r="C258" s="2941"/>
      <c r="D258" s="2944" t="s">
        <v>48</v>
      </c>
      <c r="E258" s="3042">
        <f t="shared" ca="1" si="12"/>
        <v>7417</v>
      </c>
      <c r="F258" s="3041">
        <f t="shared" ca="1" si="11"/>
        <v>0</v>
      </c>
    </row>
    <row r="259" spans="1:6">
      <c r="A259" s="3393"/>
      <c r="B259" s="2943"/>
      <c r="C259" s="2941"/>
      <c r="D259" s="2944" t="s">
        <v>48</v>
      </c>
      <c r="E259" s="3042">
        <f t="shared" ca="1" si="12"/>
        <v>7417</v>
      </c>
      <c r="F259" s="3041">
        <f t="shared" ca="1" si="11"/>
        <v>0</v>
      </c>
    </row>
    <row r="260" spans="1:6">
      <c r="A260" s="3393"/>
      <c r="B260" s="2943"/>
      <c r="C260" s="2941"/>
      <c r="D260" s="2944" t="s">
        <v>48</v>
      </c>
      <c r="E260" s="3042">
        <f t="shared" ca="1" si="12"/>
        <v>7417</v>
      </c>
      <c r="F260" s="3041">
        <f t="shared" ca="1" si="11"/>
        <v>0</v>
      </c>
    </row>
    <row r="261" spans="1:6">
      <c r="A261" s="3393"/>
      <c r="B261" s="2943"/>
      <c r="C261" s="2941"/>
      <c r="D261" s="2944" t="s">
        <v>48</v>
      </c>
      <c r="E261" s="3042">
        <f t="shared" ca="1" si="12"/>
        <v>7417</v>
      </c>
      <c r="F261" s="3041">
        <f t="shared" ca="1" si="11"/>
        <v>0</v>
      </c>
    </row>
    <row r="262" spans="1:6">
      <c r="A262" s="3393"/>
      <c r="B262" s="2943"/>
      <c r="C262" s="2941"/>
      <c r="D262" s="2944" t="s">
        <v>48</v>
      </c>
      <c r="E262" s="3042">
        <f t="shared" ca="1" si="12"/>
        <v>7417</v>
      </c>
      <c r="F262" s="3041">
        <f t="shared" ca="1" si="11"/>
        <v>0</v>
      </c>
    </row>
    <row r="263" spans="1:6">
      <c r="A263" s="3393"/>
      <c r="B263" s="2943"/>
      <c r="C263" s="2941"/>
      <c r="D263" s="2944" t="s">
        <v>48</v>
      </c>
      <c r="E263" s="3042">
        <f t="shared" ca="1" si="12"/>
        <v>7417</v>
      </c>
      <c r="F263" s="3041">
        <f t="shared" ca="1" si="11"/>
        <v>0</v>
      </c>
    </row>
    <row r="264" spans="1:6">
      <c r="A264" s="3393"/>
      <c r="B264" s="2943"/>
      <c r="C264" s="2941"/>
      <c r="D264" s="2944" t="s">
        <v>48</v>
      </c>
      <c r="E264" s="3042">
        <f t="shared" ca="1" si="12"/>
        <v>7417</v>
      </c>
      <c r="F264" s="3041">
        <f t="shared" ca="1" si="11"/>
        <v>0</v>
      </c>
    </row>
    <row r="265" spans="1:6">
      <c r="A265" s="3393"/>
      <c r="B265" s="2943"/>
      <c r="C265" s="2941"/>
      <c r="D265" s="2944" t="s">
        <v>48</v>
      </c>
      <c r="E265" s="3042">
        <f t="shared" ca="1" si="12"/>
        <v>7417</v>
      </c>
      <c r="F265" s="3041">
        <f t="shared" ca="1" si="11"/>
        <v>0</v>
      </c>
    </row>
    <row r="266" spans="1:6">
      <c r="A266" s="3393"/>
      <c r="B266" s="2943"/>
      <c r="C266" s="2941"/>
      <c r="D266" s="2944" t="s">
        <v>48</v>
      </c>
      <c r="E266" s="3042">
        <f t="shared" ca="1" si="12"/>
        <v>7417</v>
      </c>
      <c r="F266" s="3041">
        <f t="shared" ca="1" si="11"/>
        <v>0</v>
      </c>
    </row>
    <row r="267" spans="1:6">
      <c r="A267" s="3393"/>
      <c r="B267" s="2943"/>
      <c r="C267" s="2941"/>
      <c r="D267" s="2944" t="s">
        <v>48</v>
      </c>
      <c r="E267" s="3042">
        <f t="shared" ca="1" si="12"/>
        <v>7417</v>
      </c>
      <c r="F267" s="3041">
        <f t="shared" ca="1" si="11"/>
        <v>0</v>
      </c>
    </row>
    <row r="268" spans="1:6">
      <c r="A268" s="3393"/>
      <c r="B268" s="2943"/>
      <c r="C268" s="2941"/>
      <c r="D268" s="2944" t="s">
        <v>48</v>
      </c>
      <c r="E268" s="3042">
        <f t="shared" ca="1" si="12"/>
        <v>7417</v>
      </c>
      <c r="F268" s="3041">
        <f t="shared" ca="1" si="11"/>
        <v>0</v>
      </c>
    </row>
    <row r="269" spans="1:6">
      <c r="A269" s="3393"/>
      <c r="B269" s="2943"/>
      <c r="C269" s="2941"/>
      <c r="D269" s="2944" t="s">
        <v>48</v>
      </c>
      <c r="E269" s="3042">
        <f t="shared" ca="1" si="12"/>
        <v>7417</v>
      </c>
      <c r="F269" s="3041">
        <f t="shared" ca="1" si="11"/>
        <v>0</v>
      </c>
    </row>
    <row r="270" spans="1:6">
      <c r="A270" s="3393"/>
      <c r="B270" s="2943"/>
      <c r="C270" s="2941"/>
      <c r="D270" s="2944" t="s">
        <v>48</v>
      </c>
      <c r="E270" s="3042">
        <f t="shared" ca="1" si="12"/>
        <v>7417</v>
      </c>
      <c r="F270" s="3041">
        <f t="shared" ca="1" si="11"/>
        <v>0</v>
      </c>
    </row>
    <row r="271" spans="1:6">
      <c r="A271" s="3393"/>
      <c r="B271" s="2943"/>
      <c r="C271" s="2941"/>
      <c r="D271" s="2944" t="s">
        <v>48</v>
      </c>
      <c r="E271" s="3042">
        <f t="shared" ca="1" si="12"/>
        <v>7417</v>
      </c>
      <c r="F271" s="3041">
        <f t="shared" ca="1" si="11"/>
        <v>0</v>
      </c>
    </row>
    <row r="272" spans="1:6">
      <c r="A272" s="3393"/>
      <c r="B272" s="2943"/>
      <c r="C272" s="2941"/>
      <c r="D272" s="2944" t="s">
        <v>48</v>
      </c>
      <c r="E272" s="3042">
        <f t="shared" ca="1" si="12"/>
        <v>7417</v>
      </c>
      <c r="F272" s="3041">
        <f t="shared" ca="1" si="11"/>
        <v>0</v>
      </c>
    </row>
    <row r="273" spans="1:6">
      <c r="A273" s="3393"/>
      <c r="B273" s="2943"/>
      <c r="C273" s="2941"/>
      <c r="D273" s="2944" t="s">
        <v>48</v>
      </c>
      <c r="E273" s="3042">
        <f t="shared" ca="1" si="12"/>
        <v>7417</v>
      </c>
      <c r="F273" s="3041">
        <f t="shared" ca="1" si="11"/>
        <v>0</v>
      </c>
    </row>
    <row r="274" spans="1:6">
      <c r="A274" s="3393"/>
      <c r="B274" s="2943"/>
      <c r="C274" s="2941"/>
      <c r="D274" s="2944" t="s">
        <v>48</v>
      </c>
      <c r="E274" s="3042">
        <f t="shared" ca="1" si="12"/>
        <v>7417</v>
      </c>
      <c r="F274" s="3041">
        <f t="shared" ca="1" si="11"/>
        <v>0</v>
      </c>
    </row>
    <row r="275" spans="1:6">
      <c r="A275" s="3393"/>
      <c r="B275" s="2943"/>
      <c r="C275" s="2941"/>
      <c r="D275" s="2944" t="s">
        <v>48</v>
      </c>
      <c r="E275" s="3042">
        <f t="shared" ca="1" si="12"/>
        <v>7417</v>
      </c>
      <c r="F275" s="3041">
        <f t="shared" ca="1" si="11"/>
        <v>0</v>
      </c>
    </row>
    <row r="276" spans="1:6">
      <c r="A276" s="3393"/>
      <c r="B276" s="2943"/>
      <c r="C276" s="2941"/>
      <c r="D276" s="2944" t="s">
        <v>48</v>
      </c>
      <c r="E276" s="3042">
        <f t="shared" ca="1" si="12"/>
        <v>7417</v>
      </c>
      <c r="F276" s="3041">
        <f t="shared" ca="1" si="11"/>
        <v>0</v>
      </c>
    </row>
    <row r="277" spans="1:6">
      <c r="A277" s="3393"/>
      <c r="B277" s="2943"/>
      <c r="C277" s="2941"/>
      <c r="D277" s="2944" t="s">
        <v>48</v>
      </c>
      <c r="E277" s="3042">
        <f t="shared" ca="1" si="12"/>
        <v>7417</v>
      </c>
      <c r="F277" s="3041">
        <f t="shared" ca="1" si="11"/>
        <v>0</v>
      </c>
    </row>
    <row r="278" spans="1:6">
      <c r="A278" s="3393"/>
      <c r="B278" s="2943"/>
      <c r="C278" s="2941"/>
      <c r="D278" s="2944" t="s">
        <v>48</v>
      </c>
      <c r="E278" s="3042">
        <f t="shared" ca="1" si="12"/>
        <v>7417</v>
      </c>
      <c r="F278" s="3041">
        <f t="shared" ca="1" si="11"/>
        <v>0</v>
      </c>
    </row>
    <row r="279" spans="1:6">
      <c r="A279" s="3393"/>
      <c r="B279" s="2943"/>
      <c r="C279" s="2941"/>
      <c r="D279" s="2944" t="s">
        <v>48</v>
      </c>
      <c r="E279" s="3042">
        <f t="shared" ca="1" si="12"/>
        <v>7417</v>
      </c>
      <c r="F279" s="3041">
        <f t="shared" ca="1" si="11"/>
        <v>0</v>
      </c>
    </row>
    <row r="280" spans="1:6">
      <c r="A280" s="3393"/>
      <c r="B280" s="2943"/>
      <c r="C280" s="2941"/>
      <c r="D280" s="2944" t="s">
        <v>48</v>
      </c>
      <c r="E280" s="3042">
        <f t="shared" ca="1" si="12"/>
        <v>7417</v>
      </c>
      <c r="F280" s="3041">
        <f t="shared" ca="1" si="11"/>
        <v>0</v>
      </c>
    </row>
    <row r="281" spans="1:6">
      <c r="A281" s="3393"/>
      <c r="B281" s="2943"/>
      <c r="C281" s="2941"/>
      <c r="D281" s="2944" t="s">
        <v>48</v>
      </c>
      <c r="E281" s="3042">
        <f t="shared" ca="1" si="12"/>
        <v>7417</v>
      </c>
      <c r="F281" s="3041">
        <f t="shared" ca="1" si="11"/>
        <v>0</v>
      </c>
    </row>
    <row r="282" spans="1:6">
      <c r="A282" s="3393"/>
      <c r="B282" s="2943"/>
      <c r="C282" s="2941"/>
      <c r="D282" s="2944" t="s">
        <v>48</v>
      </c>
      <c r="E282" s="3042">
        <f t="shared" ca="1" si="12"/>
        <v>7417</v>
      </c>
      <c r="F282" s="3041">
        <f t="shared" ca="1" si="11"/>
        <v>0</v>
      </c>
    </row>
    <row r="283" spans="1:6">
      <c r="A283" s="3393"/>
      <c r="B283" s="2943"/>
      <c r="C283" s="2941"/>
      <c r="D283" s="2944" t="s">
        <v>48</v>
      </c>
      <c r="E283" s="3042">
        <f t="shared" ca="1" si="12"/>
        <v>7417</v>
      </c>
      <c r="F283" s="3041">
        <f t="shared" ca="1" si="11"/>
        <v>0</v>
      </c>
    </row>
    <row r="284" spans="1:6">
      <c r="A284" s="3393"/>
      <c r="B284" s="2943"/>
      <c r="C284" s="2941"/>
      <c r="D284" s="2944" t="s">
        <v>48</v>
      </c>
      <c r="E284" s="3042">
        <f t="shared" ca="1" si="12"/>
        <v>7417</v>
      </c>
      <c r="F284" s="3041">
        <f t="shared" ca="1" si="11"/>
        <v>0</v>
      </c>
    </row>
    <row r="285" spans="1:6">
      <c r="A285" s="3393"/>
      <c r="B285" s="2943"/>
      <c r="C285" s="2941"/>
      <c r="D285" s="2944" t="s">
        <v>48</v>
      </c>
      <c r="E285" s="3042">
        <f t="shared" ca="1" si="12"/>
        <v>7417</v>
      </c>
      <c r="F285" s="3041">
        <f t="shared" ca="1" si="11"/>
        <v>0</v>
      </c>
    </row>
    <row r="286" spans="1:6">
      <c r="A286" s="3393"/>
      <c r="B286" s="2943"/>
      <c r="C286" s="2941"/>
      <c r="D286" s="2944" t="s">
        <v>48</v>
      </c>
      <c r="E286" s="3042">
        <f t="shared" ca="1" si="12"/>
        <v>7417</v>
      </c>
      <c r="F286" s="3041">
        <f t="shared" ca="1" si="11"/>
        <v>0</v>
      </c>
    </row>
    <row r="287" spans="1:6">
      <c r="A287" s="3393"/>
      <c r="B287" s="2943"/>
      <c r="C287" s="2941"/>
      <c r="D287" s="2944" t="s">
        <v>48</v>
      </c>
      <c r="E287" s="3042">
        <f t="shared" ca="1" si="12"/>
        <v>7417</v>
      </c>
      <c r="F287" s="3041">
        <f t="shared" ca="1" si="11"/>
        <v>0</v>
      </c>
    </row>
    <row r="288" spans="1:6">
      <c r="A288" s="3393"/>
      <c r="B288" s="2943"/>
      <c r="C288" s="2941"/>
      <c r="D288" s="2944" t="s">
        <v>48</v>
      </c>
      <c r="E288" s="3042">
        <f t="shared" ca="1" si="12"/>
        <v>7417</v>
      </c>
      <c r="F288" s="3041">
        <f t="shared" ca="1" si="11"/>
        <v>0</v>
      </c>
    </row>
    <row r="289" spans="1:6">
      <c r="A289" s="3393"/>
      <c r="B289" s="2943"/>
      <c r="C289" s="2941"/>
      <c r="D289" s="2944" t="s">
        <v>48</v>
      </c>
      <c r="E289" s="3042">
        <f t="shared" ca="1" si="12"/>
        <v>7417</v>
      </c>
      <c r="F289" s="3041">
        <f t="shared" ca="1" si="11"/>
        <v>0</v>
      </c>
    </row>
    <row r="290" spans="1:6">
      <c r="A290" s="3393"/>
      <c r="B290" s="2943"/>
      <c r="C290" s="2941"/>
      <c r="D290" s="2944" t="s">
        <v>48</v>
      </c>
      <c r="E290" s="3042">
        <f t="shared" ca="1" si="12"/>
        <v>7417</v>
      </c>
      <c r="F290" s="3041">
        <f t="shared" ca="1" si="11"/>
        <v>0</v>
      </c>
    </row>
    <row r="291" spans="1:6">
      <c r="A291" s="3393"/>
      <c r="B291" s="2943"/>
      <c r="C291" s="2941"/>
      <c r="D291" s="2944" t="s">
        <v>48</v>
      </c>
      <c r="E291" s="3042">
        <f t="shared" ca="1" si="12"/>
        <v>7417</v>
      </c>
      <c r="F291" s="3041">
        <f t="shared" ca="1" si="11"/>
        <v>0</v>
      </c>
    </row>
    <row r="292" spans="1:6">
      <c r="A292" s="3393"/>
      <c r="B292" s="2943"/>
      <c r="C292" s="2941"/>
      <c r="D292" s="2944" t="s">
        <v>48</v>
      </c>
      <c r="E292" s="3042">
        <f t="shared" ca="1" si="12"/>
        <v>7417</v>
      </c>
      <c r="F292" s="3041">
        <f t="shared" ca="1" si="11"/>
        <v>0</v>
      </c>
    </row>
    <row r="293" spans="1:6">
      <c r="A293" s="3393"/>
      <c r="B293" s="2943"/>
      <c r="C293" s="2941"/>
      <c r="D293" s="2944" t="s">
        <v>48</v>
      </c>
      <c r="E293" s="3042">
        <f t="shared" ca="1" si="12"/>
        <v>7417</v>
      </c>
      <c r="F293" s="3041">
        <f t="shared" ca="1" si="11"/>
        <v>0</v>
      </c>
    </row>
    <row r="294" spans="1:6">
      <c r="A294" s="3393"/>
      <c r="B294" s="2943"/>
      <c r="C294" s="2941"/>
      <c r="D294" s="2944" t="s">
        <v>48</v>
      </c>
      <c r="E294" s="3042">
        <f t="shared" ca="1" si="12"/>
        <v>7417</v>
      </c>
      <c r="F294" s="3041">
        <f t="shared" ca="1" si="11"/>
        <v>0</v>
      </c>
    </row>
    <row r="295" spans="1:6">
      <c r="A295" s="3393"/>
      <c r="B295" s="2943"/>
      <c r="C295" s="2941"/>
      <c r="D295" s="2944" t="s">
        <v>48</v>
      </c>
      <c r="E295" s="3042">
        <f t="shared" ca="1" si="12"/>
        <v>7417</v>
      </c>
      <c r="F295" s="3041">
        <f t="shared" ca="1" si="11"/>
        <v>0</v>
      </c>
    </row>
    <row r="296" spans="1:6">
      <c r="A296" s="3393"/>
      <c r="B296" s="2943"/>
      <c r="C296" s="2941"/>
      <c r="D296" s="2944" t="s">
        <v>48</v>
      </c>
      <c r="E296" s="3042">
        <f t="shared" ca="1" si="12"/>
        <v>7417</v>
      </c>
      <c r="F296" s="3041">
        <f t="shared" ca="1" si="11"/>
        <v>0</v>
      </c>
    </row>
    <row r="297" spans="1:6">
      <c r="A297" s="3393"/>
      <c r="B297" s="2943"/>
      <c r="C297" s="2941"/>
      <c r="D297" s="2944" t="s">
        <v>48</v>
      </c>
      <c r="E297" s="3042">
        <f t="shared" ca="1" si="12"/>
        <v>7417</v>
      </c>
      <c r="F297" s="3041">
        <f t="shared" ca="1" si="11"/>
        <v>0</v>
      </c>
    </row>
    <row r="298" spans="1:6">
      <c r="A298" s="3396" t="s">
        <v>40</v>
      </c>
      <c r="B298" s="3396"/>
      <c r="C298" s="2945">
        <f>SUM(C116:C297)</f>
        <v>0</v>
      </c>
      <c r="D298" s="2946" t="s">
        <v>48</v>
      </c>
      <c r="E298" s="3043" t="s">
        <v>3447</v>
      </c>
      <c r="F298" s="3041">
        <f ca="1">SUM(F116:F297)</f>
        <v>0</v>
      </c>
    </row>
    <row r="299" spans="1:6">
      <c r="A299" s="3391" t="s">
        <v>3168</v>
      </c>
      <c r="B299" s="3391"/>
      <c r="C299" s="2947">
        <f>C298+C115+C97+C68+C26</f>
        <v>0</v>
      </c>
      <c r="D299" s="2948" t="s">
        <v>3169</v>
      </c>
      <c r="E299" s="3042"/>
      <c r="F299" s="3042">
        <f ca="1">F115+F298</f>
        <v>0</v>
      </c>
    </row>
    <row r="300" spans="1:6">
      <c r="A300" s="2938" t="s">
        <v>3072</v>
      </c>
      <c r="B300" s="2938" t="s">
        <v>3073</v>
      </c>
      <c r="C300" s="2938" t="s">
        <v>3074</v>
      </c>
      <c r="D300" s="2938" t="s">
        <v>1375</v>
      </c>
      <c r="E300" s="3042"/>
      <c r="F300" s="3042"/>
    </row>
    <row r="301" spans="1:6">
      <c r="A301" s="3394"/>
      <c r="B301" s="2939"/>
      <c r="C301" s="2941"/>
      <c r="D301" s="2939" t="s">
        <v>27</v>
      </c>
      <c r="E301" s="3042">
        <f ca="1">E3</f>
        <v>43650</v>
      </c>
      <c r="F301" s="3041">
        <f t="shared" ref="F301:F364" ca="1" si="13">ROUND(C301*E301/10000,0)</f>
        <v>0</v>
      </c>
    </row>
    <row r="302" spans="1:6">
      <c r="A302" s="3388"/>
      <c r="B302" s="2939"/>
      <c r="C302" s="2941"/>
      <c r="D302" s="2939" t="s">
        <v>27</v>
      </c>
      <c r="E302" s="3042">
        <f ca="1">E301</f>
        <v>43650</v>
      </c>
      <c r="F302" s="3041">
        <f t="shared" ca="1" si="13"/>
        <v>0</v>
      </c>
    </row>
    <row r="303" spans="1:6">
      <c r="A303" s="3388"/>
      <c r="B303" s="2939"/>
      <c r="C303" s="2941"/>
      <c r="D303" s="2939" t="s">
        <v>27</v>
      </c>
      <c r="E303" s="3042">
        <f t="shared" ref="E303:E366" ca="1" si="14">E302</f>
        <v>43650</v>
      </c>
      <c r="F303" s="3041">
        <f t="shared" ca="1" si="13"/>
        <v>0</v>
      </c>
    </row>
    <row r="304" spans="1:6">
      <c r="A304" s="3388"/>
      <c r="B304" s="2939"/>
      <c r="C304" s="2941"/>
      <c r="D304" s="2939" t="s">
        <v>27</v>
      </c>
      <c r="E304" s="3042">
        <f t="shared" ca="1" si="14"/>
        <v>43650</v>
      </c>
      <c r="F304" s="3041">
        <f t="shared" ca="1" si="13"/>
        <v>0</v>
      </c>
    </row>
    <row r="305" spans="1:6">
      <c r="A305" s="3388"/>
      <c r="B305" s="2939"/>
      <c r="C305" s="2941"/>
      <c r="D305" s="2939" t="s">
        <v>27</v>
      </c>
      <c r="E305" s="3042">
        <f t="shared" ca="1" si="14"/>
        <v>43650</v>
      </c>
      <c r="F305" s="3041">
        <f t="shared" ca="1" si="13"/>
        <v>0</v>
      </c>
    </row>
    <row r="306" spans="1:6">
      <c r="A306" s="3388"/>
      <c r="B306" s="2939"/>
      <c r="C306" s="2941"/>
      <c r="D306" s="2939" t="s">
        <v>27</v>
      </c>
      <c r="E306" s="3042">
        <f t="shared" ca="1" si="14"/>
        <v>43650</v>
      </c>
      <c r="F306" s="3041">
        <f t="shared" ca="1" si="13"/>
        <v>0</v>
      </c>
    </row>
    <row r="307" spans="1:6">
      <c r="A307" s="3388"/>
      <c r="B307" s="2939"/>
      <c r="C307" s="2941"/>
      <c r="D307" s="2939" t="s">
        <v>27</v>
      </c>
      <c r="E307" s="3042">
        <f t="shared" ca="1" si="14"/>
        <v>43650</v>
      </c>
      <c r="F307" s="3041">
        <f t="shared" ca="1" si="13"/>
        <v>0</v>
      </c>
    </row>
    <row r="308" spans="1:6">
      <c r="A308" s="3388"/>
      <c r="B308" s="2939"/>
      <c r="C308" s="2941"/>
      <c r="D308" s="2939" t="s">
        <v>27</v>
      </c>
      <c r="E308" s="3042">
        <f t="shared" ca="1" si="14"/>
        <v>43650</v>
      </c>
      <c r="F308" s="3041">
        <f t="shared" ca="1" si="13"/>
        <v>0</v>
      </c>
    </row>
    <row r="309" spans="1:6">
      <c r="A309" s="3388"/>
      <c r="B309" s="2939"/>
      <c r="C309" s="2941"/>
      <c r="D309" s="2939" t="s">
        <v>27</v>
      </c>
      <c r="E309" s="3042">
        <f t="shared" ca="1" si="14"/>
        <v>43650</v>
      </c>
      <c r="F309" s="3041">
        <f t="shared" ca="1" si="13"/>
        <v>0</v>
      </c>
    </row>
    <row r="310" spans="1:6">
      <c r="A310" s="3388"/>
      <c r="B310" s="2939"/>
      <c r="C310" s="2941"/>
      <c r="D310" s="2939" t="s">
        <v>27</v>
      </c>
      <c r="E310" s="3042">
        <f t="shared" ca="1" si="14"/>
        <v>43650</v>
      </c>
      <c r="F310" s="3041">
        <f t="shared" ca="1" si="13"/>
        <v>0</v>
      </c>
    </row>
    <row r="311" spans="1:6">
      <c r="A311" s="3388"/>
      <c r="B311" s="2939"/>
      <c r="C311" s="2941"/>
      <c r="D311" s="2939" t="s">
        <v>27</v>
      </c>
      <c r="E311" s="3042">
        <f t="shared" ca="1" si="14"/>
        <v>43650</v>
      </c>
      <c r="F311" s="3041">
        <f t="shared" ca="1" si="13"/>
        <v>0</v>
      </c>
    </row>
    <row r="312" spans="1:6">
      <c r="A312" s="3388"/>
      <c r="B312" s="2939"/>
      <c r="C312" s="2941"/>
      <c r="D312" s="2939" t="s">
        <v>27</v>
      </c>
      <c r="E312" s="3042">
        <f t="shared" ca="1" si="14"/>
        <v>43650</v>
      </c>
      <c r="F312" s="3041">
        <f t="shared" ca="1" si="13"/>
        <v>0</v>
      </c>
    </row>
    <row r="313" spans="1:6">
      <c r="A313" s="3388"/>
      <c r="B313" s="2939"/>
      <c r="C313" s="2941"/>
      <c r="D313" s="2939" t="s">
        <v>27</v>
      </c>
      <c r="E313" s="3042">
        <f t="shared" ca="1" si="14"/>
        <v>43650</v>
      </c>
      <c r="F313" s="3041">
        <f t="shared" ca="1" si="13"/>
        <v>0</v>
      </c>
    </row>
    <row r="314" spans="1:6">
      <c r="A314" s="3388"/>
      <c r="B314" s="2939"/>
      <c r="C314" s="2941"/>
      <c r="D314" s="2939" t="s">
        <v>27</v>
      </c>
      <c r="E314" s="3042">
        <f t="shared" ca="1" si="14"/>
        <v>43650</v>
      </c>
      <c r="F314" s="3041">
        <f t="shared" ca="1" si="13"/>
        <v>0</v>
      </c>
    </row>
    <row r="315" spans="1:6">
      <c r="A315" s="3388"/>
      <c r="B315" s="2939"/>
      <c r="C315" s="2941"/>
      <c r="D315" s="2939" t="s">
        <v>27</v>
      </c>
      <c r="E315" s="3042">
        <f t="shared" ca="1" si="14"/>
        <v>43650</v>
      </c>
      <c r="F315" s="3041">
        <f t="shared" ca="1" si="13"/>
        <v>0</v>
      </c>
    </row>
    <row r="316" spans="1:6">
      <c r="A316" s="3388"/>
      <c r="B316" s="2939"/>
      <c r="C316" s="2941"/>
      <c r="D316" s="2939" t="s">
        <v>27</v>
      </c>
      <c r="E316" s="3042">
        <f t="shared" ca="1" si="14"/>
        <v>43650</v>
      </c>
      <c r="F316" s="3041">
        <f t="shared" ca="1" si="13"/>
        <v>0</v>
      </c>
    </row>
    <row r="317" spans="1:6">
      <c r="A317" s="3388"/>
      <c r="B317" s="2939"/>
      <c r="C317" s="2941"/>
      <c r="D317" s="2939" t="s">
        <v>27</v>
      </c>
      <c r="E317" s="3042">
        <f t="shared" ca="1" si="14"/>
        <v>43650</v>
      </c>
      <c r="F317" s="3041">
        <f t="shared" ca="1" si="13"/>
        <v>0</v>
      </c>
    </row>
    <row r="318" spans="1:6">
      <c r="A318" s="3388"/>
      <c r="B318" s="2939"/>
      <c r="C318" s="2941"/>
      <c r="D318" s="2939" t="s">
        <v>27</v>
      </c>
      <c r="E318" s="3042">
        <f t="shared" ca="1" si="14"/>
        <v>43650</v>
      </c>
      <c r="F318" s="3041">
        <f t="shared" ca="1" si="13"/>
        <v>0</v>
      </c>
    </row>
    <row r="319" spans="1:6">
      <c r="A319" s="3388"/>
      <c r="B319" s="2939"/>
      <c r="C319" s="2941"/>
      <c r="D319" s="2939" t="s">
        <v>27</v>
      </c>
      <c r="E319" s="3042">
        <f t="shared" ca="1" si="14"/>
        <v>43650</v>
      </c>
      <c r="F319" s="3041">
        <f t="shared" ca="1" si="13"/>
        <v>0</v>
      </c>
    </row>
    <row r="320" spans="1:6">
      <c r="A320" s="3388"/>
      <c r="B320" s="2939"/>
      <c r="C320" s="2941"/>
      <c r="D320" s="2939" t="s">
        <v>27</v>
      </c>
      <c r="E320" s="3042">
        <f t="shared" ca="1" si="14"/>
        <v>43650</v>
      </c>
      <c r="F320" s="3041">
        <f t="shared" ca="1" si="13"/>
        <v>0</v>
      </c>
    </row>
    <row r="321" spans="1:6">
      <c r="A321" s="3388"/>
      <c r="B321" s="2939"/>
      <c r="C321" s="2941"/>
      <c r="D321" s="2939" t="s">
        <v>27</v>
      </c>
      <c r="E321" s="3042">
        <f t="shared" ca="1" si="14"/>
        <v>43650</v>
      </c>
      <c r="F321" s="3041">
        <f t="shared" ca="1" si="13"/>
        <v>0</v>
      </c>
    </row>
    <row r="322" spans="1:6">
      <c r="A322" s="3388"/>
      <c r="B322" s="2939"/>
      <c r="C322" s="2941"/>
      <c r="D322" s="2939" t="s">
        <v>27</v>
      </c>
      <c r="E322" s="3042">
        <f t="shared" ca="1" si="14"/>
        <v>43650</v>
      </c>
      <c r="F322" s="3041">
        <f t="shared" ca="1" si="13"/>
        <v>0</v>
      </c>
    </row>
    <row r="323" spans="1:6">
      <c r="A323" s="3388"/>
      <c r="B323" s="2939"/>
      <c r="C323" s="2941"/>
      <c r="D323" s="2939" t="s">
        <v>27</v>
      </c>
      <c r="E323" s="3042">
        <f t="shared" ca="1" si="14"/>
        <v>43650</v>
      </c>
      <c r="F323" s="3041">
        <f t="shared" ca="1" si="13"/>
        <v>0</v>
      </c>
    </row>
    <row r="324" spans="1:6">
      <c r="A324" s="3388"/>
      <c r="B324" s="2939"/>
      <c r="C324" s="2941"/>
      <c r="D324" s="2939" t="s">
        <v>27</v>
      </c>
      <c r="E324" s="3042">
        <f t="shared" ca="1" si="14"/>
        <v>43650</v>
      </c>
      <c r="F324" s="3041">
        <f t="shared" ca="1" si="13"/>
        <v>0</v>
      </c>
    </row>
    <row r="325" spans="1:6">
      <c r="A325" s="3388"/>
      <c r="B325" s="2939"/>
      <c r="C325" s="2941"/>
      <c r="D325" s="2939" t="s">
        <v>27</v>
      </c>
      <c r="E325" s="3042">
        <f t="shared" ca="1" si="14"/>
        <v>43650</v>
      </c>
      <c r="F325" s="3041">
        <f t="shared" ca="1" si="13"/>
        <v>0</v>
      </c>
    </row>
    <row r="326" spans="1:6">
      <c r="A326" s="3388"/>
      <c r="B326" s="2939"/>
      <c r="C326" s="2941"/>
      <c r="D326" s="2939" t="s">
        <v>27</v>
      </c>
      <c r="E326" s="3042">
        <f t="shared" ca="1" si="14"/>
        <v>43650</v>
      </c>
      <c r="F326" s="3041">
        <f t="shared" ca="1" si="13"/>
        <v>0</v>
      </c>
    </row>
    <row r="327" spans="1:6">
      <c r="A327" s="3388"/>
      <c r="B327" s="2939"/>
      <c r="C327" s="2941"/>
      <c r="D327" s="2939" t="s">
        <v>27</v>
      </c>
      <c r="E327" s="3042">
        <f t="shared" ca="1" si="14"/>
        <v>43650</v>
      </c>
      <c r="F327" s="3041">
        <f t="shared" ca="1" si="13"/>
        <v>0</v>
      </c>
    </row>
    <row r="328" spans="1:6">
      <c r="A328" s="3388"/>
      <c r="B328" s="2939"/>
      <c r="C328" s="2941"/>
      <c r="D328" s="2939" t="s">
        <v>27</v>
      </c>
      <c r="E328" s="3042">
        <f t="shared" ca="1" si="14"/>
        <v>43650</v>
      </c>
      <c r="F328" s="3041">
        <f t="shared" ca="1" si="13"/>
        <v>0</v>
      </c>
    </row>
    <row r="329" spans="1:6">
      <c r="A329" s="3388"/>
      <c r="B329" s="2939"/>
      <c r="C329" s="2941"/>
      <c r="D329" s="2939" t="s">
        <v>27</v>
      </c>
      <c r="E329" s="3042">
        <f t="shared" ca="1" si="14"/>
        <v>43650</v>
      </c>
      <c r="F329" s="3041">
        <f t="shared" ca="1" si="13"/>
        <v>0</v>
      </c>
    </row>
    <row r="330" spans="1:6">
      <c r="A330" s="3388"/>
      <c r="B330" s="2939"/>
      <c r="C330" s="2941"/>
      <c r="D330" s="2939" t="s">
        <v>27</v>
      </c>
      <c r="E330" s="3042">
        <f t="shared" ca="1" si="14"/>
        <v>43650</v>
      </c>
      <c r="F330" s="3041">
        <f t="shared" ca="1" si="13"/>
        <v>0</v>
      </c>
    </row>
    <row r="331" spans="1:6">
      <c r="A331" s="3388"/>
      <c r="B331" s="2939"/>
      <c r="C331" s="2941"/>
      <c r="D331" s="2939" t="s">
        <v>27</v>
      </c>
      <c r="E331" s="3042">
        <f t="shared" ca="1" si="14"/>
        <v>43650</v>
      </c>
      <c r="F331" s="3041">
        <f t="shared" ca="1" si="13"/>
        <v>0</v>
      </c>
    </row>
    <row r="332" spans="1:6">
      <c r="A332" s="3388"/>
      <c r="B332" s="2939"/>
      <c r="C332" s="2941"/>
      <c r="D332" s="2939" t="s">
        <v>27</v>
      </c>
      <c r="E332" s="3042">
        <f t="shared" ca="1" si="14"/>
        <v>43650</v>
      </c>
      <c r="F332" s="3041">
        <f t="shared" ca="1" si="13"/>
        <v>0</v>
      </c>
    </row>
    <row r="333" spans="1:6">
      <c r="A333" s="3388"/>
      <c r="B333" s="2939"/>
      <c r="C333" s="2941"/>
      <c r="D333" s="2939" t="s">
        <v>27</v>
      </c>
      <c r="E333" s="3042">
        <f t="shared" ca="1" si="14"/>
        <v>43650</v>
      </c>
      <c r="F333" s="3041">
        <f t="shared" ca="1" si="13"/>
        <v>0</v>
      </c>
    </row>
    <row r="334" spans="1:6">
      <c r="A334" s="3388"/>
      <c r="B334" s="2939"/>
      <c r="C334" s="2941"/>
      <c r="D334" s="2939" t="s">
        <v>27</v>
      </c>
      <c r="E334" s="3042">
        <f t="shared" ca="1" si="14"/>
        <v>43650</v>
      </c>
      <c r="F334" s="3041">
        <f t="shared" ca="1" si="13"/>
        <v>0</v>
      </c>
    </row>
    <row r="335" spans="1:6">
      <c r="A335" s="3388"/>
      <c r="B335" s="2939"/>
      <c r="C335" s="2941"/>
      <c r="D335" s="2939" t="s">
        <v>27</v>
      </c>
      <c r="E335" s="3042">
        <f t="shared" ca="1" si="14"/>
        <v>43650</v>
      </c>
      <c r="F335" s="3041">
        <f t="shared" ca="1" si="13"/>
        <v>0</v>
      </c>
    </row>
    <row r="336" spans="1:6">
      <c r="A336" s="3388"/>
      <c r="B336" s="2939"/>
      <c r="C336" s="2941"/>
      <c r="D336" s="2939" t="s">
        <v>27</v>
      </c>
      <c r="E336" s="3042">
        <f t="shared" ca="1" si="14"/>
        <v>43650</v>
      </c>
      <c r="F336" s="3041">
        <f t="shared" ca="1" si="13"/>
        <v>0</v>
      </c>
    </row>
    <row r="337" spans="1:6">
      <c r="A337" s="3388"/>
      <c r="B337" s="2939"/>
      <c r="C337" s="2941"/>
      <c r="D337" s="2939" t="s">
        <v>27</v>
      </c>
      <c r="E337" s="3042">
        <f t="shared" ca="1" si="14"/>
        <v>43650</v>
      </c>
      <c r="F337" s="3041">
        <f t="shared" ca="1" si="13"/>
        <v>0</v>
      </c>
    </row>
    <row r="338" spans="1:6">
      <c r="A338" s="3388"/>
      <c r="B338" s="2939"/>
      <c r="C338" s="2941"/>
      <c r="D338" s="2939" t="s">
        <v>27</v>
      </c>
      <c r="E338" s="3042">
        <f t="shared" ca="1" si="14"/>
        <v>43650</v>
      </c>
      <c r="F338" s="3041">
        <f t="shared" ca="1" si="13"/>
        <v>0</v>
      </c>
    </row>
    <row r="339" spans="1:6">
      <c r="A339" s="3388"/>
      <c r="B339" s="2939"/>
      <c r="C339" s="2941"/>
      <c r="D339" s="2939" t="s">
        <v>27</v>
      </c>
      <c r="E339" s="3042">
        <f t="shared" ca="1" si="14"/>
        <v>43650</v>
      </c>
      <c r="F339" s="3041">
        <f t="shared" ca="1" si="13"/>
        <v>0</v>
      </c>
    </row>
    <row r="340" spans="1:6">
      <c r="A340" s="3388"/>
      <c r="B340" s="2939"/>
      <c r="C340" s="2941"/>
      <c r="D340" s="2939" t="s">
        <v>27</v>
      </c>
      <c r="E340" s="3042">
        <f t="shared" ca="1" si="14"/>
        <v>43650</v>
      </c>
      <c r="F340" s="3041">
        <f t="shared" ca="1" si="13"/>
        <v>0</v>
      </c>
    </row>
    <row r="341" spans="1:6">
      <c r="A341" s="3388"/>
      <c r="B341" s="2939"/>
      <c r="C341" s="2941"/>
      <c r="D341" s="2939" t="s">
        <v>27</v>
      </c>
      <c r="E341" s="3042">
        <f t="shared" ca="1" si="14"/>
        <v>43650</v>
      </c>
      <c r="F341" s="3041">
        <f t="shared" ca="1" si="13"/>
        <v>0</v>
      </c>
    </row>
    <row r="342" spans="1:6">
      <c r="A342" s="3388"/>
      <c r="B342" s="2939"/>
      <c r="C342" s="2941"/>
      <c r="D342" s="2939" t="s">
        <v>27</v>
      </c>
      <c r="E342" s="3042">
        <f t="shared" ca="1" si="14"/>
        <v>43650</v>
      </c>
      <c r="F342" s="3041">
        <f t="shared" ca="1" si="13"/>
        <v>0</v>
      </c>
    </row>
    <row r="343" spans="1:6">
      <c r="A343" s="3388"/>
      <c r="B343" s="2939"/>
      <c r="C343" s="2941"/>
      <c r="D343" s="2939" t="s">
        <v>27</v>
      </c>
      <c r="E343" s="3042">
        <f t="shared" ca="1" si="14"/>
        <v>43650</v>
      </c>
      <c r="F343" s="3041">
        <f t="shared" ca="1" si="13"/>
        <v>0</v>
      </c>
    </row>
    <row r="344" spans="1:6">
      <c r="A344" s="3388"/>
      <c r="B344" s="2939"/>
      <c r="C344" s="2941"/>
      <c r="D344" s="2939" t="s">
        <v>27</v>
      </c>
      <c r="E344" s="3042">
        <f t="shared" ca="1" si="14"/>
        <v>43650</v>
      </c>
      <c r="F344" s="3041">
        <f t="shared" ca="1" si="13"/>
        <v>0</v>
      </c>
    </row>
    <row r="345" spans="1:6">
      <c r="A345" s="3388"/>
      <c r="B345" s="2939"/>
      <c r="C345" s="2941"/>
      <c r="D345" s="2939" t="s">
        <v>27</v>
      </c>
      <c r="E345" s="3042">
        <f t="shared" ca="1" si="14"/>
        <v>43650</v>
      </c>
      <c r="F345" s="3041">
        <f t="shared" ca="1" si="13"/>
        <v>0</v>
      </c>
    </row>
    <row r="346" spans="1:6">
      <c r="A346" s="3388"/>
      <c r="B346" s="2939"/>
      <c r="C346" s="2941"/>
      <c r="D346" s="2939" t="s">
        <v>27</v>
      </c>
      <c r="E346" s="3042">
        <f t="shared" ca="1" si="14"/>
        <v>43650</v>
      </c>
      <c r="F346" s="3041">
        <f t="shared" ca="1" si="13"/>
        <v>0</v>
      </c>
    </row>
    <row r="347" spans="1:6">
      <c r="A347" s="3388"/>
      <c r="B347" s="2939"/>
      <c r="C347" s="2941"/>
      <c r="D347" s="2939" t="s">
        <v>27</v>
      </c>
      <c r="E347" s="3042">
        <f t="shared" ca="1" si="14"/>
        <v>43650</v>
      </c>
      <c r="F347" s="3041">
        <f t="shared" ca="1" si="13"/>
        <v>0</v>
      </c>
    </row>
    <row r="348" spans="1:6">
      <c r="A348" s="3388"/>
      <c r="B348" s="2939"/>
      <c r="C348" s="2941"/>
      <c r="D348" s="2939" t="s">
        <v>27</v>
      </c>
      <c r="E348" s="3042">
        <f t="shared" ca="1" si="14"/>
        <v>43650</v>
      </c>
      <c r="F348" s="3041">
        <f t="shared" ca="1" si="13"/>
        <v>0</v>
      </c>
    </row>
    <row r="349" spans="1:6">
      <c r="A349" s="3388"/>
      <c r="B349" s="2939"/>
      <c r="C349" s="2941"/>
      <c r="D349" s="2939" t="s">
        <v>27</v>
      </c>
      <c r="E349" s="3042">
        <f t="shared" ca="1" si="14"/>
        <v>43650</v>
      </c>
      <c r="F349" s="3041">
        <f t="shared" ca="1" si="13"/>
        <v>0</v>
      </c>
    </row>
    <row r="350" spans="1:6">
      <c r="A350" s="3388"/>
      <c r="B350" s="2939"/>
      <c r="C350" s="2941"/>
      <c r="D350" s="2939" t="s">
        <v>27</v>
      </c>
      <c r="E350" s="3042">
        <f t="shared" ca="1" si="14"/>
        <v>43650</v>
      </c>
      <c r="F350" s="3041">
        <f t="shared" ca="1" si="13"/>
        <v>0</v>
      </c>
    </row>
    <row r="351" spans="1:6">
      <c r="A351" s="3388"/>
      <c r="B351" s="2939"/>
      <c r="C351" s="2941"/>
      <c r="D351" s="2939" t="s">
        <v>27</v>
      </c>
      <c r="E351" s="3042">
        <f t="shared" ca="1" si="14"/>
        <v>43650</v>
      </c>
      <c r="F351" s="3041">
        <f t="shared" ca="1" si="13"/>
        <v>0</v>
      </c>
    </row>
    <row r="352" spans="1:6">
      <c r="A352" s="3388"/>
      <c r="B352" s="2939"/>
      <c r="C352" s="2941"/>
      <c r="D352" s="2939" t="s">
        <v>27</v>
      </c>
      <c r="E352" s="3042">
        <f t="shared" ca="1" si="14"/>
        <v>43650</v>
      </c>
      <c r="F352" s="3041">
        <f t="shared" ca="1" si="13"/>
        <v>0</v>
      </c>
    </row>
    <row r="353" spans="1:6">
      <c r="A353" s="3388"/>
      <c r="B353" s="2939"/>
      <c r="C353" s="2941"/>
      <c r="D353" s="2939" t="s">
        <v>27</v>
      </c>
      <c r="E353" s="3042">
        <f t="shared" ca="1" si="14"/>
        <v>43650</v>
      </c>
      <c r="F353" s="3041">
        <f t="shared" ca="1" si="13"/>
        <v>0</v>
      </c>
    </row>
    <row r="354" spans="1:6">
      <c r="A354" s="3388"/>
      <c r="B354" s="2939"/>
      <c r="C354" s="2941"/>
      <c r="D354" s="2939" t="s">
        <v>27</v>
      </c>
      <c r="E354" s="3042">
        <f t="shared" ca="1" si="14"/>
        <v>43650</v>
      </c>
      <c r="F354" s="3041">
        <f t="shared" ca="1" si="13"/>
        <v>0</v>
      </c>
    </row>
    <row r="355" spans="1:6">
      <c r="A355" s="3388"/>
      <c r="B355" s="2939"/>
      <c r="C355" s="2941"/>
      <c r="D355" s="2939" t="s">
        <v>27</v>
      </c>
      <c r="E355" s="3042">
        <f t="shared" ca="1" si="14"/>
        <v>43650</v>
      </c>
      <c r="F355" s="3041">
        <f t="shared" ca="1" si="13"/>
        <v>0</v>
      </c>
    </row>
    <row r="356" spans="1:6">
      <c r="A356" s="3388"/>
      <c r="B356" s="2939"/>
      <c r="C356" s="2941"/>
      <c r="D356" s="2939" t="s">
        <v>27</v>
      </c>
      <c r="E356" s="3042">
        <f t="shared" ca="1" si="14"/>
        <v>43650</v>
      </c>
      <c r="F356" s="3041">
        <f t="shared" ca="1" si="13"/>
        <v>0</v>
      </c>
    </row>
    <row r="357" spans="1:6">
      <c r="A357" s="3388"/>
      <c r="B357" s="2939"/>
      <c r="C357" s="2941"/>
      <c r="D357" s="2939" t="s">
        <v>27</v>
      </c>
      <c r="E357" s="3042">
        <f t="shared" ca="1" si="14"/>
        <v>43650</v>
      </c>
      <c r="F357" s="3041">
        <f t="shared" ca="1" si="13"/>
        <v>0</v>
      </c>
    </row>
    <row r="358" spans="1:6">
      <c r="A358" s="3388"/>
      <c r="B358" s="2939"/>
      <c r="C358" s="2941"/>
      <c r="D358" s="2939" t="s">
        <v>27</v>
      </c>
      <c r="E358" s="3042">
        <f t="shared" ca="1" si="14"/>
        <v>43650</v>
      </c>
      <c r="F358" s="3041">
        <f t="shared" ca="1" si="13"/>
        <v>0</v>
      </c>
    </row>
    <row r="359" spans="1:6">
      <c r="A359" s="3388"/>
      <c r="B359" s="2939"/>
      <c r="C359" s="2941"/>
      <c r="D359" s="2939" t="s">
        <v>27</v>
      </c>
      <c r="E359" s="3042">
        <f t="shared" ca="1" si="14"/>
        <v>43650</v>
      </c>
      <c r="F359" s="3041">
        <f t="shared" ca="1" si="13"/>
        <v>0</v>
      </c>
    </row>
    <row r="360" spans="1:6">
      <c r="A360" s="3388"/>
      <c r="B360" s="2939"/>
      <c r="C360" s="2941"/>
      <c r="D360" s="2939" t="s">
        <v>27</v>
      </c>
      <c r="E360" s="3042">
        <f t="shared" ca="1" si="14"/>
        <v>43650</v>
      </c>
      <c r="F360" s="3041">
        <f t="shared" ca="1" si="13"/>
        <v>0</v>
      </c>
    </row>
    <row r="361" spans="1:6">
      <c r="A361" s="3388"/>
      <c r="B361" s="2939"/>
      <c r="C361" s="2941"/>
      <c r="D361" s="2939" t="s">
        <v>27</v>
      </c>
      <c r="E361" s="3042">
        <f t="shared" ca="1" si="14"/>
        <v>43650</v>
      </c>
      <c r="F361" s="3041">
        <f t="shared" ca="1" si="13"/>
        <v>0</v>
      </c>
    </row>
    <row r="362" spans="1:6">
      <c r="A362" s="3388"/>
      <c r="B362" s="2939"/>
      <c r="C362" s="2941"/>
      <c r="D362" s="2939" t="s">
        <v>27</v>
      </c>
      <c r="E362" s="3042">
        <f t="shared" ca="1" si="14"/>
        <v>43650</v>
      </c>
      <c r="F362" s="3041">
        <f t="shared" ca="1" si="13"/>
        <v>0</v>
      </c>
    </row>
    <row r="363" spans="1:6">
      <c r="A363" s="3388"/>
      <c r="B363" s="2939"/>
      <c r="C363" s="2941"/>
      <c r="D363" s="2939" t="s">
        <v>27</v>
      </c>
      <c r="E363" s="3042">
        <f t="shared" ca="1" si="14"/>
        <v>43650</v>
      </c>
      <c r="F363" s="3041">
        <f t="shared" ca="1" si="13"/>
        <v>0</v>
      </c>
    </row>
    <row r="364" spans="1:6">
      <c r="A364" s="3388"/>
      <c r="B364" s="2939"/>
      <c r="C364" s="2941"/>
      <c r="D364" s="2939" t="s">
        <v>27</v>
      </c>
      <c r="E364" s="3042">
        <f t="shared" ca="1" si="14"/>
        <v>43650</v>
      </c>
      <c r="F364" s="3041">
        <f t="shared" ca="1" si="13"/>
        <v>0</v>
      </c>
    </row>
    <row r="365" spans="1:6">
      <c r="A365" s="3388"/>
      <c r="B365" s="2939"/>
      <c r="C365" s="2941"/>
      <c r="D365" s="2939" t="s">
        <v>27</v>
      </c>
      <c r="E365" s="3042">
        <f t="shared" ca="1" si="14"/>
        <v>43650</v>
      </c>
      <c r="F365" s="3041">
        <f t="shared" ref="F365:F375" ca="1" si="15">ROUND(C365*E365/10000,0)</f>
        <v>0</v>
      </c>
    </row>
    <row r="366" spans="1:6">
      <c r="A366" s="3388"/>
      <c r="B366" s="2939"/>
      <c r="C366" s="2941"/>
      <c r="D366" s="2939" t="s">
        <v>27</v>
      </c>
      <c r="E366" s="3042">
        <f t="shared" ca="1" si="14"/>
        <v>43650</v>
      </c>
      <c r="F366" s="3041">
        <f t="shared" ca="1" si="15"/>
        <v>0</v>
      </c>
    </row>
    <row r="367" spans="1:6">
      <c r="A367" s="3388"/>
      <c r="B367" s="2939"/>
      <c r="C367" s="2941"/>
      <c r="D367" s="2939" t="s">
        <v>27</v>
      </c>
      <c r="E367" s="3042">
        <f t="shared" ref="E367:E372" ca="1" si="16">E366</f>
        <v>43650</v>
      </c>
      <c r="F367" s="3041">
        <f t="shared" ca="1" si="15"/>
        <v>0</v>
      </c>
    </row>
    <row r="368" spans="1:6">
      <c r="A368" s="3388"/>
      <c r="B368" s="2939"/>
      <c r="C368" s="2941"/>
      <c r="D368" s="2939" t="s">
        <v>27</v>
      </c>
      <c r="E368" s="3042">
        <f t="shared" ca="1" si="16"/>
        <v>43650</v>
      </c>
      <c r="F368" s="3041">
        <f t="shared" ca="1" si="15"/>
        <v>0</v>
      </c>
    </row>
    <row r="369" spans="1:6">
      <c r="A369" s="3388"/>
      <c r="B369" s="2939"/>
      <c r="C369" s="2941"/>
      <c r="D369" s="2939" t="s">
        <v>27</v>
      </c>
      <c r="E369" s="3042">
        <f t="shared" ca="1" si="16"/>
        <v>43650</v>
      </c>
      <c r="F369" s="3041">
        <f t="shared" ca="1" si="15"/>
        <v>0</v>
      </c>
    </row>
    <row r="370" spans="1:6">
      <c r="A370" s="3388"/>
      <c r="B370" s="2939"/>
      <c r="C370" s="2941"/>
      <c r="D370" s="2939" t="s">
        <v>27</v>
      </c>
      <c r="E370" s="3042">
        <f t="shared" ca="1" si="16"/>
        <v>43650</v>
      </c>
      <c r="F370" s="3041">
        <f t="shared" ca="1" si="15"/>
        <v>0</v>
      </c>
    </row>
    <row r="371" spans="1:6">
      <c r="A371" s="3388"/>
      <c r="B371" s="2939"/>
      <c r="C371" s="2941"/>
      <c r="D371" s="2939" t="s">
        <v>27</v>
      </c>
      <c r="E371" s="3042">
        <f t="shared" ca="1" si="16"/>
        <v>43650</v>
      </c>
      <c r="F371" s="3041">
        <f t="shared" ca="1" si="15"/>
        <v>0</v>
      </c>
    </row>
    <row r="372" spans="1:6">
      <c r="A372" s="3389"/>
      <c r="B372" s="2939"/>
      <c r="C372" s="2941"/>
      <c r="D372" s="2939" t="s">
        <v>27</v>
      </c>
      <c r="E372" s="3042">
        <f t="shared" ca="1" si="16"/>
        <v>43650</v>
      </c>
      <c r="F372" s="3041">
        <f t="shared" ca="1" si="15"/>
        <v>0</v>
      </c>
    </row>
    <row r="373" spans="1:6">
      <c r="A373" s="3390" t="s">
        <v>40</v>
      </c>
      <c r="B373" s="3390"/>
      <c r="C373" s="2942">
        <f>SUM(C301:C372)</f>
        <v>0</v>
      </c>
      <c r="D373" s="2942" t="s">
        <v>27</v>
      </c>
      <c r="E373" s="3042"/>
      <c r="F373" s="3041">
        <f ca="1">SUM(F301:F372)</f>
        <v>0</v>
      </c>
    </row>
    <row r="374" spans="1:6">
      <c r="A374" s="3399"/>
      <c r="B374" s="2939"/>
      <c r="C374" s="2941"/>
      <c r="D374" s="2939" t="s">
        <v>27</v>
      </c>
      <c r="E374" s="3042">
        <f ca="1">E3</f>
        <v>43650</v>
      </c>
      <c r="F374" s="3041">
        <f t="shared" ca="1" si="15"/>
        <v>0</v>
      </c>
    </row>
    <row r="375" spans="1:6">
      <c r="A375" s="3388"/>
      <c r="B375" s="2939"/>
      <c r="C375" s="2941"/>
      <c r="D375" s="2939" t="s">
        <v>27</v>
      </c>
      <c r="E375" s="3042">
        <f ca="1">E374</f>
        <v>43650</v>
      </c>
      <c r="F375" s="3041">
        <f t="shared" ca="1" si="15"/>
        <v>0</v>
      </c>
    </row>
    <row r="376" spans="1:6">
      <c r="A376" s="3388"/>
      <c r="B376" s="2939"/>
      <c r="C376" s="2941"/>
      <c r="D376" s="2939" t="s">
        <v>27</v>
      </c>
      <c r="E376" s="3042">
        <f t="shared" ref="E376:E415" ca="1" si="17">E375</f>
        <v>43650</v>
      </c>
      <c r="F376" s="3041">
        <f t="shared" ref="F376:F415" ca="1" si="18">ROUND(C376*E376/10000,0)</f>
        <v>0</v>
      </c>
    </row>
    <row r="377" spans="1:6">
      <c r="A377" s="3388"/>
      <c r="B377" s="2939"/>
      <c r="C377" s="2941"/>
      <c r="D377" s="2939" t="s">
        <v>27</v>
      </c>
      <c r="E377" s="3042">
        <f t="shared" ca="1" si="17"/>
        <v>43650</v>
      </c>
      <c r="F377" s="3041">
        <f t="shared" ca="1" si="18"/>
        <v>0</v>
      </c>
    </row>
    <row r="378" spans="1:6">
      <c r="A378" s="3388"/>
      <c r="B378" s="2939"/>
      <c r="C378" s="2941"/>
      <c r="D378" s="2939" t="s">
        <v>27</v>
      </c>
      <c r="E378" s="3042">
        <f t="shared" ca="1" si="17"/>
        <v>43650</v>
      </c>
      <c r="F378" s="3041">
        <f t="shared" ca="1" si="18"/>
        <v>0</v>
      </c>
    </row>
    <row r="379" spans="1:6">
      <c r="A379" s="3388"/>
      <c r="B379" s="2939"/>
      <c r="C379" s="2941"/>
      <c r="D379" s="2939" t="s">
        <v>27</v>
      </c>
      <c r="E379" s="3042">
        <f t="shared" ca="1" si="17"/>
        <v>43650</v>
      </c>
      <c r="F379" s="3041">
        <f t="shared" ca="1" si="18"/>
        <v>0</v>
      </c>
    </row>
    <row r="380" spans="1:6">
      <c r="A380" s="3388"/>
      <c r="B380" s="2939"/>
      <c r="C380" s="2941"/>
      <c r="D380" s="2939" t="s">
        <v>27</v>
      </c>
      <c r="E380" s="3042">
        <f t="shared" ca="1" si="17"/>
        <v>43650</v>
      </c>
      <c r="F380" s="3041">
        <f t="shared" ca="1" si="18"/>
        <v>0</v>
      </c>
    </row>
    <row r="381" spans="1:6">
      <c r="A381" s="3388"/>
      <c r="B381" s="2939"/>
      <c r="C381" s="2941"/>
      <c r="D381" s="2939" t="s">
        <v>27</v>
      </c>
      <c r="E381" s="3042">
        <f t="shared" ca="1" si="17"/>
        <v>43650</v>
      </c>
      <c r="F381" s="3041">
        <f t="shared" ca="1" si="18"/>
        <v>0</v>
      </c>
    </row>
    <row r="382" spans="1:6">
      <c r="A382" s="3388"/>
      <c r="B382" s="2939"/>
      <c r="C382" s="2941"/>
      <c r="D382" s="2939" t="s">
        <v>27</v>
      </c>
      <c r="E382" s="3042">
        <f t="shared" ca="1" si="17"/>
        <v>43650</v>
      </c>
      <c r="F382" s="3041">
        <f t="shared" ca="1" si="18"/>
        <v>0</v>
      </c>
    </row>
    <row r="383" spans="1:6">
      <c r="A383" s="3388"/>
      <c r="B383" s="2939"/>
      <c r="C383" s="2941"/>
      <c r="D383" s="2939" t="s">
        <v>27</v>
      </c>
      <c r="E383" s="3042">
        <f t="shared" ca="1" si="17"/>
        <v>43650</v>
      </c>
      <c r="F383" s="3041">
        <f t="shared" ca="1" si="18"/>
        <v>0</v>
      </c>
    </row>
    <row r="384" spans="1:6">
      <c r="A384" s="3388"/>
      <c r="B384" s="2939"/>
      <c r="C384" s="2941"/>
      <c r="D384" s="2939" t="s">
        <v>27</v>
      </c>
      <c r="E384" s="3042">
        <f t="shared" ca="1" si="17"/>
        <v>43650</v>
      </c>
      <c r="F384" s="3041">
        <f t="shared" ca="1" si="18"/>
        <v>0</v>
      </c>
    </row>
    <row r="385" spans="1:6">
      <c r="A385" s="3388"/>
      <c r="B385" s="2939"/>
      <c r="C385" s="2941"/>
      <c r="D385" s="2939" t="s">
        <v>27</v>
      </c>
      <c r="E385" s="3042">
        <f t="shared" ca="1" si="17"/>
        <v>43650</v>
      </c>
      <c r="F385" s="3041">
        <f t="shared" ca="1" si="18"/>
        <v>0</v>
      </c>
    </row>
    <row r="386" spans="1:6">
      <c r="A386" s="3388"/>
      <c r="B386" s="2939"/>
      <c r="C386" s="2941"/>
      <c r="D386" s="2939" t="s">
        <v>27</v>
      </c>
      <c r="E386" s="3042">
        <f t="shared" ca="1" si="17"/>
        <v>43650</v>
      </c>
      <c r="F386" s="3041">
        <f t="shared" ca="1" si="18"/>
        <v>0</v>
      </c>
    </row>
    <row r="387" spans="1:6">
      <c r="A387" s="3388"/>
      <c r="B387" s="2939"/>
      <c r="C387" s="2941"/>
      <c r="D387" s="2939" t="s">
        <v>27</v>
      </c>
      <c r="E387" s="3042">
        <f t="shared" ca="1" si="17"/>
        <v>43650</v>
      </c>
      <c r="F387" s="3041">
        <f t="shared" ca="1" si="18"/>
        <v>0</v>
      </c>
    </row>
    <row r="388" spans="1:6">
      <c r="A388" s="3388"/>
      <c r="B388" s="2939"/>
      <c r="C388" s="2941"/>
      <c r="D388" s="2939" t="s">
        <v>27</v>
      </c>
      <c r="E388" s="3042">
        <f t="shared" ca="1" si="17"/>
        <v>43650</v>
      </c>
      <c r="F388" s="3041">
        <f t="shared" ca="1" si="18"/>
        <v>0</v>
      </c>
    </row>
    <row r="389" spans="1:6">
      <c r="A389" s="3388"/>
      <c r="B389" s="2939"/>
      <c r="C389" s="2941"/>
      <c r="D389" s="2939" t="s">
        <v>27</v>
      </c>
      <c r="E389" s="3042">
        <f t="shared" ca="1" si="17"/>
        <v>43650</v>
      </c>
      <c r="F389" s="3041">
        <f t="shared" ca="1" si="18"/>
        <v>0</v>
      </c>
    </row>
    <row r="390" spans="1:6">
      <c r="A390" s="3388"/>
      <c r="B390" s="2939"/>
      <c r="C390" s="2941"/>
      <c r="D390" s="2939" t="s">
        <v>27</v>
      </c>
      <c r="E390" s="3042">
        <f t="shared" ca="1" si="17"/>
        <v>43650</v>
      </c>
      <c r="F390" s="3041">
        <f t="shared" ca="1" si="18"/>
        <v>0</v>
      </c>
    </row>
    <row r="391" spans="1:6">
      <c r="A391" s="3388"/>
      <c r="B391" s="2939"/>
      <c r="C391" s="2941"/>
      <c r="D391" s="2939" t="s">
        <v>27</v>
      </c>
      <c r="E391" s="3042">
        <f t="shared" ca="1" si="17"/>
        <v>43650</v>
      </c>
      <c r="F391" s="3041">
        <f t="shared" ca="1" si="18"/>
        <v>0</v>
      </c>
    </row>
    <row r="392" spans="1:6">
      <c r="A392" s="3388"/>
      <c r="B392" s="2939"/>
      <c r="C392" s="2941"/>
      <c r="D392" s="2939" t="s">
        <v>27</v>
      </c>
      <c r="E392" s="3042">
        <f t="shared" ca="1" si="17"/>
        <v>43650</v>
      </c>
      <c r="F392" s="3041">
        <f t="shared" ca="1" si="18"/>
        <v>0</v>
      </c>
    </row>
    <row r="393" spans="1:6">
      <c r="A393" s="3388"/>
      <c r="B393" s="2939"/>
      <c r="C393" s="2941"/>
      <c r="D393" s="2939" t="s">
        <v>27</v>
      </c>
      <c r="E393" s="3042">
        <f t="shared" ca="1" si="17"/>
        <v>43650</v>
      </c>
      <c r="F393" s="3041">
        <f t="shared" ca="1" si="18"/>
        <v>0</v>
      </c>
    </row>
    <row r="394" spans="1:6">
      <c r="A394" s="3388"/>
      <c r="B394" s="2939"/>
      <c r="C394" s="2941"/>
      <c r="D394" s="2939" t="s">
        <v>27</v>
      </c>
      <c r="E394" s="3042">
        <f t="shared" ca="1" si="17"/>
        <v>43650</v>
      </c>
      <c r="F394" s="3041">
        <f t="shared" ca="1" si="18"/>
        <v>0</v>
      </c>
    </row>
    <row r="395" spans="1:6">
      <c r="A395" s="3388"/>
      <c r="B395" s="2939"/>
      <c r="C395" s="2941"/>
      <c r="D395" s="2939" t="s">
        <v>27</v>
      </c>
      <c r="E395" s="3042">
        <f t="shared" ca="1" si="17"/>
        <v>43650</v>
      </c>
      <c r="F395" s="3041">
        <f t="shared" ca="1" si="18"/>
        <v>0</v>
      </c>
    </row>
    <row r="396" spans="1:6">
      <c r="A396" s="3388"/>
      <c r="B396" s="2939"/>
      <c r="C396" s="2941"/>
      <c r="D396" s="2939" t="s">
        <v>27</v>
      </c>
      <c r="E396" s="3042">
        <f t="shared" ca="1" si="17"/>
        <v>43650</v>
      </c>
      <c r="F396" s="3041">
        <f t="shared" ca="1" si="18"/>
        <v>0</v>
      </c>
    </row>
    <row r="397" spans="1:6">
      <c r="A397" s="3388"/>
      <c r="B397" s="2939"/>
      <c r="C397" s="2941"/>
      <c r="D397" s="2939" t="s">
        <v>27</v>
      </c>
      <c r="E397" s="3042">
        <f t="shared" ca="1" si="17"/>
        <v>43650</v>
      </c>
      <c r="F397" s="3041">
        <f t="shared" ca="1" si="18"/>
        <v>0</v>
      </c>
    </row>
    <row r="398" spans="1:6">
      <c r="A398" s="3388"/>
      <c r="B398" s="2939"/>
      <c r="C398" s="2941"/>
      <c r="D398" s="2939" t="s">
        <v>27</v>
      </c>
      <c r="E398" s="3042">
        <f t="shared" ca="1" si="17"/>
        <v>43650</v>
      </c>
      <c r="F398" s="3041">
        <f t="shared" ca="1" si="18"/>
        <v>0</v>
      </c>
    </row>
    <row r="399" spans="1:6">
      <c r="A399" s="3388"/>
      <c r="B399" s="2939"/>
      <c r="C399" s="2941"/>
      <c r="D399" s="2939" t="s">
        <v>27</v>
      </c>
      <c r="E399" s="3042">
        <f t="shared" ca="1" si="17"/>
        <v>43650</v>
      </c>
      <c r="F399" s="3041">
        <f t="shared" ca="1" si="18"/>
        <v>0</v>
      </c>
    </row>
    <row r="400" spans="1:6">
      <c r="A400" s="3388"/>
      <c r="B400" s="2939"/>
      <c r="C400" s="2941"/>
      <c r="D400" s="2939" t="s">
        <v>27</v>
      </c>
      <c r="E400" s="3042">
        <f t="shared" ca="1" si="17"/>
        <v>43650</v>
      </c>
      <c r="F400" s="3041">
        <f t="shared" ca="1" si="18"/>
        <v>0</v>
      </c>
    </row>
    <row r="401" spans="1:6">
      <c r="A401" s="3388"/>
      <c r="B401" s="2939"/>
      <c r="C401" s="2941"/>
      <c r="D401" s="2939" t="s">
        <v>27</v>
      </c>
      <c r="E401" s="3042">
        <f t="shared" ca="1" si="17"/>
        <v>43650</v>
      </c>
      <c r="F401" s="3041">
        <f t="shared" ca="1" si="18"/>
        <v>0</v>
      </c>
    </row>
    <row r="402" spans="1:6">
      <c r="A402" s="3388"/>
      <c r="B402" s="2939"/>
      <c r="C402" s="2941"/>
      <c r="D402" s="2939" t="s">
        <v>27</v>
      </c>
      <c r="E402" s="3042">
        <f t="shared" ca="1" si="17"/>
        <v>43650</v>
      </c>
      <c r="F402" s="3041">
        <f t="shared" ca="1" si="18"/>
        <v>0</v>
      </c>
    </row>
    <row r="403" spans="1:6">
      <c r="A403" s="3388"/>
      <c r="B403" s="2939"/>
      <c r="C403" s="2941"/>
      <c r="D403" s="2939" t="s">
        <v>27</v>
      </c>
      <c r="E403" s="3042">
        <f t="shared" ca="1" si="17"/>
        <v>43650</v>
      </c>
      <c r="F403" s="3041">
        <f t="shared" ca="1" si="18"/>
        <v>0</v>
      </c>
    </row>
    <row r="404" spans="1:6">
      <c r="A404" s="3388"/>
      <c r="B404" s="2939"/>
      <c r="C404" s="2941"/>
      <c r="D404" s="2939" t="s">
        <v>27</v>
      </c>
      <c r="E404" s="3042">
        <f t="shared" ca="1" si="17"/>
        <v>43650</v>
      </c>
      <c r="F404" s="3041">
        <f t="shared" ca="1" si="18"/>
        <v>0</v>
      </c>
    </row>
    <row r="405" spans="1:6">
      <c r="A405" s="3388"/>
      <c r="B405" s="2939"/>
      <c r="C405" s="2941"/>
      <c r="D405" s="2939" t="s">
        <v>27</v>
      </c>
      <c r="E405" s="3042">
        <f t="shared" ca="1" si="17"/>
        <v>43650</v>
      </c>
      <c r="F405" s="3041">
        <f t="shared" ca="1" si="18"/>
        <v>0</v>
      </c>
    </row>
    <row r="406" spans="1:6">
      <c r="A406" s="3388"/>
      <c r="B406" s="2939"/>
      <c r="C406" s="2941"/>
      <c r="D406" s="2939" t="s">
        <v>27</v>
      </c>
      <c r="E406" s="3042">
        <f t="shared" ca="1" si="17"/>
        <v>43650</v>
      </c>
      <c r="F406" s="3041">
        <f t="shared" ca="1" si="18"/>
        <v>0</v>
      </c>
    </row>
    <row r="407" spans="1:6">
      <c r="A407" s="3388"/>
      <c r="B407" s="2939"/>
      <c r="C407" s="2941"/>
      <c r="D407" s="2939" t="s">
        <v>27</v>
      </c>
      <c r="E407" s="3042">
        <f t="shared" ca="1" si="17"/>
        <v>43650</v>
      </c>
      <c r="F407" s="3041">
        <f t="shared" ca="1" si="18"/>
        <v>0</v>
      </c>
    </row>
    <row r="408" spans="1:6">
      <c r="A408" s="3388"/>
      <c r="B408" s="2939"/>
      <c r="C408" s="2941"/>
      <c r="D408" s="2939" t="s">
        <v>27</v>
      </c>
      <c r="E408" s="3042">
        <f t="shared" ca="1" si="17"/>
        <v>43650</v>
      </c>
      <c r="F408" s="3041">
        <f t="shared" ca="1" si="18"/>
        <v>0</v>
      </c>
    </row>
    <row r="409" spans="1:6">
      <c r="A409" s="3388"/>
      <c r="B409" s="2939"/>
      <c r="C409" s="2941"/>
      <c r="D409" s="2939" t="s">
        <v>27</v>
      </c>
      <c r="E409" s="3042">
        <f t="shared" ca="1" si="17"/>
        <v>43650</v>
      </c>
      <c r="F409" s="3041">
        <f t="shared" ca="1" si="18"/>
        <v>0</v>
      </c>
    </row>
    <row r="410" spans="1:6">
      <c r="A410" s="3388"/>
      <c r="B410" s="2939"/>
      <c r="C410" s="2941"/>
      <c r="D410" s="2939" t="s">
        <v>27</v>
      </c>
      <c r="E410" s="3042">
        <f t="shared" ca="1" si="17"/>
        <v>43650</v>
      </c>
      <c r="F410" s="3041">
        <f t="shared" ca="1" si="18"/>
        <v>0</v>
      </c>
    </row>
    <row r="411" spans="1:6">
      <c r="A411" s="3388"/>
      <c r="B411" s="2939"/>
      <c r="C411" s="2941"/>
      <c r="D411" s="2939" t="s">
        <v>27</v>
      </c>
      <c r="E411" s="3042">
        <f t="shared" ca="1" si="17"/>
        <v>43650</v>
      </c>
      <c r="F411" s="3041">
        <f t="shared" ca="1" si="18"/>
        <v>0</v>
      </c>
    </row>
    <row r="412" spans="1:6">
      <c r="A412" s="3388"/>
      <c r="B412" s="2939"/>
      <c r="C412" s="2941"/>
      <c r="D412" s="2939" t="s">
        <v>27</v>
      </c>
      <c r="E412" s="3042">
        <f t="shared" ca="1" si="17"/>
        <v>43650</v>
      </c>
      <c r="F412" s="3041">
        <f t="shared" ca="1" si="18"/>
        <v>0</v>
      </c>
    </row>
    <row r="413" spans="1:6">
      <c r="A413" s="3388"/>
      <c r="B413" s="2939"/>
      <c r="C413" s="2941"/>
      <c r="D413" s="2939" t="s">
        <v>27</v>
      </c>
      <c r="E413" s="3042">
        <f t="shared" ca="1" si="17"/>
        <v>43650</v>
      </c>
      <c r="F413" s="3041">
        <f t="shared" ca="1" si="18"/>
        <v>0</v>
      </c>
    </row>
    <row r="414" spans="1:6">
      <c r="A414" s="3388"/>
      <c r="B414" s="2939"/>
      <c r="C414" s="2941"/>
      <c r="D414" s="2939" t="s">
        <v>27</v>
      </c>
      <c r="E414" s="3042">
        <f t="shared" ca="1" si="17"/>
        <v>43650</v>
      </c>
      <c r="F414" s="3041">
        <f t="shared" ca="1" si="18"/>
        <v>0</v>
      </c>
    </row>
    <row r="415" spans="1:6">
      <c r="A415" s="3389"/>
      <c r="B415" s="2939"/>
      <c r="C415" s="2941"/>
      <c r="D415" s="2939" t="s">
        <v>27</v>
      </c>
      <c r="E415" s="3042">
        <f t="shared" ca="1" si="17"/>
        <v>43650</v>
      </c>
      <c r="F415" s="3041">
        <f t="shared" ca="1" si="18"/>
        <v>0</v>
      </c>
    </row>
    <row r="416" spans="1:6">
      <c r="A416" s="3397" t="s">
        <v>40</v>
      </c>
      <c r="B416" s="3398"/>
      <c r="C416" s="2942">
        <f>SUM(C374:C415)</f>
        <v>0</v>
      </c>
      <c r="D416" s="2942" t="s">
        <v>27</v>
      </c>
      <c r="E416" s="3042"/>
      <c r="F416" s="3041">
        <f ca="1">SUM(F374:F415)</f>
        <v>0</v>
      </c>
    </row>
    <row r="417" spans="1:6">
      <c r="A417" s="3391" t="s">
        <v>3168</v>
      </c>
      <c r="B417" s="3391"/>
      <c r="C417" s="2947">
        <f>C416+C373</f>
        <v>0</v>
      </c>
      <c r="D417" s="2948" t="s">
        <v>3170</v>
      </c>
      <c r="E417" s="3042"/>
      <c r="F417" s="3042"/>
    </row>
    <row r="418" spans="1:6">
      <c r="A418" s="2938" t="s">
        <v>3072</v>
      </c>
      <c r="B418" s="2938" t="s">
        <v>3073</v>
      </c>
      <c r="C418" s="2938" t="s">
        <v>3074</v>
      </c>
      <c r="D418" s="2938" t="s">
        <v>1375</v>
      </c>
      <c r="E418" s="3042"/>
      <c r="F418" s="3042"/>
    </row>
    <row r="419" spans="1:6">
      <c r="A419" s="3394" t="s">
        <v>3171</v>
      </c>
      <c r="B419" s="2939">
        <v>101</v>
      </c>
      <c r="C419" s="2941">
        <v>86.87</v>
      </c>
      <c r="D419" s="2939" t="s">
        <v>27</v>
      </c>
      <c r="E419" s="3042">
        <f ca="1">E3</f>
        <v>43650</v>
      </c>
      <c r="F419" s="3041">
        <f t="shared" ref="F419:F420" ca="1" si="19">ROUND(C419*E419/10000,0)</f>
        <v>379</v>
      </c>
    </row>
    <row r="420" spans="1:6">
      <c r="A420" s="3388"/>
      <c r="B420" s="2939">
        <v>102</v>
      </c>
      <c r="C420" s="2941">
        <v>60.03</v>
      </c>
      <c r="D420" s="2939" t="s">
        <v>27</v>
      </c>
      <c r="E420" s="3042">
        <f ca="1">E419</f>
        <v>43650</v>
      </c>
      <c r="F420" s="3041">
        <f t="shared" ca="1" si="19"/>
        <v>262</v>
      </c>
    </row>
    <row r="421" spans="1:6">
      <c r="A421" s="3388"/>
      <c r="B421" s="2939">
        <v>103</v>
      </c>
      <c r="C421" s="2941">
        <v>58.4</v>
      </c>
      <c r="D421" s="2939" t="s">
        <v>27</v>
      </c>
      <c r="E421" s="3042">
        <f t="shared" ref="E421" ca="1" si="20">E5</f>
        <v>43650</v>
      </c>
      <c r="F421" s="3041">
        <f t="shared" ref="F421:F477" ca="1" si="21">ROUND(C421*E421/10000,0)</f>
        <v>255</v>
      </c>
    </row>
    <row r="422" spans="1:6">
      <c r="A422" s="3388"/>
      <c r="B422" s="2939">
        <v>104</v>
      </c>
      <c r="C422" s="2941">
        <v>58.08</v>
      </c>
      <c r="D422" s="2939" t="s">
        <v>27</v>
      </c>
      <c r="E422" s="3042">
        <f t="shared" ref="E422" ca="1" si="22">E421</f>
        <v>43650</v>
      </c>
      <c r="F422" s="3041">
        <f t="shared" ca="1" si="21"/>
        <v>254</v>
      </c>
    </row>
    <row r="423" spans="1:6">
      <c r="A423" s="3388"/>
      <c r="B423" s="2939">
        <v>105</v>
      </c>
      <c r="C423" s="2941">
        <v>58.08</v>
      </c>
      <c r="D423" s="2939" t="s">
        <v>27</v>
      </c>
      <c r="E423" s="3042">
        <f t="shared" ref="E423" ca="1" si="23">E7</f>
        <v>43650</v>
      </c>
      <c r="F423" s="3041">
        <f t="shared" ca="1" si="21"/>
        <v>254</v>
      </c>
    </row>
    <row r="424" spans="1:6">
      <c r="A424" s="3388"/>
      <c r="B424" s="2939">
        <v>106</v>
      </c>
      <c r="C424" s="2941">
        <v>58.08</v>
      </c>
      <c r="D424" s="2939" t="s">
        <v>27</v>
      </c>
      <c r="E424" s="3042">
        <f t="shared" ref="E424" ca="1" si="24">E423</f>
        <v>43650</v>
      </c>
      <c r="F424" s="3041">
        <f t="shared" ca="1" si="21"/>
        <v>254</v>
      </c>
    </row>
    <row r="425" spans="1:6">
      <c r="A425" s="3388"/>
      <c r="B425" s="2939">
        <v>107</v>
      </c>
      <c r="C425" s="2941">
        <v>58.08</v>
      </c>
      <c r="D425" s="2939" t="s">
        <v>27</v>
      </c>
      <c r="E425" s="3042">
        <f t="shared" ref="E425" ca="1" si="25">E9</f>
        <v>43650</v>
      </c>
      <c r="F425" s="3041">
        <f t="shared" ca="1" si="21"/>
        <v>254</v>
      </c>
    </row>
    <row r="426" spans="1:6">
      <c r="A426" s="3388"/>
      <c r="B426" s="2939">
        <v>108</v>
      </c>
      <c r="C426" s="2941">
        <v>58.4</v>
      </c>
      <c r="D426" s="2939" t="s">
        <v>27</v>
      </c>
      <c r="E426" s="3042">
        <f t="shared" ref="E426" ca="1" si="26">E425</f>
        <v>43650</v>
      </c>
      <c r="F426" s="3041">
        <f t="shared" ca="1" si="21"/>
        <v>255</v>
      </c>
    </row>
    <row r="427" spans="1:6">
      <c r="A427" s="3388"/>
      <c r="B427" s="2939">
        <v>109</v>
      </c>
      <c r="C427" s="2941">
        <v>60.03</v>
      </c>
      <c r="D427" s="2939" t="s">
        <v>27</v>
      </c>
      <c r="E427" s="3042">
        <f t="shared" ref="E427" ca="1" si="27">E11</f>
        <v>43650</v>
      </c>
      <c r="F427" s="3041">
        <f t="shared" ca="1" si="21"/>
        <v>262</v>
      </c>
    </row>
    <row r="428" spans="1:6">
      <c r="A428" s="3388"/>
      <c r="B428" s="2939">
        <v>110</v>
      </c>
      <c r="C428" s="2941">
        <v>86.87</v>
      </c>
      <c r="D428" s="2939" t="s">
        <v>27</v>
      </c>
      <c r="E428" s="3042">
        <f t="shared" ref="E428" ca="1" si="28">E427</f>
        <v>43650</v>
      </c>
      <c r="F428" s="3041">
        <f t="shared" ca="1" si="21"/>
        <v>379</v>
      </c>
    </row>
    <row r="429" spans="1:6" s="3060" customFormat="1">
      <c r="A429" s="3388"/>
      <c r="B429" s="3057">
        <v>111</v>
      </c>
      <c r="C429" s="3058">
        <v>34.99</v>
      </c>
      <c r="D429" s="3061" t="s">
        <v>3458</v>
      </c>
      <c r="E429" s="3059">
        <f ca="1">J40</f>
        <v>34910</v>
      </c>
      <c r="F429" s="3059">
        <f t="shared" ca="1" si="21"/>
        <v>122</v>
      </c>
    </row>
    <row r="430" spans="1:6" s="3060" customFormat="1">
      <c r="A430" s="3388"/>
      <c r="B430" s="3057">
        <v>112</v>
      </c>
      <c r="C430" s="3058">
        <v>28.49</v>
      </c>
      <c r="D430" s="3061" t="s">
        <v>3458</v>
      </c>
      <c r="E430" s="3059">
        <f t="shared" ref="E430" ca="1" si="29">E429</f>
        <v>34910</v>
      </c>
      <c r="F430" s="3059">
        <f t="shared" ca="1" si="21"/>
        <v>99</v>
      </c>
    </row>
    <row r="431" spans="1:6" s="3060" customFormat="1">
      <c r="A431" s="3388"/>
      <c r="B431" s="3057">
        <v>113</v>
      </c>
      <c r="C431" s="3058">
        <v>34.81</v>
      </c>
      <c r="D431" s="3061" t="s">
        <v>3458</v>
      </c>
      <c r="E431" s="3059">
        <f ca="1">E429</f>
        <v>34910</v>
      </c>
      <c r="F431" s="3059">
        <f t="shared" ca="1" si="21"/>
        <v>122</v>
      </c>
    </row>
    <row r="432" spans="1:6" s="3060" customFormat="1">
      <c r="A432" s="3388"/>
      <c r="B432" s="3057">
        <v>114</v>
      </c>
      <c r="C432" s="3058">
        <v>34.54</v>
      </c>
      <c r="D432" s="3061" t="s">
        <v>3458</v>
      </c>
      <c r="E432" s="3059">
        <f t="shared" ref="E432" ca="1" si="30">E431</f>
        <v>34910</v>
      </c>
      <c r="F432" s="3059">
        <f t="shared" ca="1" si="21"/>
        <v>121</v>
      </c>
    </row>
    <row r="433" spans="1:6" s="3060" customFormat="1">
      <c r="A433" s="3388"/>
      <c r="B433" s="3057">
        <v>115</v>
      </c>
      <c r="C433" s="3058">
        <v>34.54</v>
      </c>
      <c r="D433" s="3061" t="s">
        <v>3458</v>
      </c>
      <c r="E433" s="3059">
        <f ca="1">E429</f>
        <v>34910</v>
      </c>
      <c r="F433" s="3059">
        <f t="shared" ca="1" si="21"/>
        <v>121</v>
      </c>
    </row>
    <row r="434" spans="1:6" s="3060" customFormat="1">
      <c r="A434" s="3388"/>
      <c r="B434" s="3057">
        <v>116</v>
      </c>
      <c r="C434" s="3058">
        <v>34.81</v>
      </c>
      <c r="D434" s="3061" t="s">
        <v>3458</v>
      </c>
      <c r="E434" s="3059">
        <f t="shared" ref="E434" ca="1" si="31">E433</f>
        <v>34910</v>
      </c>
      <c r="F434" s="3059">
        <f t="shared" ca="1" si="21"/>
        <v>122</v>
      </c>
    </row>
    <row r="435" spans="1:6" s="3060" customFormat="1">
      <c r="A435" s="3388"/>
      <c r="B435" s="3057">
        <v>117</v>
      </c>
      <c r="C435" s="3058">
        <v>28.49</v>
      </c>
      <c r="D435" s="3061" t="s">
        <v>3458</v>
      </c>
      <c r="E435" s="3059">
        <f ca="1">E429</f>
        <v>34910</v>
      </c>
      <c r="F435" s="3059">
        <f t="shared" ca="1" si="21"/>
        <v>99</v>
      </c>
    </row>
    <row r="436" spans="1:6" s="3060" customFormat="1">
      <c r="A436" s="3388"/>
      <c r="B436" s="3057">
        <v>118</v>
      </c>
      <c r="C436" s="3058">
        <v>34.99</v>
      </c>
      <c r="D436" s="3061" t="s">
        <v>3458</v>
      </c>
      <c r="E436" s="3059">
        <f t="shared" ref="E436" ca="1" si="32">E435</f>
        <v>34910</v>
      </c>
      <c r="F436" s="3059">
        <f t="shared" ca="1" si="21"/>
        <v>122</v>
      </c>
    </row>
    <row r="437" spans="1:6">
      <c r="A437" s="3388"/>
      <c r="B437" s="2939">
        <v>205</v>
      </c>
      <c r="C437" s="2941">
        <v>118.11</v>
      </c>
      <c r="D437" s="2939" t="s">
        <v>27</v>
      </c>
      <c r="E437" s="3042">
        <f t="shared" ref="E437" ca="1" si="33">E21</f>
        <v>43650</v>
      </c>
      <c r="F437" s="3041">
        <f t="shared" ca="1" si="21"/>
        <v>516</v>
      </c>
    </row>
    <row r="438" spans="1:6">
      <c r="A438" s="3388"/>
      <c r="B438" s="2939">
        <v>209</v>
      </c>
      <c r="C438" s="2941">
        <v>113.69</v>
      </c>
      <c r="D438" s="2939" t="s">
        <v>27</v>
      </c>
      <c r="E438" s="3042">
        <f t="shared" ref="E438" ca="1" si="34">E437</f>
        <v>43650</v>
      </c>
      <c r="F438" s="3041">
        <f t="shared" ca="1" si="21"/>
        <v>496</v>
      </c>
    </row>
    <row r="439" spans="1:6">
      <c r="A439" s="3388"/>
      <c r="B439" s="2939">
        <v>210</v>
      </c>
      <c r="C439" s="2941">
        <v>118.11</v>
      </c>
      <c r="D439" s="2939" t="s">
        <v>27</v>
      </c>
      <c r="E439" s="3042">
        <f t="shared" ref="E439" ca="1" si="35">E23</f>
        <v>43650</v>
      </c>
      <c r="F439" s="3041">
        <f t="shared" ca="1" si="21"/>
        <v>516</v>
      </c>
    </row>
    <row r="440" spans="1:6">
      <c r="A440" s="3388"/>
      <c r="B440" s="2939">
        <v>211</v>
      </c>
      <c r="C440" s="2941">
        <v>117.58</v>
      </c>
      <c r="D440" s="2939" t="s">
        <v>27</v>
      </c>
      <c r="E440" s="3042">
        <f t="shared" ref="E440" ca="1" si="36">E439</f>
        <v>43650</v>
      </c>
      <c r="F440" s="3041">
        <f t="shared" ca="1" si="21"/>
        <v>513</v>
      </c>
    </row>
    <row r="441" spans="1:6">
      <c r="A441" s="3388"/>
      <c r="B441" s="2939">
        <v>212</v>
      </c>
      <c r="C441" s="2941">
        <v>117.58</v>
      </c>
      <c r="D441" s="2939" t="s">
        <v>27</v>
      </c>
      <c r="E441" s="3042">
        <f t="shared" ref="E441" ca="1" si="37">E25</f>
        <v>43650</v>
      </c>
      <c r="F441" s="3041">
        <f t="shared" ca="1" si="21"/>
        <v>513</v>
      </c>
    </row>
    <row r="442" spans="1:6">
      <c r="A442" s="3388"/>
      <c r="B442" s="2939">
        <v>215</v>
      </c>
      <c r="C442" s="2941">
        <v>94.5</v>
      </c>
      <c r="D442" s="2939" t="s">
        <v>27</v>
      </c>
      <c r="E442" s="3042">
        <f t="shared" ref="E442" ca="1" si="38">E441</f>
        <v>43650</v>
      </c>
      <c r="F442" s="3041">
        <f t="shared" ca="1" si="21"/>
        <v>412</v>
      </c>
    </row>
    <row r="443" spans="1:6">
      <c r="A443" s="3388"/>
      <c r="B443" s="2939">
        <v>216</v>
      </c>
      <c r="C443" s="2941">
        <v>94.92</v>
      </c>
      <c r="D443" s="2939" t="s">
        <v>27</v>
      </c>
      <c r="E443" s="3042">
        <f t="shared" ref="E443" ca="1" si="39">E27</f>
        <v>43650</v>
      </c>
      <c r="F443" s="3041">
        <f t="shared" ca="1" si="21"/>
        <v>414</v>
      </c>
    </row>
    <row r="444" spans="1:6">
      <c r="A444" s="3388"/>
      <c r="B444" s="2939">
        <v>217</v>
      </c>
      <c r="C444" s="2941">
        <v>94.37</v>
      </c>
      <c r="D444" s="2939" t="s">
        <v>27</v>
      </c>
      <c r="E444" s="3042">
        <f t="shared" ref="E444" ca="1" si="40">E443</f>
        <v>43650</v>
      </c>
      <c r="F444" s="3041">
        <f t="shared" ca="1" si="21"/>
        <v>412</v>
      </c>
    </row>
    <row r="445" spans="1:6">
      <c r="A445" s="3388"/>
      <c r="B445" s="2939">
        <v>219</v>
      </c>
      <c r="C445" s="2941">
        <v>94.92</v>
      </c>
      <c r="D445" s="2939" t="s">
        <v>27</v>
      </c>
      <c r="E445" s="3042">
        <f t="shared" ref="E445" ca="1" si="41">E29</f>
        <v>43650</v>
      </c>
      <c r="F445" s="3041">
        <f t="shared" ca="1" si="21"/>
        <v>414</v>
      </c>
    </row>
    <row r="446" spans="1:6">
      <c r="A446" s="3388"/>
      <c r="B446" s="2939">
        <v>402</v>
      </c>
      <c r="C446" s="2941">
        <v>172.56</v>
      </c>
      <c r="D446" s="2939" t="s">
        <v>27</v>
      </c>
      <c r="E446" s="3042">
        <f t="shared" ref="E446" ca="1" si="42">E445</f>
        <v>43650</v>
      </c>
      <c r="F446" s="3041">
        <f t="shared" ca="1" si="21"/>
        <v>753</v>
      </c>
    </row>
    <row r="447" spans="1:6">
      <c r="A447" s="3388"/>
      <c r="B447" s="2939">
        <v>410</v>
      </c>
      <c r="C447" s="2941">
        <v>118.11</v>
      </c>
      <c r="D447" s="2939" t="s">
        <v>27</v>
      </c>
      <c r="E447" s="3042">
        <f t="shared" ref="E447" ca="1" si="43">E31</f>
        <v>43650</v>
      </c>
      <c r="F447" s="3041">
        <f t="shared" ca="1" si="21"/>
        <v>516</v>
      </c>
    </row>
    <row r="448" spans="1:6">
      <c r="A448" s="3388"/>
      <c r="B448" s="2939">
        <v>411</v>
      </c>
      <c r="C448" s="2941">
        <v>117.58</v>
      </c>
      <c r="D448" s="2939" t="s">
        <v>27</v>
      </c>
      <c r="E448" s="3042">
        <f t="shared" ref="E448" ca="1" si="44">E447</f>
        <v>43650</v>
      </c>
      <c r="F448" s="3041">
        <f t="shared" ca="1" si="21"/>
        <v>513</v>
      </c>
    </row>
    <row r="449" spans="1:6">
      <c r="A449" s="3388"/>
      <c r="B449" s="2939">
        <v>412</v>
      </c>
      <c r="C449" s="2941">
        <v>117.58</v>
      </c>
      <c r="D449" s="2939" t="s">
        <v>27</v>
      </c>
      <c r="E449" s="3042">
        <f t="shared" ref="E449" ca="1" si="45">E33</f>
        <v>43650</v>
      </c>
      <c r="F449" s="3041">
        <f t="shared" ca="1" si="21"/>
        <v>513</v>
      </c>
    </row>
    <row r="450" spans="1:6">
      <c r="A450" s="3388"/>
      <c r="B450" s="2939">
        <v>417</v>
      </c>
      <c r="C450" s="2941">
        <v>94.37</v>
      </c>
      <c r="D450" s="2939" t="s">
        <v>27</v>
      </c>
      <c r="E450" s="3042">
        <f t="shared" ref="E450" ca="1" si="46">E449</f>
        <v>43650</v>
      </c>
      <c r="F450" s="3041">
        <f t="shared" ca="1" si="21"/>
        <v>412</v>
      </c>
    </row>
    <row r="451" spans="1:6">
      <c r="A451" s="3388"/>
      <c r="B451" s="2939">
        <v>419</v>
      </c>
      <c r="C451" s="2941">
        <v>94.92</v>
      </c>
      <c r="D451" s="2939" t="s">
        <v>27</v>
      </c>
      <c r="E451" s="3042">
        <f t="shared" ref="E451" ca="1" si="47">E35</f>
        <v>43650</v>
      </c>
      <c r="F451" s="3041">
        <f t="shared" ca="1" si="21"/>
        <v>414</v>
      </c>
    </row>
    <row r="452" spans="1:6">
      <c r="A452" s="3388"/>
      <c r="B452" s="2939">
        <v>420</v>
      </c>
      <c r="C452" s="2941">
        <v>94.5</v>
      </c>
      <c r="D452" s="2939" t="s">
        <v>27</v>
      </c>
      <c r="E452" s="3042">
        <f t="shared" ref="E452" ca="1" si="48">E451</f>
        <v>43650</v>
      </c>
      <c r="F452" s="3041">
        <f t="shared" ca="1" si="21"/>
        <v>412</v>
      </c>
    </row>
    <row r="453" spans="1:6">
      <c r="A453" s="3388"/>
      <c r="B453" s="2939">
        <v>604</v>
      </c>
      <c r="C453" s="2941">
        <v>118.4</v>
      </c>
      <c r="D453" s="2939" t="s">
        <v>27</v>
      </c>
      <c r="E453" s="3042">
        <f t="shared" ref="E453" ca="1" si="49">E37</f>
        <v>43650</v>
      </c>
      <c r="F453" s="3041">
        <f t="shared" ca="1" si="21"/>
        <v>517</v>
      </c>
    </row>
    <row r="454" spans="1:6">
      <c r="A454" s="3388"/>
      <c r="B454" s="2939">
        <v>611</v>
      </c>
      <c r="C454" s="2941">
        <v>118.4</v>
      </c>
      <c r="D454" s="2939" t="s">
        <v>27</v>
      </c>
      <c r="E454" s="3042">
        <f t="shared" ref="E454" ca="1" si="50">E453</f>
        <v>43650</v>
      </c>
      <c r="F454" s="3041">
        <f t="shared" ca="1" si="21"/>
        <v>517</v>
      </c>
    </row>
    <row r="455" spans="1:6">
      <c r="A455" s="3388"/>
      <c r="B455" s="2939">
        <v>613</v>
      </c>
      <c r="C455" s="2941">
        <v>173.63</v>
      </c>
      <c r="D455" s="2939" t="s">
        <v>27</v>
      </c>
      <c r="E455" s="3042">
        <f t="shared" ref="E455" ca="1" si="51">E39</f>
        <v>43650</v>
      </c>
      <c r="F455" s="3041">
        <f t="shared" ca="1" si="21"/>
        <v>758</v>
      </c>
    </row>
    <row r="456" spans="1:6">
      <c r="A456" s="3388"/>
      <c r="B456" s="2939">
        <v>614</v>
      </c>
      <c r="C456" s="2941">
        <v>96.38</v>
      </c>
      <c r="D456" s="2939" t="s">
        <v>27</v>
      </c>
      <c r="E456" s="3042">
        <f t="shared" ref="E456" ca="1" si="52">E455</f>
        <v>43650</v>
      </c>
      <c r="F456" s="3041">
        <f t="shared" ca="1" si="21"/>
        <v>421</v>
      </c>
    </row>
    <row r="457" spans="1:6">
      <c r="A457" s="3388"/>
      <c r="B457" s="2939">
        <v>804</v>
      </c>
      <c r="C457" s="2941">
        <v>118.4</v>
      </c>
      <c r="D457" s="2939" t="s">
        <v>27</v>
      </c>
      <c r="E457" s="3042">
        <f t="shared" ref="E457" ca="1" si="53">E41</f>
        <v>43650</v>
      </c>
      <c r="F457" s="3041">
        <f t="shared" ca="1" si="21"/>
        <v>517</v>
      </c>
    </row>
    <row r="458" spans="1:6">
      <c r="A458" s="3388"/>
      <c r="B458" s="2939">
        <v>808</v>
      </c>
      <c r="C458" s="2941">
        <v>114.89</v>
      </c>
      <c r="D458" s="2939" t="s">
        <v>27</v>
      </c>
      <c r="E458" s="3042">
        <f t="shared" ref="E458" ca="1" si="54">E457</f>
        <v>43650</v>
      </c>
      <c r="F458" s="3041">
        <f t="shared" ca="1" si="21"/>
        <v>501</v>
      </c>
    </row>
    <row r="459" spans="1:6">
      <c r="A459" s="3388"/>
      <c r="B459" s="2939">
        <v>811</v>
      </c>
      <c r="C459" s="2941">
        <v>118.4</v>
      </c>
      <c r="D459" s="2939" t="s">
        <v>27</v>
      </c>
      <c r="E459" s="3042">
        <f t="shared" ref="E459" ca="1" si="55">E43</f>
        <v>43650</v>
      </c>
      <c r="F459" s="3041">
        <f t="shared" ca="1" si="21"/>
        <v>517</v>
      </c>
    </row>
    <row r="460" spans="1:6">
      <c r="A460" s="3388"/>
      <c r="B460" s="2939">
        <v>1011</v>
      </c>
      <c r="C460" s="2941">
        <v>118.4</v>
      </c>
      <c r="D460" s="2939" t="s">
        <v>27</v>
      </c>
      <c r="E460" s="3042">
        <f t="shared" ref="E460" ca="1" si="56">E459</f>
        <v>43650</v>
      </c>
      <c r="F460" s="3041">
        <f t="shared" ca="1" si="21"/>
        <v>517</v>
      </c>
    </row>
    <row r="461" spans="1:6">
      <c r="A461" s="3388"/>
      <c r="B461" s="2939">
        <v>1018</v>
      </c>
      <c r="C461" s="2941">
        <v>95.14</v>
      </c>
      <c r="D461" s="2939" t="s">
        <v>27</v>
      </c>
      <c r="E461" s="3042">
        <f t="shared" ref="E461" ca="1" si="57">E45</f>
        <v>43650</v>
      </c>
      <c r="F461" s="3041">
        <f t="shared" ca="1" si="21"/>
        <v>415</v>
      </c>
    </row>
    <row r="462" spans="1:6">
      <c r="A462" s="3388"/>
      <c r="B462" s="2939">
        <v>1020</v>
      </c>
      <c r="C462" s="2941">
        <v>95.17</v>
      </c>
      <c r="D462" s="2939" t="s">
        <v>27</v>
      </c>
      <c r="E462" s="3042">
        <f t="shared" ref="E462" ca="1" si="58">E461</f>
        <v>43650</v>
      </c>
      <c r="F462" s="3041">
        <f t="shared" ca="1" si="21"/>
        <v>415</v>
      </c>
    </row>
    <row r="463" spans="1:6">
      <c r="A463" s="3388"/>
      <c r="B463" s="2939">
        <v>1204</v>
      </c>
      <c r="C463" s="2941">
        <v>118.4</v>
      </c>
      <c r="D463" s="2939" t="s">
        <v>27</v>
      </c>
      <c r="E463" s="3042">
        <f t="shared" ref="E463" ca="1" si="59">E47</f>
        <v>43650</v>
      </c>
      <c r="F463" s="3041">
        <f t="shared" ca="1" si="21"/>
        <v>517</v>
      </c>
    </row>
    <row r="464" spans="1:6">
      <c r="A464" s="3388"/>
      <c r="B464" s="2939">
        <v>1205</v>
      </c>
      <c r="C464" s="2941">
        <v>118.65</v>
      </c>
      <c r="D464" s="2939" t="s">
        <v>27</v>
      </c>
      <c r="E464" s="3042">
        <f t="shared" ref="E464" ca="1" si="60">E463</f>
        <v>43650</v>
      </c>
      <c r="F464" s="3041">
        <f t="shared" ca="1" si="21"/>
        <v>518</v>
      </c>
    </row>
    <row r="465" spans="1:6">
      <c r="A465" s="3388"/>
      <c r="B465" s="2939">
        <v>1216</v>
      </c>
      <c r="C465" s="2941">
        <v>95.35</v>
      </c>
      <c r="D465" s="2939" t="s">
        <v>27</v>
      </c>
      <c r="E465" s="3042">
        <f t="shared" ref="E465" ca="1" si="61">E49</f>
        <v>43650</v>
      </c>
      <c r="F465" s="3041">
        <f t="shared" ca="1" si="21"/>
        <v>416</v>
      </c>
    </row>
    <row r="466" spans="1:6">
      <c r="A466" s="3388"/>
      <c r="B466" s="2939">
        <v>1217</v>
      </c>
      <c r="C466" s="2941">
        <v>95.14</v>
      </c>
      <c r="D466" s="2939" t="s">
        <v>27</v>
      </c>
      <c r="E466" s="3042">
        <f t="shared" ref="E466" ca="1" si="62">E465</f>
        <v>43650</v>
      </c>
      <c r="F466" s="3041">
        <f t="shared" ca="1" si="21"/>
        <v>415</v>
      </c>
    </row>
    <row r="467" spans="1:6">
      <c r="A467" s="3388"/>
      <c r="B467" s="2939">
        <v>1417</v>
      </c>
      <c r="C467" s="2941">
        <v>95.14</v>
      </c>
      <c r="D467" s="2939" t="s">
        <v>27</v>
      </c>
      <c r="E467" s="3042">
        <f t="shared" ref="E467" ca="1" si="63">E51</f>
        <v>43650</v>
      </c>
      <c r="F467" s="3041">
        <f t="shared" ca="1" si="21"/>
        <v>415</v>
      </c>
    </row>
    <row r="468" spans="1:6">
      <c r="A468" s="3388"/>
      <c r="B468" s="2939">
        <v>1418</v>
      </c>
      <c r="C468" s="2941">
        <v>95.14</v>
      </c>
      <c r="D468" s="2939" t="s">
        <v>27</v>
      </c>
      <c r="E468" s="3042">
        <f t="shared" ref="E468" ca="1" si="64">E467</f>
        <v>43650</v>
      </c>
      <c r="F468" s="3041">
        <f t="shared" ca="1" si="21"/>
        <v>415</v>
      </c>
    </row>
    <row r="469" spans="1:6">
      <c r="A469" s="3388"/>
      <c r="B469" s="2939">
        <v>1419</v>
      </c>
      <c r="C469" s="2941">
        <v>95.35</v>
      </c>
      <c r="D469" s="2939" t="s">
        <v>27</v>
      </c>
      <c r="E469" s="3042">
        <f t="shared" ref="E469" ca="1" si="65">E53</f>
        <v>43650</v>
      </c>
      <c r="F469" s="3041">
        <f t="shared" ca="1" si="21"/>
        <v>416</v>
      </c>
    </row>
    <row r="470" spans="1:6">
      <c r="A470" s="3388"/>
      <c r="B470" s="2939">
        <v>1611</v>
      </c>
      <c r="C470" s="2941">
        <v>118.4</v>
      </c>
      <c r="D470" s="2939" t="s">
        <v>27</v>
      </c>
      <c r="E470" s="3042">
        <f t="shared" ref="E470" ca="1" si="66">E469</f>
        <v>43650</v>
      </c>
      <c r="F470" s="3041">
        <f t="shared" ca="1" si="21"/>
        <v>517</v>
      </c>
    </row>
    <row r="471" spans="1:6">
      <c r="A471" s="3388"/>
      <c r="B471" s="2939">
        <v>1614</v>
      </c>
      <c r="C471" s="2941">
        <v>96.38</v>
      </c>
      <c r="D471" s="2939" t="s">
        <v>27</v>
      </c>
      <c r="E471" s="3042">
        <f t="shared" ref="E471" ca="1" si="67">E55</f>
        <v>43650</v>
      </c>
      <c r="F471" s="3041">
        <f t="shared" ca="1" si="21"/>
        <v>421</v>
      </c>
    </row>
    <row r="472" spans="1:6">
      <c r="A472" s="3388"/>
      <c r="B472" s="2939">
        <v>1615</v>
      </c>
      <c r="C472" s="2941">
        <v>95.17</v>
      </c>
      <c r="D472" s="2939" t="s">
        <v>27</v>
      </c>
      <c r="E472" s="3042">
        <f t="shared" ref="E472" ca="1" si="68">E471</f>
        <v>43650</v>
      </c>
      <c r="F472" s="3041">
        <f t="shared" ca="1" si="21"/>
        <v>415</v>
      </c>
    </row>
    <row r="473" spans="1:6">
      <c r="A473" s="3388"/>
      <c r="B473" s="2939">
        <v>1810</v>
      </c>
      <c r="C473" s="2941">
        <v>118.65</v>
      </c>
      <c r="D473" s="2939" t="s">
        <v>27</v>
      </c>
      <c r="E473" s="3042">
        <f t="shared" ref="E473" ca="1" si="69">E57</f>
        <v>43650</v>
      </c>
      <c r="F473" s="3041">
        <f t="shared" ca="1" si="21"/>
        <v>518</v>
      </c>
    </row>
    <row r="474" spans="1:6">
      <c r="A474" s="3388"/>
      <c r="B474" s="2939">
        <v>1811</v>
      </c>
      <c r="C474" s="2941">
        <v>119.51</v>
      </c>
      <c r="D474" s="2939" t="s">
        <v>27</v>
      </c>
      <c r="E474" s="3042">
        <f t="shared" ref="E474" ca="1" si="70">E473</f>
        <v>43650</v>
      </c>
      <c r="F474" s="3041">
        <f t="shared" ca="1" si="21"/>
        <v>522</v>
      </c>
    </row>
    <row r="475" spans="1:6">
      <c r="A475" s="3388"/>
      <c r="B475" s="2939">
        <v>1815</v>
      </c>
      <c r="C475" s="2941">
        <v>96.11</v>
      </c>
      <c r="D475" s="2939" t="s">
        <v>27</v>
      </c>
      <c r="E475" s="3042">
        <f t="shared" ref="E475" ca="1" si="71">E59</f>
        <v>43650</v>
      </c>
      <c r="F475" s="3041">
        <f t="shared" ca="1" si="21"/>
        <v>420</v>
      </c>
    </row>
    <row r="476" spans="1:6">
      <c r="A476" s="3388"/>
      <c r="B476" s="2939">
        <v>1816</v>
      </c>
      <c r="C476" s="2941">
        <v>95.35</v>
      </c>
      <c r="D476" s="2939" t="s">
        <v>27</v>
      </c>
      <c r="E476" s="3042">
        <f t="shared" ref="E476" ca="1" si="72">E475</f>
        <v>43650</v>
      </c>
      <c r="F476" s="3041">
        <f t="shared" ca="1" si="21"/>
        <v>416</v>
      </c>
    </row>
    <row r="477" spans="1:6">
      <c r="A477" s="3389"/>
      <c r="B477" s="2939">
        <v>1820</v>
      </c>
      <c r="C477" s="2941">
        <v>96.11</v>
      </c>
      <c r="D477" s="2939" t="s">
        <v>27</v>
      </c>
      <c r="E477" s="3042">
        <f t="shared" ref="E477" ca="1" si="73">E61</f>
        <v>43650</v>
      </c>
      <c r="F477" s="3041">
        <f t="shared" ca="1" si="21"/>
        <v>420</v>
      </c>
    </row>
    <row r="478" spans="1:6">
      <c r="A478" s="3397" t="s">
        <v>40</v>
      </c>
      <c r="B478" s="3398"/>
      <c r="C478" s="2942">
        <f>SUM(C419:C477)</f>
        <v>5398.0400000000009</v>
      </c>
      <c r="D478" s="2942" t="s">
        <v>27</v>
      </c>
      <c r="E478" s="3042"/>
      <c r="F478" s="3041">
        <f ca="1">SUM(F419:F477)</f>
        <v>23331</v>
      </c>
    </row>
    <row r="479" spans="1:6">
      <c r="A479" s="2938" t="s">
        <v>3072</v>
      </c>
      <c r="B479" s="2938" t="s">
        <v>3073</v>
      </c>
      <c r="C479" s="2938" t="s">
        <v>3074</v>
      </c>
      <c r="D479" s="2938" t="s">
        <v>1375</v>
      </c>
      <c r="E479" s="3042"/>
      <c r="F479" s="3042"/>
    </row>
    <row r="480" spans="1:6">
      <c r="A480" s="3394" t="s">
        <v>3172</v>
      </c>
      <c r="B480" s="2939">
        <v>101</v>
      </c>
      <c r="C480" s="2941">
        <v>92.62</v>
      </c>
      <c r="D480" s="2939" t="s">
        <v>27</v>
      </c>
      <c r="E480" s="3042">
        <f ca="1">E3</f>
        <v>43650</v>
      </c>
      <c r="F480" s="3041">
        <f t="shared" ref="F480:F533" ca="1" si="74">ROUND(C480*E480/10000,0)</f>
        <v>404</v>
      </c>
    </row>
    <row r="481" spans="1:6">
      <c r="A481" s="3388"/>
      <c r="B481" s="2939">
        <v>102</v>
      </c>
      <c r="C481" s="2941">
        <v>61.39</v>
      </c>
      <c r="D481" s="2939" t="s">
        <v>27</v>
      </c>
      <c r="E481" s="3042">
        <f ca="1">E480</f>
        <v>43650</v>
      </c>
      <c r="F481" s="3041">
        <f t="shared" ca="1" si="74"/>
        <v>268</v>
      </c>
    </row>
    <row r="482" spans="1:6">
      <c r="A482" s="3388"/>
      <c r="B482" s="2939">
        <v>103</v>
      </c>
      <c r="C482" s="2941">
        <v>61.39</v>
      </c>
      <c r="D482" s="2939" t="s">
        <v>27</v>
      </c>
      <c r="E482" s="3042">
        <f t="shared" ref="E482:E533" ca="1" si="75">E481</f>
        <v>43650</v>
      </c>
      <c r="F482" s="3041">
        <f t="shared" ca="1" si="74"/>
        <v>268</v>
      </c>
    </row>
    <row r="483" spans="1:6">
      <c r="A483" s="3388"/>
      <c r="B483" s="2939">
        <v>104</v>
      </c>
      <c r="C483" s="2941">
        <v>61.09</v>
      </c>
      <c r="D483" s="2939" t="s">
        <v>27</v>
      </c>
      <c r="E483" s="3042">
        <f t="shared" ca="1" si="75"/>
        <v>43650</v>
      </c>
      <c r="F483" s="3041">
        <f t="shared" ca="1" si="74"/>
        <v>267</v>
      </c>
    </row>
    <row r="484" spans="1:6">
      <c r="A484" s="3388"/>
      <c r="B484" s="2939">
        <v>105</v>
      </c>
      <c r="C484" s="2941">
        <v>61.09</v>
      </c>
      <c r="D484" s="2939" t="s">
        <v>27</v>
      </c>
      <c r="E484" s="3042">
        <f t="shared" ca="1" si="75"/>
        <v>43650</v>
      </c>
      <c r="F484" s="3041">
        <f t="shared" ca="1" si="74"/>
        <v>267</v>
      </c>
    </row>
    <row r="485" spans="1:6">
      <c r="A485" s="3388"/>
      <c r="B485" s="2939">
        <v>106</v>
      </c>
      <c r="C485" s="2941">
        <v>61.09</v>
      </c>
      <c r="D485" s="2939" t="s">
        <v>27</v>
      </c>
      <c r="E485" s="3042">
        <f t="shared" ca="1" si="75"/>
        <v>43650</v>
      </c>
      <c r="F485" s="3041">
        <f t="shared" ca="1" si="74"/>
        <v>267</v>
      </c>
    </row>
    <row r="486" spans="1:6">
      <c r="A486" s="3388"/>
      <c r="B486" s="2939">
        <v>107</v>
      </c>
      <c r="C486" s="2941">
        <v>61.09</v>
      </c>
      <c r="D486" s="2939" t="s">
        <v>27</v>
      </c>
      <c r="E486" s="3042">
        <f t="shared" ca="1" si="75"/>
        <v>43650</v>
      </c>
      <c r="F486" s="3041">
        <f t="shared" ca="1" si="74"/>
        <v>267</v>
      </c>
    </row>
    <row r="487" spans="1:6">
      <c r="A487" s="3388"/>
      <c r="B487" s="2939">
        <v>108</v>
      </c>
      <c r="C487" s="2941">
        <v>61.39</v>
      </c>
      <c r="D487" s="2939" t="s">
        <v>27</v>
      </c>
      <c r="E487" s="3042">
        <f t="shared" ca="1" si="75"/>
        <v>43650</v>
      </c>
      <c r="F487" s="3041">
        <f t="shared" ca="1" si="74"/>
        <v>268</v>
      </c>
    </row>
    <row r="488" spans="1:6">
      <c r="A488" s="3388"/>
      <c r="B488" s="2939">
        <v>109</v>
      </c>
      <c r="C488" s="2941">
        <v>61.39</v>
      </c>
      <c r="D488" s="2939" t="s">
        <v>27</v>
      </c>
      <c r="E488" s="3042">
        <f t="shared" ca="1" si="75"/>
        <v>43650</v>
      </c>
      <c r="F488" s="3041">
        <f t="shared" ca="1" si="74"/>
        <v>268</v>
      </c>
    </row>
    <row r="489" spans="1:6">
      <c r="A489" s="3388"/>
      <c r="B489" s="2939">
        <v>110</v>
      </c>
      <c r="C489" s="2941">
        <v>92.62</v>
      </c>
      <c r="D489" s="2939" t="s">
        <v>27</v>
      </c>
      <c r="E489" s="3042">
        <f t="shared" ca="1" si="75"/>
        <v>43650</v>
      </c>
      <c r="F489" s="3041">
        <f t="shared" ca="1" si="74"/>
        <v>404</v>
      </c>
    </row>
    <row r="490" spans="1:6">
      <c r="A490" s="3388"/>
      <c r="B490" s="2949">
        <v>202</v>
      </c>
      <c r="C490" s="2941">
        <v>120.58</v>
      </c>
      <c r="D490" s="2949" t="s">
        <v>27</v>
      </c>
      <c r="E490" s="3042">
        <f t="shared" ca="1" si="75"/>
        <v>43650</v>
      </c>
      <c r="F490" s="3041">
        <f t="shared" ca="1" si="74"/>
        <v>526</v>
      </c>
    </row>
    <row r="491" spans="1:6">
      <c r="A491" s="3388"/>
      <c r="B491" s="2939">
        <v>210</v>
      </c>
      <c r="C491" s="2941">
        <v>120.58</v>
      </c>
      <c r="D491" s="2939" t="s">
        <v>27</v>
      </c>
      <c r="E491" s="3042">
        <f t="shared" ca="1" si="75"/>
        <v>43650</v>
      </c>
      <c r="F491" s="3041">
        <f t="shared" ca="1" si="74"/>
        <v>526</v>
      </c>
    </row>
    <row r="492" spans="1:6">
      <c r="A492" s="3388"/>
      <c r="B492" s="2949">
        <v>216</v>
      </c>
      <c r="C492" s="2941">
        <v>92.97</v>
      </c>
      <c r="D492" s="2949" t="s">
        <v>27</v>
      </c>
      <c r="E492" s="3042">
        <f t="shared" ca="1" si="75"/>
        <v>43650</v>
      </c>
      <c r="F492" s="3041">
        <f t="shared" ca="1" si="74"/>
        <v>406</v>
      </c>
    </row>
    <row r="493" spans="1:6">
      <c r="A493" s="3388"/>
      <c r="B493" s="2939">
        <v>217</v>
      </c>
      <c r="C493" s="2941">
        <v>93.69</v>
      </c>
      <c r="D493" s="2939" t="s">
        <v>27</v>
      </c>
      <c r="E493" s="3042">
        <f t="shared" ca="1" si="75"/>
        <v>43650</v>
      </c>
      <c r="F493" s="3041">
        <f t="shared" ca="1" si="74"/>
        <v>409</v>
      </c>
    </row>
    <row r="494" spans="1:6">
      <c r="A494" s="3388"/>
      <c r="B494" s="2949">
        <v>218</v>
      </c>
      <c r="C494" s="2941">
        <v>94.18</v>
      </c>
      <c r="D494" s="2949" t="s">
        <v>27</v>
      </c>
      <c r="E494" s="3042">
        <f t="shared" ca="1" si="75"/>
        <v>43650</v>
      </c>
      <c r="F494" s="3041">
        <f t="shared" ca="1" si="74"/>
        <v>411</v>
      </c>
    </row>
    <row r="495" spans="1:6">
      <c r="A495" s="3388"/>
      <c r="B495" s="2939">
        <v>404</v>
      </c>
      <c r="C495" s="2941">
        <v>121.27</v>
      </c>
      <c r="D495" s="2939" t="s">
        <v>27</v>
      </c>
      <c r="E495" s="3042">
        <f t="shared" ca="1" si="75"/>
        <v>43650</v>
      </c>
      <c r="F495" s="3041">
        <f t="shared" ca="1" si="74"/>
        <v>529</v>
      </c>
    </row>
    <row r="496" spans="1:6">
      <c r="A496" s="3388"/>
      <c r="B496" s="2939">
        <v>405</v>
      </c>
      <c r="C496" s="2941">
        <v>119.78</v>
      </c>
      <c r="D496" s="2939" t="s">
        <v>27</v>
      </c>
      <c r="E496" s="3042">
        <f t="shared" ca="1" si="75"/>
        <v>43650</v>
      </c>
      <c r="F496" s="3041">
        <f t="shared" ca="1" si="74"/>
        <v>523</v>
      </c>
    </row>
    <row r="497" spans="1:6">
      <c r="A497" s="3388"/>
      <c r="B497" s="2939">
        <v>408</v>
      </c>
      <c r="C497" s="2941">
        <v>119.78</v>
      </c>
      <c r="D497" s="2939" t="s">
        <v>27</v>
      </c>
      <c r="E497" s="3042">
        <f t="shared" ca="1" si="75"/>
        <v>43650</v>
      </c>
      <c r="F497" s="3041">
        <f t="shared" ca="1" si="74"/>
        <v>523</v>
      </c>
    </row>
    <row r="498" spans="1:6">
      <c r="A498" s="3388"/>
      <c r="B498" s="2939">
        <v>409</v>
      </c>
      <c r="C498" s="2941">
        <v>121.27</v>
      </c>
      <c r="D498" s="2939" t="s">
        <v>27</v>
      </c>
      <c r="E498" s="3042">
        <f t="shared" ca="1" si="75"/>
        <v>43650</v>
      </c>
      <c r="F498" s="3041">
        <f t="shared" ca="1" si="74"/>
        <v>529</v>
      </c>
    </row>
    <row r="499" spans="1:6">
      <c r="A499" s="3388"/>
      <c r="B499" s="2949">
        <v>411</v>
      </c>
      <c r="C499" s="2941">
        <v>120.58</v>
      </c>
      <c r="D499" s="2949" t="s">
        <v>27</v>
      </c>
      <c r="E499" s="3042">
        <f t="shared" ca="1" si="75"/>
        <v>43650</v>
      </c>
      <c r="F499" s="3041">
        <f t="shared" ca="1" si="74"/>
        <v>526</v>
      </c>
    </row>
    <row r="500" spans="1:6">
      <c r="A500" s="3388"/>
      <c r="B500" s="2939">
        <v>417</v>
      </c>
      <c r="C500" s="2941">
        <v>93.69</v>
      </c>
      <c r="D500" s="2939" t="s">
        <v>27</v>
      </c>
      <c r="E500" s="3042">
        <f t="shared" ca="1" si="75"/>
        <v>43650</v>
      </c>
      <c r="F500" s="3041">
        <f t="shared" ca="1" si="74"/>
        <v>409</v>
      </c>
    </row>
    <row r="501" spans="1:6">
      <c r="A501" s="3388"/>
      <c r="B501" s="2949">
        <v>418</v>
      </c>
      <c r="C501" s="2941">
        <v>94.18</v>
      </c>
      <c r="D501" s="2949" t="s">
        <v>27</v>
      </c>
      <c r="E501" s="3042">
        <f t="shared" ca="1" si="75"/>
        <v>43650</v>
      </c>
      <c r="F501" s="3041">
        <f t="shared" ca="1" si="74"/>
        <v>411</v>
      </c>
    </row>
    <row r="502" spans="1:6">
      <c r="A502" s="3388"/>
      <c r="B502" s="2939">
        <v>602</v>
      </c>
      <c r="C502" s="2941">
        <v>121.17</v>
      </c>
      <c r="D502" s="2939" t="s">
        <v>27</v>
      </c>
      <c r="E502" s="3042">
        <f t="shared" ca="1" si="75"/>
        <v>43650</v>
      </c>
      <c r="F502" s="3041">
        <f t="shared" ca="1" si="74"/>
        <v>529</v>
      </c>
    </row>
    <row r="503" spans="1:6">
      <c r="A503" s="3388"/>
      <c r="B503" s="2939">
        <v>604</v>
      </c>
      <c r="C503" s="2941">
        <v>121.4</v>
      </c>
      <c r="D503" s="2939" t="s">
        <v>27</v>
      </c>
      <c r="E503" s="3042">
        <f t="shared" ca="1" si="75"/>
        <v>43650</v>
      </c>
      <c r="F503" s="3041">
        <f t="shared" ca="1" si="74"/>
        <v>530</v>
      </c>
    </row>
    <row r="504" spans="1:6">
      <c r="A504" s="3388"/>
      <c r="B504" s="2939">
        <v>612</v>
      </c>
      <c r="C504" s="2941">
        <v>185.45</v>
      </c>
      <c r="D504" s="2939" t="s">
        <v>27</v>
      </c>
      <c r="E504" s="3042">
        <f t="shared" ca="1" si="75"/>
        <v>43650</v>
      </c>
      <c r="F504" s="3041">
        <f t="shared" ca="1" si="74"/>
        <v>809</v>
      </c>
    </row>
    <row r="505" spans="1:6">
      <c r="A505" s="3388"/>
      <c r="B505" s="2949">
        <v>616</v>
      </c>
      <c r="C505" s="2941">
        <v>94.01</v>
      </c>
      <c r="D505" s="2949" t="s">
        <v>27</v>
      </c>
      <c r="E505" s="3042">
        <f t="shared" ca="1" si="75"/>
        <v>43650</v>
      </c>
      <c r="F505" s="3041">
        <f t="shared" ca="1" si="74"/>
        <v>410</v>
      </c>
    </row>
    <row r="506" spans="1:6">
      <c r="A506" s="3388"/>
      <c r="B506" s="2949">
        <v>618</v>
      </c>
      <c r="C506" s="2941">
        <v>95.03</v>
      </c>
      <c r="D506" s="2949" t="s">
        <v>27</v>
      </c>
      <c r="E506" s="3042">
        <f t="shared" ca="1" si="75"/>
        <v>43650</v>
      </c>
      <c r="F506" s="3041">
        <f t="shared" ca="1" si="74"/>
        <v>415</v>
      </c>
    </row>
    <row r="507" spans="1:6">
      <c r="A507" s="3388"/>
      <c r="B507" s="2939">
        <v>804</v>
      </c>
      <c r="C507" s="2941">
        <v>121.4</v>
      </c>
      <c r="D507" s="2939" t="s">
        <v>27</v>
      </c>
      <c r="E507" s="3042">
        <f t="shared" ca="1" si="75"/>
        <v>43650</v>
      </c>
      <c r="F507" s="3041">
        <f t="shared" ca="1" si="74"/>
        <v>530</v>
      </c>
    </row>
    <row r="508" spans="1:6">
      <c r="A508" s="3388"/>
      <c r="B508" s="2949">
        <v>810</v>
      </c>
      <c r="C508" s="2941">
        <v>121.17</v>
      </c>
      <c r="D508" s="2949" t="s">
        <v>27</v>
      </c>
      <c r="E508" s="3042">
        <f t="shared" ca="1" si="75"/>
        <v>43650</v>
      </c>
      <c r="F508" s="3041">
        <f t="shared" ca="1" si="74"/>
        <v>529</v>
      </c>
    </row>
    <row r="509" spans="1:6">
      <c r="A509" s="3388"/>
      <c r="B509" s="2939">
        <v>811</v>
      </c>
      <c r="C509" s="2941">
        <v>121.17</v>
      </c>
      <c r="D509" s="2939" t="s">
        <v>27</v>
      </c>
      <c r="E509" s="3042">
        <f t="shared" ca="1" si="75"/>
        <v>43650</v>
      </c>
      <c r="F509" s="3041">
        <f t="shared" ca="1" si="74"/>
        <v>529</v>
      </c>
    </row>
    <row r="510" spans="1:6">
      <c r="A510" s="3388"/>
      <c r="B510" s="2949">
        <v>813</v>
      </c>
      <c r="C510" s="2941">
        <v>95.03</v>
      </c>
      <c r="D510" s="2949" t="s">
        <v>27</v>
      </c>
      <c r="E510" s="3042">
        <f t="shared" ca="1" si="75"/>
        <v>43650</v>
      </c>
      <c r="F510" s="3041">
        <f t="shared" ca="1" si="74"/>
        <v>415</v>
      </c>
    </row>
    <row r="511" spans="1:6">
      <c r="A511" s="3388"/>
      <c r="B511" s="2949">
        <v>817</v>
      </c>
      <c r="C511" s="2941">
        <v>94.21</v>
      </c>
      <c r="D511" s="2949" t="s">
        <v>27</v>
      </c>
      <c r="E511" s="3042">
        <f t="shared" ca="1" si="75"/>
        <v>43650</v>
      </c>
      <c r="F511" s="3041">
        <f t="shared" ca="1" si="74"/>
        <v>411</v>
      </c>
    </row>
    <row r="512" spans="1:6">
      <c r="A512" s="3388"/>
      <c r="B512" s="2949">
        <v>818</v>
      </c>
      <c r="C512" s="2941">
        <v>95.03</v>
      </c>
      <c r="D512" s="2949" t="s">
        <v>27</v>
      </c>
      <c r="E512" s="3042">
        <f t="shared" ca="1" si="75"/>
        <v>43650</v>
      </c>
      <c r="F512" s="3041">
        <f t="shared" ca="1" si="74"/>
        <v>415</v>
      </c>
    </row>
    <row r="513" spans="1:6">
      <c r="A513" s="3388"/>
      <c r="B513" s="2939">
        <v>1010</v>
      </c>
      <c r="C513" s="2941">
        <v>121.17</v>
      </c>
      <c r="D513" s="2939" t="s">
        <v>27</v>
      </c>
      <c r="E513" s="3042">
        <f t="shared" ca="1" si="75"/>
        <v>43650</v>
      </c>
      <c r="F513" s="3041">
        <f t="shared" ca="1" si="74"/>
        <v>529</v>
      </c>
    </row>
    <row r="514" spans="1:6">
      <c r="A514" s="3388"/>
      <c r="B514" s="2939">
        <v>1012</v>
      </c>
      <c r="C514" s="2941">
        <v>185.45</v>
      </c>
      <c r="D514" s="2939" t="s">
        <v>27</v>
      </c>
      <c r="E514" s="3042">
        <f t="shared" ca="1" si="75"/>
        <v>43650</v>
      </c>
      <c r="F514" s="3041">
        <f t="shared" ca="1" si="74"/>
        <v>809</v>
      </c>
    </row>
    <row r="515" spans="1:6">
      <c r="A515" s="3388"/>
      <c r="B515" s="2939">
        <v>1207</v>
      </c>
      <c r="C515" s="2941">
        <v>121.36</v>
      </c>
      <c r="D515" s="2939" t="s">
        <v>27</v>
      </c>
      <c r="E515" s="3042">
        <f t="shared" ca="1" si="75"/>
        <v>43650</v>
      </c>
      <c r="F515" s="3041">
        <f t="shared" ca="1" si="74"/>
        <v>530</v>
      </c>
    </row>
    <row r="516" spans="1:6">
      <c r="A516" s="3388"/>
      <c r="B516" s="2939">
        <v>1211</v>
      </c>
      <c r="C516" s="2941">
        <v>121.17</v>
      </c>
      <c r="D516" s="2939" t="s">
        <v>27</v>
      </c>
      <c r="E516" s="3042">
        <f t="shared" ca="1" si="75"/>
        <v>43650</v>
      </c>
      <c r="F516" s="3041">
        <f t="shared" ca="1" si="74"/>
        <v>529</v>
      </c>
    </row>
    <row r="517" spans="1:6">
      <c r="A517" s="3388"/>
      <c r="B517" s="2949">
        <v>1218</v>
      </c>
      <c r="C517" s="2941">
        <v>95.03</v>
      </c>
      <c r="D517" s="2949" t="s">
        <v>27</v>
      </c>
      <c r="E517" s="3042">
        <f t="shared" ca="1" si="75"/>
        <v>43650</v>
      </c>
      <c r="F517" s="3041">
        <f t="shared" ca="1" si="74"/>
        <v>415</v>
      </c>
    </row>
    <row r="518" spans="1:6">
      <c r="A518" s="3388"/>
      <c r="B518" s="2949">
        <v>1403</v>
      </c>
      <c r="C518" s="2941">
        <v>121.17</v>
      </c>
      <c r="D518" s="2949" t="s">
        <v>27</v>
      </c>
      <c r="E518" s="3042">
        <f t="shared" ca="1" si="75"/>
        <v>43650</v>
      </c>
      <c r="F518" s="3041">
        <f t="shared" ca="1" si="74"/>
        <v>529</v>
      </c>
    </row>
    <row r="519" spans="1:6">
      <c r="A519" s="3388"/>
      <c r="B519" s="2949">
        <v>1409</v>
      </c>
      <c r="C519" s="2941">
        <v>121.4</v>
      </c>
      <c r="D519" s="2949" t="s">
        <v>27</v>
      </c>
      <c r="E519" s="3042">
        <f t="shared" ca="1" si="75"/>
        <v>43650</v>
      </c>
      <c r="F519" s="3041">
        <f t="shared" ca="1" si="74"/>
        <v>530</v>
      </c>
    </row>
    <row r="520" spans="1:6">
      <c r="A520" s="3388"/>
      <c r="B520" s="2939">
        <v>1410</v>
      </c>
      <c r="C520" s="2941">
        <v>121.17</v>
      </c>
      <c r="D520" s="2939" t="s">
        <v>27</v>
      </c>
      <c r="E520" s="3042">
        <f t="shared" ca="1" si="75"/>
        <v>43650</v>
      </c>
      <c r="F520" s="3041">
        <f t="shared" ca="1" si="74"/>
        <v>529</v>
      </c>
    </row>
    <row r="521" spans="1:6">
      <c r="A521" s="3388"/>
      <c r="B521" s="2939">
        <v>1412</v>
      </c>
      <c r="C521" s="2941">
        <v>185.45</v>
      </c>
      <c r="D521" s="2939" t="s">
        <v>27</v>
      </c>
      <c r="E521" s="3042">
        <f t="shared" ca="1" si="75"/>
        <v>43650</v>
      </c>
      <c r="F521" s="3041">
        <f t="shared" ca="1" si="74"/>
        <v>809</v>
      </c>
    </row>
    <row r="522" spans="1:6">
      <c r="A522" s="3388"/>
      <c r="B522" s="2939">
        <v>1414</v>
      </c>
      <c r="C522" s="2941">
        <v>94.21</v>
      </c>
      <c r="D522" s="2939" t="s">
        <v>27</v>
      </c>
      <c r="E522" s="3042">
        <f t="shared" ca="1" si="75"/>
        <v>43650</v>
      </c>
      <c r="F522" s="3041">
        <f t="shared" ca="1" si="74"/>
        <v>411</v>
      </c>
    </row>
    <row r="523" spans="1:6">
      <c r="A523" s="3388"/>
      <c r="B523" s="2939">
        <v>1614</v>
      </c>
      <c r="C523" s="2941">
        <v>94.21</v>
      </c>
      <c r="D523" s="2939" t="s">
        <v>27</v>
      </c>
      <c r="E523" s="3042">
        <f t="shared" ca="1" si="75"/>
        <v>43650</v>
      </c>
      <c r="F523" s="3041">
        <f t="shared" ca="1" si="74"/>
        <v>411</v>
      </c>
    </row>
    <row r="524" spans="1:6">
      <c r="A524" s="3388"/>
      <c r="B524" s="2949">
        <v>1617</v>
      </c>
      <c r="C524" s="2941">
        <v>94.21</v>
      </c>
      <c r="D524" s="2949" t="s">
        <v>27</v>
      </c>
      <c r="E524" s="3042">
        <f t="shared" ca="1" si="75"/>
        <v>43650</v>
      </c>
      <c r="F524" s="3041">
        <f t="shared" ca="1" si="74"/>
        <v>411</v>
      </c>
    </row>
    <row r="525" spans="1:6">
      <c r="A525" s="3388"/>
      <c r="B525" s="2949">
        <v>1802</v>
      </c>
      <c r="C525" s="2941">
        <v>122.27</v>
      </c>
      <c r="D525" s="2949" t="s">
        <v>27</v>
      </c>
      <c r="E525" s="3042">
        <f t="shared" ca="1" si="75"/>
        <v>43650</v>
      </c>
      <c r="F525" s="3041">
        <f t="shared" ca="1" si="74"/>
        <v>534</v>
      </c>
    </row>
    <row r="526" spans="1:6">
      <c r="A526" s="3388"/>
      <c r="B526" s="2939">
        <v>1804</v>
      </c>
      <c r="C526" s="2941">
        <v>121.4</v>
      </c>
      <c r="D526" s="2939" t="s">
        <v>27</v>
      </c>
      <c r="E526" s="3042">
        <f t="shared" ca="1" si="75"/>
        <v>43650</v>
      </c>
      <c r="F526" s="3041">
        <f t="shared" ca="1" si="74"/>
        <v>530</v>
      </c>
    </row>
    <row r="527" spans="1:6">
      <c r="A527" s="3388"/>
      <c r="B527" s="2949">
        <v>1805</v>
      </c>
      <c r="C527" s="2941">
        <v>121.37</v>
      </c>
      <c r="D527" s="2949" t="s">
        <v>27</v>
      </c>
      <c r="E527" s="3042">
        <f t="shared" ca="1" si="75"/>
        <v>43650</v>
      </c>
      <c r="F527" s="3041">
        <f t="shared" ca="1" si="74"/>
        <v>530</v>
      </c>
    </row>
    <row r="528" spans="1:6">
      <c r="A528" s="3388"/>
      <c r="B528" s="2949">
        <v>1806</v>
      </c>
      <c r="C528" s="2941">
        <v>122.44</v>
      </c>
      <c r="D528" s="2949" t="s">
        <v>27</v>
      </c>
      <c r="E528" s="3042">
        <f t="shared" ca="1" si="75"/>
        <v>43650</v>
      </c>
      <c r="F528" s="3041">
        <f t="shared" ca="1" si="74"/>
        <v>534</v>
      </c>
    </row>
    <row r="529" spans="1:6">
      <c r="A529" s="3388"/>
      <c r="B529" s="2949">
        <v>1808</v>
      </c>
      <c r="C529" s="2941">
        <v>121.37</v>
      </c>
      <c r="D529" s="2949" t="s">
        <v>27</v>
      </c>
      <c r="E529" s="3042">
        <f t="shared" ca="1" si="75"/>
        <v>43650</v>
      </c>
      <c r="F529" s="3041">
        <f t="shared" ca="1" si="74"/>
        <v>530</v>
      </c>
    </row>
    <row r="530" spans="1:6">
      <c r="A530" s="3388"/>
      <c r="B530" s="2949">
        <v>1809</v>
      </c>
      <c r="C530" s="2941">
        <v>121.4</v>
      </c>
      <c r="D530" s="2949" t="s">
        <v>27</v>
      </c>
      <c r="E530" s="3042">
        <f t="shared" ca="1" si="75"/>
        <v>43650</v>
      </c>
      <c r="F530" s="3041">
        <f t="shared" ca="1" si="74"/>
        <v>530</v>
      </c>
    </row>
    <row r="531" spans="1:6">
      <c r="A531" s="3388"/>
      <c r="B531" s="2949">
        <v>1814</v>
      </c>
      <c r="C531" s="2941">
        <v>94.21</v>
      </c>
      <c r="D531" s="2949" t="s">
        <v>27</v>
      </c>
      <c r="E531" s="3042">
        <f t="shared" ca="1" si="75"/>
        <v>43650</v>
      </c>
      <c r="F531" s="3041">
        <f t="shared" ca="1" si="74"/>
        <v>411</v>
      </c>
    </row>
    <row r="532" spans="1:6">
      <c r="A532" s="3388"/>
      <c r="B532" s="2939">
        <v>1815</v>
      </c>
      <c r="C532" s="2941">
        <v>94.95</v>
      </c>
      <c r="D532" s="2939" t="s">
        <v>27</v>
      </c>
      <c r="E532" s="3042">
        <f t="shared" ca="1" si="75"/>
        <v>43650</v>
      </c>
      <c r="F532" s="3041">
        <f t="shared" ca="1" si="74"/>
        <v>414</v>
      </c>
    </row>
    <row r="533" spans="1:6">
      <c r="A533" s="3389"/>
      <c r="B533" s="2949">
        <v>1818</v>
      </c>
      <c r="C533" s="2941">
        <v>95.03</v>
      </c>
      <c r="D533" s="2949" t="s">
        <v>27</v>
      </c>
      <c r="E533" s="3042">
        <f t="shared" ca="1" si="75"/>
        <v>43650</v>
      </c>
      <c r="F533" s="3041">
        <f t="shared" ca="1" si="74"/>
        <v>415</v>
      </c>
    </row>
    <row r="534" spans="1:6">
      <c r="A534" s="3390" t="s">
        <v>40</v>
      </c>
      <c r="B534" s="3390"/>
      <c r="C534" s="2942">
        <f>SUM(C480:C533)</f>
        <v>5743.22</v>
      </c>
      <c r="D534" s="2942" t="s">
        <v>27</v>
      </c>
      <c r="E534" s="3042"/>
      <c r="F534" s="3041">
        <f ca="1">SUM(F480:F533)</f>
        <v>25068</v>
      </c>
    </row>
    <row r="535" spans="1:6">
      <c r="A535" s="2938" t="s">
        <v>3072</v>
      </c>
      <c r="B535" s="2938" t="s">
        <v>3073</v>
      </c>
      <c r="C535" s="2950" t="s">
        <v>3173</v>
      </c>
      <c r="D535" s="2938" t="s">
        <v>1375</v>
      </c>
      <c r="E535" s="3042"/>
      <c r="F535" s="3042"/>
    </row>
    <row r="536" spans="1:6">
      <c r="A536" s="3387" t="s">
        <v>3174</v>
      </c>
      <c r="B536" s="2951">
        <v>101</v>
      </c>
      <c r="C536" s="2952">
        <v>87.02</v>
      </c>
      <c r="D536" s="2951" t="s">
        <v>27</v>
      </c>
      <c r="E536" s="3042">
        <f ca="1">E3</f>
        <v>43650</v>
      </c>
      <c r="F536" s="3041">
        <f t="shared" ref="F536:F577" ca="1" si="76">ROUND(C536*E536/10000,0)</f>
        <v>380</v>
      </c>
    </row>
    <row r="537" spans="1:6">
      <c r="A537" s="3388"/>
      <c r="B537" s="2951">
        <v>102</v>
      </c>
      <c r="C537" s="2952">
        <v>34.4</v>
      </c>
      <c r="D537" s="2951" t="s">
        <v>27</v>
      </c>
      <c r="E537" s="3042">
        <f ca="1">E536</f>
        <v>43650</v>
      </c>
      <c r="F537" s="3041">
        <f t="shared" ca="1" si="76"/>
        <v>150</v>
      </c>
    </row>
    <row r="538" spans="1:6">
      <c r="A538" s="3388"/>
      <c r="B538" s="2951">
        <v>103</v>
      </c>
      <c r="C538" s="2952">
        <v>34.4</v>
      </c>
      <c r="D538" s="2951" t="s">
        <v>27</v>
      </c>
      <c r="E538" s="3042">
        <f t="shared" ref="E538:E577" ca="1" si="77">E537</f>
        <v>43650</v>
      </c>
      <c r="F538" s="3041">
        <f t="shared" ca="1" si="76"/>
        <v>150</v>
      </c>
    </row>
    <row r="539" spans="1:6">
      <c r="A539" s="3388"/>
      <c r="B539" s="2951">
        <v>104</v>
      </c>
      <c r="C539" s="2952">
        <v>54.99</v>
      </c>
      <c r="D539" s="2951" t="s">
        <v>27</v>
      </c>
      <c r="E539" s="3042">
        <f t="shared" ca="1" si="77"/>
        <v>43650</v>
      </c>
      <c r="F539" s="3041">
        <f t="shared" ca="1" si="76"/>
        <v>240</v>
      </c>
    </row>
    <row r="540" spans="1:6">
      <c r="A540" s="3388"/>
      <c r="B540" s="2951">
        <v>105</v>
      </c>
      <c r="C540" s="2952">
        <v>54.99</v>
      </c>
      <c r="D540" s="2951" t="s">
        <v>27</v>
      </c>
      <c r="E540" s="3042">
        <f t="shared" ca="1" si="77"/>
        <v>43650</v>
      </c>
      <c r="F540" s="3041">
        <f t="shared" ca="1" si="76"/>
        <v>240</v>
      </c>
    </row>
    <row r="541" spans="1:6">
      <c r="A541" s="3388"/>
      <c r="B541" s="2951">
        <v>106</v>
      </c>
      <c r="C541" s="2952">
        <v>54.99</v>
      </c>
      <c r="D541" s="2951" t="s">
        <v>27</v>
      </c>
      <c r="E541" s="3042">
        <f t="shared" ca="1" si="77"/>
        <v>43650</v>
      </c>
      <c r="F541" s="3041">
        <f t="shared" ca="1" si="76"/>
        <v>240</v>
      </c>
    </row>
    <row r="542" spans="1:6">
      <c r="A542" s="3388"/>
      <c r="B542" s="2951">
        <v>107</v>
      </c>
      <c r="C542" s="2952">
        <v>34.4</v>
      </c>
      <c r="D542" s="2951" t="s">
        <v>27</v>
      </c>
      <c r="E542" s="3042">
        <f t="shared" ca="1" si="77"/>
        <v>43650</v>
      </c>
      <c r="F542" s="3041">
        <f t="shared" ca="1" si="76"/>
        <v>150</v>
      </c>
    </row>
    <row r="543" spans="1:6">
      <c r="A543" s="3388"/>
      <c r="B543" s="2951">
        <v>108</v>
      </c>
      <c r="C543" s="2952">
        <v>34.4</v>
      </c>
      <c r="D543" s="2951" t="s">
        <v>27</v>
      </c>
      <c r="E543" s="3042">
        <f t="shared" ca="1" si="77"/>
        <v>43650</v>
      </c>
      <c r="F543" s="3041">
        <f t="shared" ca="1" si="76"/>
        <v>150</v>
      </c>
    </row>
    <row r="544" spans="1:6">
      <c r="A544" s="3388"/>
      <c r="B544" s="2951">
        <v>109</v>
      </c>
      <c r="C544" s="2952">
        <v>87.02</v>
      </c>
      <c r="D544" s="2951" t="s">
        <v>27</v>
      </c>
      <c r="E544" s="3042">
        <f t="shared" ca="1" si="77"/>
        <v>43650</v>
      </c>
      <c r="F544" s="3041">
        <f t="shared" ca="1" si="76"/>
        <v>380</v>
      </c>
    </row>
    <row r="545" spans="1:6">
      <c r="A545" s="3388"/>
      <c r="B545" s="2951">
        <v>201</v>
      </c>
      <c r="C545" s="2952">
        <v>86.05</v>
      </c>
      <c r="D545" s="2951" t="s">
        <v>27</v>
      </c>
      <c r="E545" s="3042">
        <f t="shared" ca="1" si="77"/>
        <v>43650</v>
      </c>
      <c r="F545" s="3041">
        <f t="shared" ca="1" si="76"/>
        <v>376</v>
      </c>
    </row>
    <row r="546" spans="1:6">
      <c r="A546" s="3388"/>
      <c r="B546" s="2949">
        <v>203</v>
      </c>
      <c r="C546" s="2952">
        <v>33.950000000000003</v>
      </c>
      <c r="D546" s="2949" t="s">
        <v>27</v>
      </c>
      <c r="E546" s="3042">
        <f t="shared" ca="1" si="77"/>
        <v>43650</v>
      </c>
      <c r="F546" s="3041">
        <f t="shared" ca="1" si="76"/>
        <v>148</v>
      </c>
    </row>
    <row r="547" spans="1:6">
      <c r="A547" s="3388"/>
      <c r="B547" s="2951">
        <v>205</v>
      </c>
      <c r="C547" s="2952">
        <v>54.32</v>
      </c>
      <c r="D547" s="2951" t="s">
        <v>27</v>
      </c>
      <c r="E547" s="3042">
        <f t="shared" ca="1" si="77"/>
        <v>43650</v>
      </c>
      <c r="F547" s="3041">
        <f t="shared" ca="1" si="76"/>
        <v>237</v>
      </c>
    </row>
    <row r="548" spans="1:6">
      <c r="A548" s="3388"/>
      <c r="B548" s="2951">
        <v>206</v>
      </c>
      <c r="C548" s="2952">
        <v>54.32</v>
      </c>
      <c r="D548" s="2951" t="s">
        <v>27</v>
      </c>
      <c r="E548" s="3042">
        <f t="shared" ca="1" si="77"/>
        <v>43650</v>
      </c>
      <c r="F548" s="3041">
        <f t="shared" ca="1" si="76"/>
        <v>237</v>
      </c>
    </row>
    <row r="549" spans="1:6">
      <c r="A549" s="3388"/>
      <c r="B549" s="2951">
        <v>216</v>
      </c>
      <c r="C549" s="2953">
        <v>40.950000000000003</v>
      </c>
      <c r="D549" s="2951" t="s">
        <v>27</v>
      </c>
      <c r="E549" s="3042">
        <f t="shared" ca="1" si="77"/>
        <v>43650</v>
      </c>
      <c r="F549" s="3041">
        <f t="shared" ca="1" si="76"/>
        <v>179</v>
      </c>
    </row>
    <row r="550" spans="1:6">
      <c r="A550" s="3388"/>
      <c r="B550" s="2951">
        <v>313</v>
      </c>
      <c r="C550" s="2953">
        <v>53.94</v>
      </c>
      <c r="D550" s="2951" t="s">
        <v>27</v>
      </c>
      <c r="E550" s="3042">
        <f t="shared" ca="1" si="77"/>
        <v>43650</v>
      </c>
      <c r="F550" s="3041">
        <f t="shared" ca="1" si="76"/>
        <v>235</v>
      </c>
    </row>
    <row r="551" spans="1:6">
      <c r="A551" s="3388"/>
      <c r="B551" s="2951">
        <v>409</v>
      </c>
      <c r="C551" s="2953">
        <v>33.950000000000003</v>
      </c>
      <c r="D551" s="2951" t="s">
        <v>27</v>
      </c>
      <c r="E551" s="3042">
        <f t="shared" ca="1" si="77"/>
        <v>43650</v>
      </c>
      <c r="F551" s="3041">
        <f t="shared" ca="1" si="76"/>
        <v>148</v>
      </c>
    </row>
    <row r="552" spans="1:6">
      <c r="A552" s="3388"/>
      <c r="B552" s="2949">
        <v>412</v>
      </c>
      <c r="C552" s="2953">
        <v>54.48</v>
      </c>
      <c r="D552" s="2949" t="s">
        <v>27</v>
      </c>
      <c r="E552" s="3042">
        <f t="shared" ca="1" si="77"/>
        <v>43650</v>
      </c>
      <c r="F552" s="3041">
        <f t="shared" ca="1" si="76"/>
        <v>238</v>
      </c>
    </row>
    <row r="553" spans="1:6">
      <c r="A553" s="3388"/>
      <c r="B553" s="2951">
        <v>605</v>
      </c>
      <c r="C553" s="2953">
        <v>54.54</v>
      </c>
      <c r="D553" s="2951" t="s">
        <v>27</v>
      </c>
      <c r="E553" s="3042">
        <f t="shared" ca="1" si="77"/>
        <v>43650</v>
      </c>
      <c r="F553" s="3041">
        <f t="shared" ca="1" si="76"/>
        <v>238</v>
      </c>
    </row>
    <row r="554" spans="1:6">
      <c r="A554" s="3388"/>
      <c r="B554" s="2951">
        <v>606</v>
      </c>
      <c r="C554" s="2953">
        <v>54.54</v>
      </c>
      <c r="D554" s="2951" t="s">
        <v>27</v>
      </c>
      <c r="E554" s="3042">
        <f t="shared" ca="1" si="77"/>
        <v>43650</v>
      </c>
      <c r="F554" s="3041">
        <f t="shared" ca="1" si="76"/>
        <v>238</v>
      </c>
    </row>
    <row r="555" spans="1:6">
      <c r="A555" s="3388"/>
      <c r="B555" s="2951">
        <v>704</v>
      </c>
      <c r="C555" s="2953">
        <v>54.63</v>
      </c>
      <c r="D555" s="2951" t="s">
        <v>27</v>
      </c>
      <c r="E555" s="3042">
        <f t="shared" ca="1" si="77"/>
        <v>43650</v>
      </c>
      <c r="F555" s="3041">
        <f t="shared" ca="1" si="76"/>
        <v>238</v>
      </c>
    </row>
    <row r="556" spans="1:6">
      <c r="A556" s="3388"/>
      <c r="B556" s="2951">
        <v>805</v>
      </c>
      <c r="C556" s="2953">
        <v>54.54</v>
      </c>
      <c r="D556" s="2951" t="s">
        <v>27</v>
      </c>
      <c r="E556" s="3042">
        <f t="shared" ca="1" si="77"/>
        <v>43650</v>
      </c>
      <c r="F556" s="3041">
        <f t="shared" ca="1" si="76"/>
        <v>238</v>
      </c>
    </row>
    <row r="557" spans="1:6">
      <c r="A557" s="3388"/>
      <c r="B557" s="2951">
        <v>809</v>
      </c>
      <c r="C557" s="2953">
        <v>34.090000000000003</v>
      </c>
      <c r="D557" s="2951" t="s">
        <v>27</v>
      </c>
      <c r="E557" s="3042">
        <f t="shared" ca="1" si="77"/>
        <v>43650</v>
      </c>
      <c r="F557" s="3041">
        <f t="shared" ca="1" si="76"/>
        <v>149</v>
      </c>
    </row>
    <row r="558" spans="1:6">
      <c r="A558" s="3388"/>
      <c r="B558" s="2949">
        <v>818</v>
      </c>
      <c r="C558" s="2953">
        <v>20.58</v>
      </c>
      <c r="D558" s="2949" t="s">
        <v>27</v>
      </c>
      <c r="E558" s="3042">
        <f t="shared" ca="1" si="77"/>
        <v>43650</v>
      </c>
      <c r="F558" s="3041">
        <f t="shared" ca="1" si="76"/>
        <v>90</v>
      </c>
    </row>
    <row r="559" spans="1:6">
      <c r="A559" s="3388"/>
      <c r="B559" s="2951">
        <v>819</v>
      </c>
      <c r="C559" s="2953">
        <v>54.16</v>
      </c>
      <c r="D559" s="2951" t="s">
        <v>27</v>
      </c>
      <c r="E559" s="3042">
        <f t="shared" ca="1" si="77"/>
        <v>43650</v>
      </c>
      <c r="F559" s="3041">
        <f t="shared" ca="1" si="76"/>
        <v>236</v>
      </c>
    </row>
    <row r="560" spans="1:6">
      <c r="A560" s="3388"/>
      <c r="B560" s="2951">
        <v>910</v>
      </c>
      <c r="C560" s="2953">
        <v>34.090000000000003</v>
      </c>
      <c r="D560" s="2951" t="s">
        <v>27</v>
      </c>
      <c r="E560" s="3042">
        <f t="shared" ca="1" si="77"/>
        <v>43650</v>
      </c>
      <c r="F560" s="3041">
        <f t="shared" ca="1" si="76"/>
        <v>149</v>
      </c>
    </row>
    <row r="561" spans="1:6">
      <c r="A561" s="3388"/>
      <c r="B561" s="2951">
        <v>1002</v>
      </c>
      <c r="C561" s="2953">
        <v>34.090000000000003</v>
      </c>
      <c r="D561" s="2951" t="s">
        <v>27</v>
      </c>
      <c r="E561" s="3042">
        <f t="shared" ca="1" si="77"/>
        <v>43650</v>
      </c>
      <c r="F561" s="3041">
        <f t="shared" ca="1" si="76"/>
        <v>149</v>
      </c>
    </row>
    <row r="562" spans="1:6">
      <c r="A562" s="3388"/>
      <c r="B562" s="2951">
        <v>1007</v>
      </c>
      <c r="C562" s="2953">
        <v>54.54</v>
      </c>
      <c r="D562" s="2951" t="s">
        <v>27</v>
      </c>
      <c r="E562" s="3042">
        <f t="shared" ca="1" si="77"/>
        <v>43650</v>
      </c>
      <c r="F562" s="3041">
        <f t="shared" ca="1" si="76"/>
        <v>238</v>
      </c>
    </row>
    <row r="563" spans="1:6">
      <c r="A563" s="3388"/>
      <c r="B563" s="2951">
        <v>1008</v>
      </c>
      <c r="C563" s="2953">
        <v>54.63</v>
      </c>
      <c r="D563" s="2951" t="s">
        <v>27</v>
      </c>
      <c r="E563" s="3042">
        <f t="shared" ca="1" si="77"/>
        <v>43650</v>
      </c>
      <c r="F563" s="3041">
        <f t="shared" ca="1" si="76"/>
        <v>238</v>
      </c>
    </row>
    <row r="564" spans="1:6">
      <c r="A564" s="3388"/>
      <c r="B564" s="2951">
        <v>1011</v>
      </c>
      <c r="C564" s="2953">
        <v>86.7</v>
      </c>
      <c r="D564" s="2951" t="s">
        <v>27</v>
      </c>
      <c r="E564" s="3042">
        <f t="shared" ca="1" si="77"/>
        <v>43650</v>
      </c>
      <c r="F564" s="3041">
        <f t="shared" ca="1" si="76"/>
        <v>378</v>
      </c>
    </row>
    <row r="565" spans="1:6">
      <c r="A565" s="3388"/>
      <c r="B565" s="2951">
        <v>1107</v>
      </c>
      <c r="C565" s="2953">
        <v>54.54</v>
      </c>
      <c r="D565" s="2951" t="s">
        <v>27</v>
      </c>
      <c r="E565" s="3042">
        <f t="shared" ca="1" si="77"/>
        <v>43650</v>
      </c>
      <c r="F565" s="3041">
        <f t="shared" ca="1" si="76"/>
        <v>238</v>
      </c>
    </row>
    <row r="566" spans="1:6">
      <c r="A566" s="3388"/>
      <c r="B566" s="2951">
        <v>1111</v>
      </c>
      <c r="C566" s="2953">
        <v>86.7</v>
      </c>
      <c r="D566" s="2951" t="s">
        <v>27</v>
      </c>
      <c r="E566" s="3042">
        <f t="shared" ca="1" si="77"/>
        <v>43650</v>
      </c>
      <c r="F566" s="3041">
        <f t="shared" ca="1" si="76"/>
        <v>378</v>
      </c>
    </row>
    <row r="567" spans="1:6">
      <c r="A567" s="3388"/>
      <c r="B567" s="2951">
        <v>1403</v>
      </c>
      <c r="C567" s="2953">
        <v>34.090000000000003</v>
      </c>
      <c r="D567" s="2951" t="s">
        <v>27</v>
      </c>
      <c r="E567" s="3042">
        <f t="shared" ca="1" si="77"/>
        <v>43650</v>
      </c>
      <c r="F567" s="3041">
        <f t="shared" ca="1" si="76"/>
        <v>149</v>
      </c>
    </row>
    <row r="568" spans="1:6">
      <c r="A568" s="3388"/>
      <c r="B568" s="2951">
        <v>1505</v>
      </c>
      <c r="C568" s="2953">
        <v>54.54</v>
      </c>
      <c r="D568" s="2951" t="s">
        <v>27</v>
      </c>
      <c r="E568" s="3042">
        <f t="shared" ca="1" si="77"/>
        <v>43650</v>
      </c>
      <c r="F568" s="3041">
        <f t="shared" ca="1" si="76"/>
        <v>238</v>
      </c>
    </row>
    <row r="569" spans="1:6">
      <c r="A569" s="3388"/>
      <c r="B569" s="2949">
        <v>1508</v>
      </c>
      <c r="C569" s="2953">
        <v>54.63</v>
      </c>
      <c r="D569" s="2949" t="s">
        <v>27</v>
      </c>
      <c r="E569" s="3042">
        <f t="shared" ca="1" si="77"/>
        <v>43650</v>
      </c>
      <c r="F569" s="3041">
        <f t="shared" ca="1" si="76"/>
        <v>238</v>
      </c>
    </row>
    <row r="570" spans="1:6">
      <c r="A570" s="3388"/>
      <c r="B570" s="2949">
        <v>1509</v>
      </c>
      <c r="C570" s="2953">
        <v>34.090000000000003</v>
      </c>
      <c r="D570" s="2949" t="s">
        <v>27</v>
      </c>
      <c r="E570" s="3042">
        <f t="shared" ca="1" si="77"/>
        <v>43650</v>
      </c>
      <c r="F570" s="3041">
        <f t="shared" ca="1" si="76"/>
        <v>149</v>
      </c>
    </row>
    <row r="571" spans="1:6">
      <c r="A571" s="3388"/>
      <c r="B571" s="2951">
        <v>1514</v>
      </c>
      <c r="C571" s="2953">
        <v>20.58</v>
      </c>
      <c r="D571" s="2951" t="s">
        <v>27</v>
      </c>
      <c r="E571" s="3042">
        <f t="shared" ca="1" si="77"/>
        <v>43650</v>
      </c>
      <c r="F571" s="3041">
        <f t="shared" ca="1" si="76"/>
        <v>90</v>
      </c>
    </row>
    <row r="572" spans="1:6">
      <c r="A572" s="3388"/>
      <c r="B572" s="2951">
        <v>1805</v>
      </c>
      <c r="C572" s="2953">
        <v>54.54</v>
      </c>
      <c r="D572" s="2951" t="s">
        <v>27</v>
      </c>
      <c r="E572" s="3042">
        <f t="shared" ca="1" si="77"/>
        <v>43650</v>
      </c>
      <c r="F572" s="3041">
        <f t="shared" ca="1" si="76"/>
        <v>238</v>
      </c>
    </row>
    <row r="573" spans="1:6">
      <c r="A573" s="3388"/>
      <c r="B573" s="2951">
        <v>1905</v>
      </c>
      <c r="C573" s="2953">
        <v>54.54</v>
      </c>
      <c r="D573" s="2951" t="s">
        <v>27</v>
      </c>
      <c r="E573" s="3042">
        <f t="shared" ca="1" si="77"/>
        <v>43650</v>
      </c>
      <c r="F573" s="3041">
        <f t="shared" ca="1" si="76"/>
        <v>238</v>
      </c>
    </row>
    <row r="574" spans="1:6">
      <c r="A574" s="3388"/>
      <c r="B574" s="2951">
        <v>1907</v>
      </c>
      <c r="C574" s="2953">
        <v>54.54</v>
      </c>
      <c r="D574" s="2951" t="s">
        <v>27</v>
      </c>
      <c r="E574" s="3042">
        <f t="shared" ca="1" si="77"/>
        <v>43650</v>
      </c>
      <c r="F574" s="3041">
        <f t="shared" ca="1" si="76"/>
        <v>238</v>
      </c>
    </row>
    <row r="575" spans="1:6">
      <c r="A575" s="3388"/>
      <c r="B575" s="2951">
        <v>1912</v>
      </c>
      <c r="C575" s="2953">
        <v>55</v>
      </c>
      <c r="D575" s="2951" t="s">
        <v>27</v>
      </c>
      <c r="E575" s="3042">
        <f t="shared" ca="1" si="77"/>
        <v>43650</v>
      </c>
      <c r="F575" s="3041">
        <f t="shared" ca="1" si="76"/>
        <v>240</v>
      </c>
    </row>
    <row r="576" spans="1:6">
      <c r="A576" s="3388"/>
      <c r="B576" s="2951">
        <v>1913</v>
      </c>
      <c r="C576" s="2953">
        <v>54.16</v>
      </c>
      <c r="D576" s="2951" t="s">
        <v>27</v>
      </c>
      <c r="E576" s="3042">
        <f t="shared" ca="1" si="77"/>
        <v>43650</v>
      </c>
      <c r="F576" s="3041">
        <f t="shared" ca="1" si="76"/>
        <v>236</v>
      </c>
    </row>
    <row r="577" spans="1:6">
      <c r="A577" s="3388"/>
      <c r="B577" s="2951">
        <v>1919</v>
      </c>
      <c r="C577" s="2953">
        <v>54.16</v>
      </c>
      <c r="D577" s="2951" t="s">
        <v>27</v>
      </c>
      <c r="E577" s="3042">
        <f t="shared" ca="1" si="77"/>
        <v>43650</v>
      </c>
      <c r="F577" s="3041">
        <f t="shared" ca="1" si="76"/>
        <v>236</v>
      </c>
    </row>
    <row r="578" spans="1:6" s="3044" customFormat="1">
      <c r="A578" s="3389"/>
      <c r="B578" s="3045">
        <v>1920</v>
      </c>
      <c r="C578" s="3046">
        <v>55</v>
      </c>
      <c r="D578" s="3045" t="s">
        <v>27</v>
      </c>
      <c r="E578" s="3047">
        <f ca="1">ROUND(F578*10000/C578,0)</f>
        <v>44364</v>
      </c>
      <c r="F578" s="3047">
        <f ca="1">L35-L30</f>
        <v>244</v>
      </c>
    </row>
    <row r="579" spans="1:6">
      <c r="A579" s="3396" t="s">
        <v>40</v>
      </c>
      <c r="B579" s="3396"/>
      <c r="C579" s="2945">
        <f>SUM(C536:C578)</f>
        <v>2200.8099999999995</v>
      </c>
      <c r="D579" s="2942" t="s">
        <v>27</v>
      </c>
      <c r="E579" s="3042"/>
      <c r="F579" s="3041">
        <f ca="1">SUM(F536:F578)</f>
        <v>9607</v>
      </c>
    </row>
    <row r="580" spans="1:6">
      <c r="A580" s="2938" t="s">
        <v>3072</v>
      </c>
      <c r="B580" s="2938" t="s">
        <v>3073</v>
      </c>
      <c r="C580" s="2938" t="s">
        <v>3074</v>
      </c>
      <c r="D580" s="2938" t="s">
        <v>1375</v>
      </c>
      <c r="E580" s="3042"/>
      <c r="F580" s="3042"/>
    </row>
    <row r="581" spans="1:6">
      <c r="A581" s="3395" t="s">
        <v>3175</v>
      </c>
      <c r="B581" s="2954">
        <v>-115</v>
      </c>
      <c r="C581" s="2953">
        <v>103.89</v>
      </c>
      <c r="D581" s="2954" t="s">
        <v>1377</v>
      </c>
      <c r="E581" s="3042">
        <f ca="1">J42</f>
        <v>17455</v>
      </c>
      <c r="F581" s="3041">
        <f t="shared" ref="F581:F582" ca="1" si="78">ROUND(C581*E581/10000,0)</f>
        <v>181</v>
      </c>
    </row>
    <row r="582" spans="1:6">
      <c r="A582" s="3389"/>
      <c r="B582" s="2954">
        <v>-118</v>
      </c>
      <c r="C582" s="2953">
        <v>137.36000000000001</v>
      </c>
      <c r="D582" s="2954" t="s">
        <v>1377</v>
      </c>
      <c r="E582" s="3042">
        <f ca="1">E581</f>
        <v>17455</v>
      </c>
      <c r="F582" s="3041">
        <f t="shared" ca="1" si="78"/>
        <v>240</v>
      </c>
    </row>
    <row r="583" spans="1:6">
      <c r="A583" s="3392" t="s">
        <v>40</v>
      </c>
      <c r="B583" s="3392"/>
      <c r="C583" s="2955">
        <f>SUM(C581:C582)</f>
        <v>241.25</v>
      </c>
      <c r="D583" s="2955" t="s">
        <v>1377</v>
      </c>
      <c r="E583" s="3042"/>
      <c r="F583" s="3042">
        <f ca="1">F581+F582</f>
        <v>421</v>
      </c>
    </row>
    <row r="584" spans="1:6">
      <c r="A584" s="3404" t="s">
        <v>3176</v>
      </c>
      <c r="B584" s="2956" t="s">
        <v>3075</v>
      </c>
      <c r="C584" s="2953">
        <v>19.579999999999998</v>
      </c>
      <c r="D584" s="2957" t="s">
        <v>48</v>
      </c>
      <c r="E584" s="3042">
        <f ca="1">'结果表（地下车库）'!I118</f>
        <v>7417</v>
      </c>
      <c r="F584" s="3041">
        <f ca="1">ROUND(C584*E584/10000,2)</f>
        <v>14.52</v>
      </c>
    </row>
    <row r="585" spans="1:6">
      <c r="A585" s="3404"/>
      <c r="B585" s="2956" t="s">
        <v>3076</v>
      </c>
      <c r="C585" s="2953">
        <v>19.579999999999998</v>
      </c>
      <c r="D585" s="2957" t="s">
        <v>48</v>
      </c>
      <c r="E585" s="3042">
        <f ca="1">E584</f>
        <v>7417</v>
      </c>
      <c r="F585" s="3041">
        <f t="shared" ref="F585:F648" ca="1" si="79">ROUND(C585*E585/10000,2)</f>
        <v>14.52</v>
      </c>
    </row>
    <row r="586" spans="1:6">
      <c r="A586" s="3404"/>
      <c r="B586" s="2956" t="s">
        <v>3077</v>
      </c>
      <c r="C586" s="2953">
        <v>19.579999999999998</v>
      </c>
      <c r="D586" s="2957" t="s">
        <v>48</v>
      </c>
      <c r="E586" s="3042">
        <f t="shared" ref="E586:E649" ca="1" si="80">E585</f>
        <v>7417</v>
      </c>
      <c r="F586" s="3041">
        <f t="shared" ca="1" si="79"/>
        <v>14.52</v>
      </c>
    </row>
    <row r="587" spans="1:6">
      <c r="A587" s="3404"/>
      <c r="B587" s="2956" t="s">
        <v>3080</v>
      </c>
      <c r="C587" s="2953">
        <v>17.89</v>
      </c>
      <c r="D587" s="2957" t="s">
        <v>48</v>
      </c>
      <c r="E587" s="3042">
        <f t="shared" ca="1" si="80"/>
        <v>7417</v>
      </c>
      <c r="F587" s="3041">
        <f t="shared" ca="1" si="79"/>
        <v>13.27</v>
      </c>
    </row>
    <row r="588" spans="1:6">
      <c r="A588" s="3404"/>
      <c r="B588" s="2956" t="s">
        <v>3081</v>
      </c>
      <c r="C588" s="2953">
        <v>17.89</v>
      </c>
      <c r="D588" s="2957" t="s">
        <v>48</v>
      </c>
      <c r="E588" s="3042">
        <f t="shared" ca="1" si="80"/>
        <v>7417</v>
      </c>
      <c r="F588" s="3041">
        <f t="shared" ca="1" si="79"/>
        <v>13.27</v>
      </c>
    </row>
    <row r="589" spans="1:6">
      <c r="A589" s="3404"/>
      <c r="B589" s="2956" t="s">
        <v>3082</v>
      </c>
      <c r="C589" s="2953">
        <v>17.89</v>
      </c>
      <c r="D589" s="2957" t="s">
        <v>48</v>
      </c>
      <c r="E589" s="3042">
        <f t="shared" ca="1" si="80"/>
        <v>7417</v>
      </c>
      <c r="F589" s="3041">
        <f t="shared" ca="1" si="79"/>
        <v>13.27</v>
      </c>
    </row>
    <row r="590" spans="1:6">
      <c r="A590" s="3404"/>
      <c r="B590" s="2956" t="s">
        <v>3083</v>
      </c>
      <c r="C590" s="2953">
        <v>17.89</v>
      </c>
      <c r="D590" s="2957" t="s">
        <v>48</v>
      </c>
      <c r="E590" s="3042">
        <f t="shared" ca="1" si="80"/>
        <v>7417</v>
      </c>
      <c r="F590" s="3041">
        <f t="shared" ca="1" si="79"/>
        <v>13.27</v>
      </c>
    </row>
    <row r="591" spans="1:6">
      <c r="A591" s="3404"/>
      <c r="B591" s="2956" t="s">
        <v>3084</v>
      </c>
      <c r="C591" s="2958">
        <v>17.89</v>
      </c>
      <c r="D591" s="2957" t="s">
        <v>48</v>
      </c>
      <c r="E591" s="3042">
        <f t="shared" ca="1" si="80"/>
        <v>7417</v>
      </c>
      <c r="F591" s="3041">
        <f t="shared" ca="1" si="79"/>
        <v>13.27</v>
      </c>
    </row>
    <row r="592" spans="1:6">
      <c r="A592" s="3404"/>
      <c r="B592" s="2956" t="s">
        <v>3085</v>
      </c>
      <c r="C592" s="2958">
        <v>17.89</v>
      </c>
      <c r="D592" s="2957" t="s">
        <v>48</v>
      </c>
      <c r="E592" s="3042">
        <f t="shared" ca="1" si="80"/>
        <v>7417</v>
      </c>
      <c r="F592" s="3041">
        <f t="shared" ca="1" si="79"/>
        <v>13.27</v>
      </c>
    </row>
    <row r="593" spans="1:6">
      <c r="A593" s="3404"/>
      <c r="B593" s="2956" t="s">
        <v>3086</v>
      </c>
      <c r="C593" s="2958">
        <v>17.89</v>
      </c>
      <c r="D593" s="2957" t="s">
        <v>48</v>
      </c>
      <c r="E593" s="3042">
        <f t="shared" ca="1" si="80"/>
        <v>7417</v>
      </c>
      <c r="F593" s="3041">
        <f t="shared" ca="1" si="79"/>
        <v>13.27</v>
      </c>
    </row>
    <row r="594" spans="1:6">
      <c r="A594" s="3404"/>
      <c r="B594" s="2956" t="s">
        <v>3087</v>
      </c>
      <c r="C594" s="2958">
        <v>17.89</v>
      </c>
      <c r="D594" s="2957" t="s">
        <v>48</v>
      </c>
      <c r="E594" s="3042">
        <f t="shared" ca="1" si="80"/>
        <v>7417</v>
      </c>
      <c r="F594" s="3041">
        <f t="shared" ca="1" si="79"/>
        <v>13.27</v>
      </c>
    </row>
    <row r="595" spans="1:6">
      <c r="A595" s="3404"/>
      <c r="B595" s="2956" t="s">
        <v>3088</v>
      </c>
      <c r="C595" s="2958">
        <v>17.89</v>
      </c>
      <c r="D595" s="2957" t="s">
        <v>48</v>
      </c>
      <c r="E595" s="3042">
        <f t="shared" ca="1" si="80"/>
        <v>7417</v>
      </c>
      <c r="F595" s="3041">
        <f t="shared" ca="1" si="79"/>
        <v>13.27</v>
      </c>
    </row>
    <row r="596" spans="1:6">
      <c r="A596" s="3404"/>
      <c r="B596" s="2956" t="s">
        <v>3089</v>
      </c>
      <c r="C596" s="2958">
        <v>17.89</v>
      </c>
      <c r="D596" s="2957" t="s">
        <v>48</v>
      </c>
      <c r="E596" s="3042">
        <f t="shared" ca="1" si="80"/>
        <v>7417</v>
      </c>
      <c r="F596" s="3041">
        <f t="shared" ca="1" si="79"/>
        <v>13.27</v>
      </c>
    </row>
    <row r="597" spans="1:6">
      <c r="A597" s="3404"/>
      <c r="B597" s="2956" t="s">
        <v>3090</v>
      </c>
      <c r="C597" s="2958">
        <v>17.89</v>
      </c>
      <c r="D597" s="2957" t="s">
        <v>48</v>
      </c>
      <c r="E597" s="3042">
        <f t="shared" ca="1" si="80"/>
        <v>7417</v>
      </c>
      <c r="F597" s="3041">
        <f t="shared" ca="1" si="79"/>
        <v>13.27</v>
      </c>
    </row>
    <row r="598" spans="1:6">
      <c r="A598" s="3404"/>
      <c r="B598" s="2956" t="s">
        <v>3091</v>
      </c>
      <c r="C598" s="2958">
        <v>17.89</v>
      </c>
      <c r="D598" s="2957" t="s">
        <v>48</v>
      </c>
      <c r="E598" s="3042">
        <f t="shared" ca="1" si="80"/>
        <v>7417</v>
      </c>
      <c r="F598" s="3041">
        <f t="shared" ca="1" si="79"/>
        <v>13.27</v>
      </c>
    </row>
    <row r="599" spans="1:6">
      <c r="A599" s="3404"/>
      <c r="B599" s="2956" t="s">
        <v>3092</v>
      </c>
      <c r="C599" s="2958">
        <v>17.89</v>
      </c>
      <c r="D599" s="2957" t="s">
        <v>48</v>
      </c>
      <c r="E599" s="3042">
        <f t="shared" ca="1" si="80"/>
        <v>7417</v>
      </c>
      <c r="F599" s="3041">
        <f t="shared" ca="1" si="79"/>
        <v>13.27</v>
      </c>
    </row>
    <row r="600" spans="1:6">
      <c r="A600" s="3404"/>
      <c r="B600" s="2956" t="s">
        <v>3093</v>
      </c>
      <c r="C600" s="2958">
        <v>17.89</v>
      </c>
      <c r="D600" s="2957" t="s">
        <v>48</v>
      </c>
      <c r="E600" s="3042">
        <f t="shared" ca="1" si="80"/>
        <v>7417</v>
      </c>
      <c r="F600" s="3041">
        <f t="shared" ca="1" si="79"/>
        <v>13.27</v>
      </c>
    </row>
    <row r="601" spans="1:6">
      <c r="A601" s="3404"/>
      <c r="B601" s="2956" t="s">
        <v>3094</v>
      </c>
      <c r="C601" s="2941">
        <v>17.89</v>
      </c>
      <c r="D601" s="2957" t="s">
        <v>48</v>
      </c>
      <c r="E601" s="3042">
        <f t="shared" ca="1" si="80"/>
        <v>7417</v>
      </c>
      <c r="F601" s="3041">
        <f t="shared" ca="1" si="79"/>
        <v>13.27</v>
      </c>
    </row>
    <row r="602" spans="1:6">
      <c r="A602" s="3404"/>
      <c r="B602" s="2956" t="s">
        <v>3095</v>
      </c>
      <c r="C602" s="2941">
        <v>17.89</v>
      </c>
      <c r="D602" s="2957" t="s">
        <v>48</v>
      </c>
      <c r="E602" s="3042">
        <f t="shared" ca="1" si="80"/>
        <v>7417</v>
      </c>
      <c r="F602" s="3041">
        <f t="shared" ca="1" si="79"/>
        <v>13.27</v>
      </c>
    </row>
    <row r="603" spans="1:6">
      <c r="A603" s="3404"/>
      <c r="B603" s="2956" t="s">
        <v>3096</v>
      </c>
      <c r="C603" s="2941">
        <v>17.89</v>
      </c>
      <c r="D603" s="2957" t="s">
        <v>48</v>
      </c>
      <c r="E603" s="3042">
        <f t="shared" ca="1" si="80"/>
        <v>7417</v>
      </c>
      <c r="F603" s="3041">
        <f t="shared" ca="1" si="79"/>
        <v>13.27</v>
      </c>
    </row>
    <row r="604" spans="1:6">
      <c r="A604" s="3404"/>
      <c r="B604" s="2956" t="s">
        <v>3097</v>
      </c>
      <c r="C604" s="2941">
        <v>17.89</v>
      </c>
      <c r="D604" s="2957" t="s">
        <v>48</v>
      </c>
      <c r="E604" s="3042">
        <f t="shared" ca="1" si="80"/>
        <v>7417</v>
      </c>
      <c r="F604" s="3041">
        <f t="shared" ca="1" si="79"/>
        <v>13.27</v>
      </c>
    </row>
    <row r="605" spans="1:6">
      <c r="A605" s="3404"/>
      <c r="B605" s="2956" t="s">
        <v>3098</v>
      </c>
      <c r="C605" s="2941">
        <v>17.89</v>
      </c>
      <c r="D605" s="2957" t="s">
        <v>48</v>
      </c>
      <c r="E605" s="3042">
        <f t="shared" ca="1" si="80"/>
        <v>7417</v>
      </c>
      <c r="F605" s="3041">
        <f t="shared" ca="1" si="79"/>
        <v>13.27</v>
      </c>
    </row>
    <row r="606" spans="1:6">
      <c r="A606" s="3404"/>
      <c r="B606" s="2956" t="s">
        <v>3099</v>
      </c>
      <c r="C606" s="2941">
        <v>17.89</v>
      </c>
      <c r="D606" s="2957" t="s">
        <v>48</v>
      </c>
      <c r="E606" s="3042">
        <f t="shared" ca="1" si="80"/>
        <v>7417</v>
      </c>
      <c r="F606" s="3041">
        <f t="shared" ca="1" si="79"/>
        <v>13.27</v>
      </c>
    </row>
    <row r="607" spans="1:6">
      <c r="A607" s="3404"/>
      <c r="B607" s="2956" t="s">
        <v>3100</v>
      </c>
      <c r="C607" s="2941">
        <v>17.89</v>
      </c>
      <c r="D607" s="2957" t="s">
        <v>48</v>
      </c>
      <c r="E607" s="3042">
        <f t="shared" ca="1" si="80"/>
        <v>7417</v>
      </c>
      <c r="F607" s="3041">
        <f t="shared" ca="1" si="79"/>
        <v>13.27</v>
      </c>
    </row>
    <row r="608" spans="1:6">
      <c r="A608" s="3404"/>
      <c r="B608" s="2956" t="s">
        <v>3101</v>
      </c>
      <c r="C608" s="2941">
        <v>17.89</v>
      </c>
      <c r="D608" s="2957" t="s">
        <v>48</v>
      </c>
      <c r="E608" s="3042">
        <f t="shared" ca="1" si="80"/>
        <v>7417</v>
      </c>
      <c r="F608" s="3041">
        <f t="shared" ca="1" si="79"/>
        <v>13.27</v>
      </c>
    </row>
    <row r="609" spans="1:6">
      <c r="A609" s="3404"/>
      <c r="B609" s="2956" t="s">
        <v>3102</v>
      </c>
      <c r="C609" s="2941">
        <v>17.89</v>
      </c>
      <c r="D609" s="2957" t="s">
        <v>48</v>
      </c>
      <c r="E609" s="3042">
        <f t="shared" ca="1" si="80"/>
        <v>7417</v>
      </c>
      <c r="F609" s="3041">
        <f t="shared" ca="1" si="79"/>
        <v>13.27</v>
      </c>
    </row>
    <row r="610" spans="1:6">
      <c r="A610" s="3404"/>
      <c r="B610" s="2956" t="s">
        <v>3103</v>
      </c>
      <c r="C610" s="2941">
        <v>17.89</v>
      </c>
      <c r="D610" s="2957" t="s">
        <v>48</v>
      </c>
      <c r="E610" s="3042">
        <f t="shared" ca="1" si="80"/>
        <v>7417</v>
      </c>
      <c r="F610" s="3041">
        <f t="shared" ca="1" si="79"/>
        <v>13.27</v>
      </c>
    </row>
    <row r="611" spans="1:6">
      <c r="A611" s="3404"/>
      <c r="B611" s="2956" t="s">
        <v>3104</v>
      </c>
      <c r="C611" s="2941">
        <v>17.89</v>
      </c>
      <c r="D611" s="2957" t="s">
        <v>48</v>
      </c>
      <c r="E611" s="3042">
        <f t="shared" ca="1" si="80"/>
        <v>7417</v>
      </c>
      <c r="F611" s="3041">
        <f t="shared" ca="1" si="79"/>
        <v>13.27</v>
      </c>
    </row>
    <row r="612" spans="1:6">
      <c r="A612" s="3404"/>
      <c r="B612" s="2956" t="s">
        <v>3105</v>
      </c>
      <c r="C612" s="2941">
        <v>17.89</v>
      </c>
      <c r="D612" s="2957" t="s">
        <v>48</v>
      </c>
      <c r="E612" s="3042">
        <f t="shared" ca="1" si="80"/>
        <v>7417</v>
      </c>
      <c r="F612" s="3041">
        <f t="shared" ca="1" si="79"/>
        <v>13.27</v>
      </c>
    </row>
    <row r="613" spans="1:6">
      <c r="A613" s="3404"/>
      <c r="B613" s="2956" t="s">
        <v>3106</v>
      </c>
      <c r="C613" s="2941">
        <v>13.93</v>
      </c>
      <c r="D613" s="2957" t="s">
        <v>48</v>
      </c>
      <c r="E613" s="3042">
        <f t="shared" ca="1" si="80"/>
        <v>7417</v>
      </c>
      <c r="F613" s="3041">
        <f t="shared" ca="1" si="79"/>
        <v>10.33</v>
      </c>
    </row>
    <row r="614" spans="1:6">
      <c r="A614" s="3404"/>
      <c r="B614" s="2956" t="s">
        <v>3107</v>
      </c>
      <c r="C614" s="2941">
        <v>13.93</v>
      </c>
      <c r="D614" s="2957" t="s">
        <v>48</v>
      </c>
      <c r="E614" s="3042">
        <f t="shared" ca="1" si="80"/>
        <v>7417</v>
      </c>
      <c r="F614" s="3041">
        <f t="shared" ca="1" si="79"/>
        <v>10.33</v>
      </c>
    </row>
    <row r="615" spans="1:6">
      <c r="A615" s="3404"/>
      <c r="B615" s="2956" t="s">
        <v>3108</v>
      </c>
      <c r="C615" s="2941">
        <v>17.89</v>
      </c>
      <c r="D615" s="2957" t="s">
        <v>48</v>
      </c>
      <c r="E615" s="3042">
        <f t="shared" ca="1" si="80"/>
        <v>7417</v>
      </c>
      <c r="F615" s="3041">
        <f t="shared" ca="1" si="79"/>
        <v>13.27</v>
      </c>
    </row>
    <row r="616" spans="1:6">
      <c r="A616" s="3404"/>
      <c r="B616" s="2956" t="s">
        <v>3109</v>
      </c>
      <c r="C616" s="2941">
        <v>17.89</v>
      </c>
      <c r="D616" s="2957" t="s">
        <v>48</v>
      </c>
      <c r="E616" s="3042">
        <f t="shared" ca="1" si="80"/>
        <v>7417</v>
      </c>
      <c r="F616" s="3041">
        <f t="shared" ca="1" si="79"/>
        <v>13.27</v>
      </c>
    </row>
    <row r="617" spans="1:6">
      <c r="A617" s="3404"/>
      <c r="B617" s="2956" t="s">
        <v>3110</v>
      </c>
      <c r="C617" s="2941">
        <v>17.89</v>
      </c>
      <c r="D617" s="2957" t="s">
        <v>48</v>
      </c>
      <c r="E617" s="3042">
        <f t="shared" ca="1" si="80"/>
        <v>7417</v>
      </c>
      <c r="F617" s="3041">
        <f t="shared" ca="1" si="79"/>
        <v>13.27</v>
      </c>
    </row>
    <row r="618" spans="1:6">
      <c r="A618" s="3404"/>
      <c r="B618" s="2956" t="s">
        <v>3111</v>
      </c>
      <c r="C618" s="2941">
        <v>17.89</v>
      </c>
      <c r="D618" s="2957" t="s">
        <v>48</v>
      </c>
      <c r="E618" s="3042">
        <f t="shared" ca="1" si="80"/>
        <v>7417</v>
      </c>
      <c r="F618" s="3041">
        <f t="shared" ca="1" si="79"/>
        <v>13.27</v>
      </c>
    </row>
    <row r="619" spans="1:6">
      <c r="A619" s="3404"/>
      <c r="B619" s="2956" t="s">
        <v>3112</v>
      </c>
      <c r="C619" s="2941">
        <v>17.89</v>
      </c>
      <c r="D619" s="2957" t="s">
        <v>48</v>
      </c>
      <c r="E619" s="3042">
        <f t="shared" ca="1" si="80"/>
        <v>7417</v>
      </c>
      <c r="F619" s="3041">
        <f t="shared" ca="1" si="79"/>
        <v>13.27</v>
      </c>
    </row>
    <row r="620" spans="1:6">
      <c r="A620" s="3404"/>
      <c r="B620" s="2956" t="s">
        <v>3113</v>
      </c>
      <c r="C620" s="2941">
        <v>17.89</v>
      </c>
      <c r="D620" s="2957" t="s">
        <v>48</v>
      </c>
      <c r="E620" s="3042">
        <f t="shared" ca="1" si="80"/>
        <v>7417</v>
      </c>
      <c r="F620" s="3041">
        <f t="shared" ca="1" si="79"/>
        <v>13.27</v>
      </c>
    </row>
    <row r="621" spans="1:6">
      <c r="A621" s="3404"/>
      <c r="B621" s="2956" t="s">
        <v>3114</v>
      </c>
      <c r="C621" s="2941">
        <v>17.89</v>
      </c>
      <c r="D621" s="2957" t="s">
        <v>48</v>
      </c>
      <c r="E621" s="3042">
        <f t="shared" ca="1" si="80"/>
        <v>7417</v>
      </c>
      <c r="F621" s="3041">
        <f t="shared" ca="1" si="79"/>
        <v>13.27</v>
      </c>
    </row>
    <row r="622" spans="1:6">
      <c r="A622" s="3404"/>
      <c r="B622" s="2956" t="s">
        <v>3115</v>
      </c>
      <c r="C622" s="2941">
        <v>17.89</v>
      </c>
      <c r="D622" s="2957" t="s">
        <v>48</v>
      </c>
      <c r="E622" s="3042">
        <f t="shared" ca="1" si="80"/>
        <v>7417</v>
      </c>
      <c r="F622" s="3041">
        <f t="shared" ca="1" si="79"/>
        <v>13.27</v>
      </c>
    </row>
    <row r="623" spans="1:6">
      <c r="A623" s="3404"/>
      <c r="B623" s="2956" t="s">
        <v>3116</v>
      </c>
      <c r="C623" s="2941">
        <v>17.89</v>
      </c>
      <c r="D623" s="2957" t="s">
        <v>48</v>
      </c>
      <c r="E623" s="3042">
        <f t="shared" ca="1" si="80"/>
        <v>7417</v>
      </c>
      <c r="F623" s="3041">
        <f t="shared" ca="1" si="79"/>
        <v>13.27</v>
      </c>
    </row>
    <row r="624" spans="1:6">
      <c r="A624" s="3404"/>
      <c r="B624" s="2956" t="s">
        <v>3117</v>
      </c>
      <c r="C624" s="2941">
        <v>17.89</v>
      </c>
      <c r="D624" s="2957" t="s">
        <v>48</v>
      </c>
      <c r="E624" s="3042">
        <f t="shared" ca="1" si="80"/>
        <v>7417</v>
      </c>
      <c r="F624" s="3041">
        <f t="shared" ca="1" si="79"/>
        <v>13.27</v>
      </c>
    </row>
    <row r="625" spans="1:6">
      <c r="A625" s="3404"/>
      <c r="B625" s="2956" t="s">
        <v>3118</v>
      </c>
      <c r="C625" s="2941">
        <v>17.89</v>
      </c>
      <c r="D625" s="2957" t="s">
        <v>48</v>
      </c>
      <c r="E625" s="3042">
        <f t="shared" ca="1" si="80"/>
        <v>7417</v>
      </c>
      <c r="F625" s="3041">
        <f t="shared" ca="1" si="79"/>
        <v>13.27</v>
      </c>
    </row>
    <row r="626" spans="1:6">
      <c r="A626" s="3404"/>
      <c r="B626" s="2956" t="s">
        <v>3119</v>
      </c>
      <c r="C626" s="2941">
        <v>17.89</v>
      </c>
      <c r="D626" s="2957" t="s">
        <v>48</v>
      </c>
      <c r="E626" s="3042">
        <f t="shared" ca="1" si="80"/>
        <v>7417</v>
      </c>
      <c r="F626" s="3041">
        <f t="shared" ca="1" si="79"/>
        <v>13.27</v>
      </c>
    </row>
    <row r="627" spans="1:6">
      <c r="A627" s="3404"/>
      <c r="B627" s="2956" t="s">
        <v>3120</v>
      </c>
      <c r="C627" s="2941">
        <v>17.89</v>
      </c>
      <c r="D627" s="2957" t="s">
        <v>48</v>
      </c>
      <c r="E627" s="3042">
        <f t="shared" ca="1" si="80"/>
        <v>7417</v>
      </c>
      <c r="F627" s="3041">
        <f t="shared" ca="1" si="79"/>
        <v>13.27</v>
      </c>
    </row>
    <row r="628" spans="1:6">
      <c r="A628" s="3404"/>
      <c r="B628" s="2956" t="s">
        <v>3121</v>
      </c>
      <c r="C628" s="2941">
        <v>17.89</v>
      </c>
      <c r="D628" s="2957" t="s">
        <v>48</v>
      </c>
      <c r="E628" s="3042">
        <f t="shared" ca="1" si="80"/>
        <v>7417</v>
      </c>
      <c r="F628" s="3041">
        <f t="shared" ca="1" si="79"/>
        <v>13.27</v>
      </c>
    </row>
    <row r="629" spans="1:6">
      <c r="A629" s="3404"/>
      <c r="B629" s="2956" t="s">
        <v>3122</v>
      </c>
      <c r="C629" s="2941">
        <v>17.89</v>
      </c>
      <c r="D629" s="2957" t="s">
        <v>48</v>
      </c>
      <c r="E629" s="3042">
        <f t="shared" ca="1" si="80"/>
        <v>7417</v>
      </c>
      <c r="F629" s="3041">
        <f t="shared" ca="1" si="79"/>
        <v>13.27</v>
      </c>
    </row>
    <row r="630" spans="1:6">
      <c r="A630" s="3404"/>
      <c r="B630" s="2956" t="s">
        <v>3123</v>
      </c>
      <c r="C630" s="2941">
        <v>17.89</v>
      </c>
      <c r="D630" s="2957" t="s">
        <v>48</v>
      </c>
      <c r="E630" s="3042">
        <f t="shared" ca="1" si="80"/>
        <v>7417</v>
      </c>
      <c r="F630" s="3041">
        <f t="shared" ca="1" si="79"/>
        <v>13.27</v>
      </c>
    </row>
    <row r="631" spans="1:6">
      <c r="A631" s="3404"/>
      <c r="B631" s="2956" t="s">
        <v>3124</v>
      </c>
      <c r="C631" s="2941">
        <v>17.89</v>
      </c>
      <c r="D631" s="2957" t="s">
        <v>48</v>
      </c>
      <c r="E631" s="3042">
        <f t="shared" ca="1" si="80"/>
        <v>7417</v>
      </c>
      <c r="F631" s="3041">
        <f t="shared" ca="1" si="79"/>
        <v>13.27</v>
      </c>
    </row>
    <row r="632" spans="1:6">
      <c r="A632" s="3404"/>
      <c r="B632" s="2956" t="s">
        <v>3125</v>
      </c>
      <c r="C632" s="2941">
        <v>17.89</v>
      </c>
      <c r="D632" s="2957" t="s">
        <v>48</v>
      </c>
      <c r="E632" s="3042">
        <f t="shared" ca="1" si="80"/>
        <v>7417</v>
      </c>
      <c r="F632" s="3041">
        <f t="shared" ca="1" si="79"/>
        <v>13.27</v>
      </c>
    </row>
    <row r="633" spans="1:6">
      <c r="A633" s="3404"/>
      <c r="B633" s="2956" t="s">
        <v>3126</v>
      </c>
      <c r="C633" s="2941">
        <v>17.89</v>
      </c>
      <c r="D633" s="2957" t="s">
        <v>48</v>
      </c>
      <c r="E633" s="3042">
        <f t="shared" ca="1" si="80"/>
        <v>7417</v>
      </c>
      <c r="F633" s="3041">
        <f t="shared" ca="1" si="79"/>
        <v>13.27</v>
      </c>
    </row>
    <row r="634" spans="1:6">
      <c r="A634" s="3404"/>
      <c r="B634" s="2956" t="s">
        <v>3127</v>
      </c>
      <c r="C634" s="2941">
        <v>17.89</v>
      </c>
      <c r="D634" s="2957" t="s">
        <v>48</v>
      </c>
      <c r="E634" s="3042">
        <f t="shared" ca="1" si="80"/>
        <v>7417</v>
      </c>
      <c r="F634" s="3041">
        <f t="shared" ca="1" si="79"/>
        <v>13.27</v>
      </c>
    </row>
    <row r="635" spans="1:6">
      <c r="A635" s="3404"/>
      <c r="B635" s="2956" t="s">
        <v>3128</v>
      </c>
      <c r="C635" s="2941">
        <v>17.89</v>
      </c>
      <c r="D635" s="2957" t="s">
        <v>48</v>
      </c>
      <c r="E635" s="3042">
        <f t="shared" ca="1" si="80"/>
        <v>7417</v>
      </c>
      <c r="F635" s="3041">
        <f t="shared" ca="1" si="79"/>
        <v>13.27</v>
      </c>
    </row>
    <row r="636" spans="1:6">
      <c r="A636" s="3404"/>
      <c r="B636" s="2956" t="s">
        <v>3129</v>
      </c>
      <c r="C636" s="2941">
        <v>17.89</v>
      </c>
      <c r="D636" s="2957" t="s">
        <v>48</v>
      </c>
      <c r="E636" s="3042">
        <f t="shared" ca="1" si="80"/>
        <v>7417</v>
      </c>
      <c r="F636" s="3041">
        <f t="shared" ca="1" si="79"/>
        <v>13.27</v>
      </c>
    </row>
    <row r="637" spans="1:6">
      <c r="A637" s="3404"/>
      <c r="B637" s="2956" t="s">
        <v>3130</v>
      </c>
      <c r="C637" s="2941">
        <v>17.89</v>
      </c>
      <c r="D637" s="2957" t="s">
        <v>48</v>
      </c>
      <c r="E637" s="3042">
        <f t="shared" ca="1" si="80"/>
        <v>7417</v>
      </c>
      <c r="F637" s="3041">
        <f t="shared" ca="1" si="79"/>
        <v>13.27</v>
      </c>
    </row>
    <row r="638" spans="1:6">
      <c r="A638" s="3404"/>
      <c r="B638" s="2956" t="s">
        <v>3131</v>
      </c>
      <c r="C638" s="2941">
        <v>17.89</v>
      </c>
      <c r="D638" s="2957" t="s">
        <v>48</v>
      </c>
      <c r="E638" s="3042">
        <f t="shared" ca="1" si="80"/>
        <v>7417</v>
      </c>
      <c r="F638" s="3041">
        <f t="shared" ca="1" si="79"/>
        <v>13.27</v>
      </c>
    </row>
    <row r="639" spans="1:6">
      <c r="A639" s="3404"/>
      <c r="B639" s="2956" t="s">
        <v>3132</v>
      </c>
      <c r="C639" s="2941">
        <v>17.89</v>
      </c>
      <c r="D639" s="2957" t="s">
        <v>48</v>
      </c>
      <c r="E639" s="3042">
        <f t="shared" ca="1" si="80"/>
        <v>7417</v>
      </c>
      <c r="F639" s="3041">
        <f t="shared" ca="1" si="79"/>
        <v>13.27</v>
      </c>
    </row>
    <row r="640" spans="1:6">
      <c r="A640" s="3404"/>
      <c r="B640" s="2956" t="s">
        <v>3133</v>
      </c>
      <c r="C640" s="2941">
        <v>17.89</v>
      </c>
      <c r="D640" s="2957" t="s">
        <v>48</v>
      </c>
      <c r="E640" s="3042">
        <f t="shared" ca="1" si="80"/>
        <v>7417</v>
      </c>
      <c r="F640" s="3041">
        <f t="shared" ca="1" si="79"/>
        <v>13.27</v>
      </c>
    </row>
    <row r="641" spans="1:6">
      <c r="A641" s="3404"/>
      <c r="B641" s="2956" t="s">
        <v>3134</v>
      </c>
      <c r="C641" s="2941">
        <v>17.89</v>
      </c>
      <c r="D641" s="2957" t="s">
        <v>48</v>
      </c>
      <c r="E641" s="3042">
        <f t="shared" ca="1" si="80"/>
        <v>7417</v>
      </c>
      <c r="F641" s="3041">
        <f t="shared" ca="1" si="79"/>
        <v>13.27</v>
      </c>
    </row>
    <row r="642" spans="1:6">
      <c r="A642" s="3404"/>
      <c r="B642" s="2956" t="s">
        <v>3135</v>
      </c>
      <c r="C642" s="2941">
        <v>17.89</v>
      </c>
      <c r="D642" s="2957" t="s">
        <v>48</v>
      </c>
      <c r="E642" s="3042">
        <f t="shared" ca="1" si="80"/>
        <v>7417</v>
      </c>
      <c r="F642" s="3041">
        <f t="shared" ca="1" si="79"/>
        <v>13.27</v>
      </c>
    </row>
    <row r="643" spans="1:6">
      <c r="A643" s="3404"/>
      <c r="B643" s="2956" t="s">
        <v>3136</v>
      </c>
      <c r="C643" s="2941">
        <v>17.89</v>
      </c>
      <c r="D643" s="2957" t="s">
        <v>48</v>
      </c>
      <c r="E643" s="3042">
        <f t="shared" ca="1" si="80"/>
        <v>7417</v>
      </c>
      <c r="F643" s="3041">
        <f t="shared" ca="1" si="79"/>
        <v>13.27</v>
      </c>
    </row>
    <row r="644" spans="1:6">
      <c r="A644" s="3404"/>
      <c r="B644" s="2956" t="s">
        <v>3137</v>
      </c>
      <c r="C644" s="2941">
        <v>17.89</v>
      </c>
      <c r="D644" s="2957" t="s">
        <v>48</v>
      </c>
      <c r="E644" s="3042">
        <f t="shared" ca="1" si="80"/>
        <v>7417</v>
      </c>
      <c r="F644" s="3041">
        <f t="shared" ca="1" si="79"/>
        <v>13.27</v>
      </c>
    </row>
    <row r="645" spans="1:6">
      <c r="A645" s="3404"/>
      <c r="B645" s="2956" t="s">
        <v>3138</v>
      </c>
      <c r="C645" s="2941">
        <v>17.89</v>
      </c>
      <c r="D645" s="2957" t="s">
        <v>48</v>
      </c>
      <c r="E645" s="3042">
        <f t="shared" ca="1" si="80"/>
        <v>7417</v>
      </c>
      <c r="F645" s="3041">
        <f t="shared" ca="1" si="79"/>
        <v>13.27</v>
      </c>
    </row>
    <row r="646" spans="1:6">
      <c r="A646" s="3404"/>
      <c r="B646" s="2956" t="s">
        <v>3139</v>
      </c>
      <c r="C646" s="2941">
        <v>17.89</v>
      </c>
      <c r="D646" s="2957" t="s">
        <v>48</v>
      </c>
      <c r="E646" s="3042">
        <f t="shared" ca="1" si="80"/>
        <v>7417</v>
      </c>
      <c r="F646" s="3041">
        <f t="shared" ca="1" si="79"/>
        <v>13.27</v>
      </c>
    </row>
    <row r="647" spans="1:6">
      <c r="A647" s="3404"/>
      <c r="B647" s="2956" t="s">
        <v>3140</v>
      </c>
      <c r="C647" s="2941">
        <v>17.89</v>
      </c>
      <c r="D647" s="2957" t="s">
        <v>48</v>
      </c>
      <c r="E647" s="3042">
        <f t="shared" ca="1" si="80"/>
        <v>7417</v>
      </c>
      <c r="F647" s="3041">
        <f t="shared" ca="1" si="79"/>
        <v>13.27</v>
      </c>
    </row>
    <row r="648" spans="1:6">
      <c r="A648" s="3404"/>
      <c r="B648" s="2956" t="s">
        <v>3141</v>
      </c>
      <c r="C648" s="2941">
        <v>17.89</v>
      </c>
      <c r="D648" s="2957" t="s">
        <v>48</v>
      </c>
      <c r="E648" s="3042">
        <f t="shared" ca="1" si="80"/>
        <v>7417</v>
      </c>
      <c r="F648" s="3041">
        <f t="shared" ca="1" si="79"/>
        <v>13.27</v>
      </c>
    </row>
    <row r="649" spans="1:6">
      <c r="A649" s="3404"/>
      <c r="B649" s="2956" t="s">
        <v>3142</v>
      </c>
      <c r="C649" s="2941">
        <v>17.89</v>
      </c>
      <c r="D649" s="2957" t="s">
        <v>48</v>
      </c>
      <c r="E649" s="3042">
        <f t="shared" ca="1" si="80"/>
        <v>7417</v>
      </c>
      <c r="F649" s="3041">
        <f t="shared" ref="F649:F664" ca="1" si="81">ROUND(C649*E649/10000,2)</f>
        <v>13.27</v>
      </c>
    </row>
    <row r="650" spans="1:6">
      <c r="A650" s="3404"/>
      <c r="B650" s="2956" t="s">
        <v>3143</v>
      </c>
      <c r="C650" s="2941">
        <v>17.89</v>
      </c>
      <c r="D650" s="2957" t="s">
        <v>48</v>
      </c>
      <c r="E650" s="3042">
        <f t="shared" ref="E650:E664" ca="1" si="82">E649</f>
        <v>7417</v>
      </c>
      <c r="F650" s="3041">
        <f t="shared" ca="1" si="81"/>
        <v>13.27</v>
      </c>
    </row>
    <row r="651" spans="1:6">
      <c r="A651" s="3404"/>
      <c r="B651" s="2956" t="s">
        <v>3144</v>
      </c>
      <c r="C651" s="2941">
        <v>17.89</v>
      </c>
      <c r="D651" s="2957" t="s">
        <v>48</v>
      </c>
      <c r="E651" s="3042">
        <f t="shared" ca="1" si="82"/>
        <v>7417</v>
      </c>
      <c r="F651" s="3041">
        <f t="shared" ca="1" si="81"/>
        <v>13.27</v>
      </c>
    </row>
    <row r="652" spans="1:6">
      <c r="A652" s="3404"/>
      <c r="B652" s="2956" t="s">
        <v>3145</v>
      </c>
      <c r="C652" s="2941">
        <v>17.89</v>
      </c>
      <c r="D652" s="2957" t="s">
        <v>48</v>
      </c>
      <c r="E652" s="3042">
        <f t="shared" ca="1" si="82"/>
        <v>7417</v>
      </c>
      <c r="F652" s="3041">
        <f t="shared" ca="1" si="81"/>
        <v>13.27</v>
      </c>
    </row>
    <row r="653" spans="1:6">
      <c r="A653" s="3404"/>
      <c r="B653" s="2956" t="s">
        <v>3146</v>
      </c>
      <c r="C653" s="2941">
        <v>17.89</v>
      </c>
      <c r="D653" s="2957" t="s">
        <v>48</v>
      </c>
      <c r="E653" s="3042">
        <f t="shared" ca="1" si="82"/>
        <v>7417</v>
      </c>
      <c r="F653" s="3041">
        <f t="shared" ca="1" si="81"/>
        <v>13.27</v>
      </c>
    </row>
    <row r="654" spans="1:6">
      <c r="A654" s="3404"/>
      <c r="B654" s="2956" t="s">
        <v>3147</v>
      </c>
      <c r="C654" s="2941">
        <v>17.89</v>
      </c>
      <c r="D654" s="2957" t="s">
        <v>48</v>
      </c>
      <c r="E654" s="3042">
        <f t="shared" ca="1" si="82"/>
        <v>7417</v>
      </c>
      <c r="F654" s="3041">
        <f t="shared" ca="1" si="81"/>
        <v>13.27</v>
      </c>
    </row>
    <row r="655" spans="1:6">
      <c r="A655" s="3404"/>
      <c r="B655" s="2956" t="s">
        <v>3148</v>
      </c>
      <c r="C655" s="2941">
        <v>17.89</v>
      </c>
      <c r="D655" s="2957" t="s">
        <v>48</v>
      </c>
      <c r="E655" s="3042">
        <f t="shared" ca="1" si="82"/>
        <v>7417</v>
      </c>
      <c r="F655" s="3041">
        <f t="shared" ca="1" si="81"/>
        <v>13.27</v>
      </c>
    </row>
    <row r="656" spans="1:6">
      <c r="A656" s="3404"/>
      <c r="B656" s="2956" t="s">
        <v>3149</v>
      </c>
      <c r="C656" s="2941">
        <v>17.89</v>
      </c>
      <c r="D656" s="2957" t="s">
        <v>48</v>
      </c>
      <c r="E656" s="3042">
        <f t="shared" ca="1" si="82"/>
        <v>7417</v>
      </c>
      <c r="F656" s="3041">
        <f t="shared" ca="1" si="81"/>
        <v>13.27</v>
      </c>
    </row>
    <row r="657" spans="1:6">
      <c r="A657" s="3404"/>
      <c r="B657" s="2956" t="s">
        <v>3150</v>
      </c>
      <c r="C657" s="2941">
        <v>17.89</v>
      </c>
      <c r="D657" s="2957" t="s">
        <v>48</v>
      </c>
      <c r="E657" s="3042">
        <f t="shared" ca="1" si="82"/>
        <v>7417</v>
      </c>
      <c r="F657" s="3041">
        <f t="shared" ca="1" si="81"/>
        <v>13.27</v>
      </c>
    </row>
    <row r="658" spans="1:6">
      <c r="A658" s="3404"/>
      <c r="B658" s="2956" t="s">
        <v>3151</v>
      </c>
      <c r="C658" s="2941">
        <v>17.89</v>
      </c>
      <c r="D658" s="2957" t="s">
        <v>48</v>
      </c>
      <c r="E658" s="3042">
        <f t="shared" ca="1" si="82"/>
        <v>7417</v>
      </c>
      <c r="F658" s="3041">
        <f t="shared" ca="1" si="81"/>
        <v>13.27</v>
      </c>
    </row>
    <row r="659" spans="1:6">
      <c r="A659" s="3404"/>
      <c r="B659" s="2956" t="s">
        <v>3152</v>
      </c>
      <c r="C659" s="2941">
        <v>17.89</v>
      </c>
      <c r="D659" s="2957" t="s">
        <v>48</v>
      </c>
      <c r="E659" s="3042">
        <f t="shared" ca="1" si="82"/>
        <v>7417</v>
      </c>
      <c r="F659" s="3041">
        <f t="shared" ca="1" si="81"/>
        <v>13.27</v>
      </c>
    </row>
    <row r="660" spans="1:6">
      <c r="A660" s="3404"/>
      <c r="B660" s="2956" t="s">
        <v>3153</v>
      </c>
      <c r="C660" s="2941">
        <v>17.89</v>
      </c>
      <c r="D660" s="2957" t="s">
        <v>48</v>
      </c>
      <c r="E660" s="3042">
        <f t="shared" ca="1" si="82"/>
        <v>7417</v>
      </c>
      <c r="F660" s="3041">
        <f t="shared" ca="1" si="81"/>
        <v>13.27</v>
      </c>
    </row>
    <row r="661" spans="1:6">
      <c r="A661" s="3404"/>
      <c r="B661" s="2956" t="s">
        <v>3154</v>
      </c>
      <c r="C661" s="2941">
        <v>17.89</v>
      </c>
      <c r="D661" s="2957" t="s">
        <v>48</v>
      </c>
      <c r="E661" s="3042">
        <f t="shared" ca="1" si="82"/>
        <v>7417</v>
      </c>
      <c r="F661" s="3041">
        <f t="shared" ca="1" si="81"/>
        <v>13.27</v>
      </c>
    </row>
    <row r="662" spans="1:6">
      <c r="A662" s="3404"/>
      <c r="B662" s="2956" t="s">
        <v>3155</v>
      </c>
      <c r="C662" s="2941">
        <v>17.89</v>
      </c>
      <c r="D662" s="2957" t="s">
        <v>48</v>
      </c>
      <c r="E662" s="3042">
        <f t="shared" ca="1" si="82"/>
        <v>7417</v>
      </c>
      <c r="F662" s="3041">
        <f t="shared" ca="1" si="81"/>
        <v>13.27</v>
      </c>
    </row>
    <row r="663" spans="1:6">
      <c r="A663" s="3404"/>
      <c r="B663" s="2956" t="s">
        <v>3156</v>
      </c>
      <c r="C663" s="2941">
        <v>17.89</v>
      </c>
      <c r="D663" s="2957" t="s">
        <v>48</v>
      </c>
      <c r="E663" s="3042">
        <f t="shared" ca="1" si="82"/>
        <v>7417</v>
      </c>
      <c r="F663" s="3041">
        <f t="shared" ca="1" si="81"/>
        <v>13.27</v>
      </c>
    </row>
    <row r="664" spans="1:6">
      <c r="A664" s="3404"/>
      <c r="B664" s="2956" t="s">
        <v>3157</v>
      </c>
      <c r="C664" s="2941">
        <v>17.89</v>
      </c>
      <c r="D664" s="2957" t="s">
        <v>48</v>
      </c>
      <c r="E664" s="3042">
        <f t="shared" ca="1" si="82"/>
        <v>7417</v>
      </c>
      <c r="F664" s="3041">
        <f t="shared" ca="1" si="81"/>
        <v>13.27</v>
      </c>
    </row>
    <row r="665" spans="1:6">
      <c r="A665" s="3392" t="s">
        <v>40</v>
      </c>
      <c r="B665" s="3392"/>
      <c r="C665" s="2955">
        <f>SUM(C584:C664)</f>
        <v>1446.2400000000016</v>
      </c>
      <c r="D665" s="2959" t="s">
        <v>48</v>
      </c>
      <c r="E665" s="3042"/>
      <c r="F665" s="3041">
        <f ca="1">SUM(F584:F664)</f>
        <v>1072.7399999999991</v>
      </c>
    </row>
    <row r="666" spans="1:6">
      <c r="A666" s="3391" t="s">
        <v>3177</v>
      </c>
      <c r="B666" s="3391"/>
      <c r="C666" s="2947">
        <f>C665+C583</f>
        <v>1687.4900000000016</v>
      </c>
      <c r="D666" s="2948" t="s">
        <v>3178</v>
      </c>
      <c r="E666" s="3042"/>
      <c r="F666" s="3042">
        <f ca="1">F583+F665</f>
        <v>1493.7399999999991</v>
      </c>
    </row>
    <row r="667" spans="1:6">
      <c r="A667" s="2938" t="s">
        <v>3072</v>
      </c>
      <c r="B667" s="2938" t="s">
        <v>3073</v>
      </c>
      <c r="C667" s="2938" t="s">
        <v>3074</v>
      </c>
      <c r="D667" s="2938" t="s">
        <v>1375</v>
      </c>
      <c r="E667" s="3042"/>
      <c r="F667" s="3042"/>
    </row>
    <row r="668" spans="1:6">
      <c r="A668" s="3387" t="s">
        <v>3179</v>
      </c>
      <c r="B668" s="2960">
        <v>-112</v>
      </c>
      <c r="C668" s="2941">
        <v>169.49</v>
      </c>
      <c r="D668" s="2960" t="s">
        <v>1377</v>
      </c>
      <c r="E668" s="3042">
        <f ca="1">J42</f>
        <v>17455</v>
      </c>
      <c r="F668" s="3041">
        <f t="shared" ref="F668" ca="1" si="83">ROUND(C668*E668/10000,0)</f>
        <v>296</v>
      </c>
    </row>
    <row r="669" spans="1:6" s="3044" customFormat="1">
      <c r="A669" s="3389"/>
      <c r="B669" s="3048">
        <v>-123</v>
      </c>
      <c r="C669" s="3049">
        <v>185.99</v>
      </c>
      <c r="D669" s="3048" t="s">
        <v>1377</v>
      </c>
      <c r="E669" s="3047">
        <f ca="1">ROUND(F669*10000/C669,0)</f>
        <v>17420</v>
      </c>
      <c r="F669" s="3047">
        <f ca="1">M35-M30</f>
        <v>324</v>
      </c>
    </row>
    <row r="670" spans="1:6">
      <c r="A670" s="3397" t="s">
        <v>40</v>
      </c>
      <c r="B670" s="3405"/>
      <c r="C670" s="2942">
        <f>SUM(C668:C669)</f>
        <v>355.48</v>
      </c>
      <c r="D670" s="2942" t="s">
        <v>1377</v>
      </c>
      <c r="E670" s="3042"/>
      <c r="F670" s="3042">
        <f ca="1">F668+F669</f>
        <v>620</v>
      </c>
    </row>
    <row r="671" spans="1:6">
      <c r="A671" s="3393" t="s">
        <v>3179</v>
      </c>
      <c r="B671" s="2943" t="s">
        <v>3075</v>
      </c>
      <c r="C671" s="2941">
        <v>18.82</v>
      </c>
      <c r="D671" s="2961" t="s">
        <v>48</v>
      </c>
      <c r="E671" s="3042">
        <f ca="1">'结果表（地下车库）'!I118</f>
        <v>7417</v>
      </c>
      <c r="F671" s="3041">
        <f ca="1">ROUND(C671*E671/10000,2)</f>
        <v>13.96</v>
      </c>
    </row>
    <row r="672" spans="1:6">
      <c r="A672" s="3393"/>
      <c r="B672" s="2943" t="s">
        <v>3076</v>
      </c>
      <c r="C672" s="2941">
        <v>18.82</v>
      </c>
      <c r="D672" s="2961" t="s">
        <v>48</v>
      </c>
      <c r="E672" s="3042">
        <f ca="1">E671</f>
        <v>7417</v>
      </c>
      <c r="F672" s="3041">
        <f t="shared" ref="F672:F735" ca="1" si="84">ROUND(C672*E672/10000,2)</f>
        <v>13.96</v>
      </c>
    </row>
    <row r="673" spans="1:6">
      <c r="A673" s="3393"/>
      <c r="B673" s="2943" t="s">
        <v>3077</v>
      </c>
      <c r="C673" s="2941">
        <v>18.82</v>
      </c>
      <c r="D673" s="2961" t="s">
        <v>48</v>
      </c>
      <c r="E673" s="3042">
        <f t="shared" ref="E673:E736" ca="1" si="85">E672</f>
        <v>7417</v>
      </c>
      <c r="F673" s="3041">
        <f t="shared" ca="1" si="84"/>
        <v>13.96</v>
      </c>
    </row>
    <row r="674" spans="1:6">
      <c r="A674" s="3393"/>
      <c r="B674" s="2943" t="s">
        <v>3078</v>
      </c>
      <c r="C674" s="2941">
        <v>17.190000000000001</v>
      </c>
      <c r="D674" s="2961" t="s">
        <v>48</v>
      </c>
      <c r="E674" s="3042">
        <f t="shared" ca="1" si="85"/>
        <v>7417</v>
      </c>
      <c r="F674" s="3041">
        <f t="shared" ca="1" si="84"/>
        <v>12.75</v>
      </c>
    </row>
    <row r="675" spans="1:6">
      <c r="A675" s="3393"/>
      <c r="B675" s="2943" t="s">
        <v>3079</v>
      </c>
      <c r="C675" s="2941">
        <v>17.190000000000001</v>
      </c>
      <c r="D675" s="2961" t="s">
        <v>48</v>
      </c>
      <c r="E675" s="3042">
        <f t="shared" ca="1" si="85"/>
        <v>7417</v>
      </c>
      <c r="F675" s="3041">
        <f t="shared" ca="1" si="84"/>
        <v>12.75</v>
      </c>
    </row>
    <row r="676" spans="1:6">
      <c r="A676" s="3393"/>
      <c r="B676" s="2943" t="s">
        <v>3080</v>
      </c>
      <c r="C676" s="2941">
        <v>13.38</v>
      </c>
      <c r="D676" s="2961" t="s">
        <v>48</v>
      </c>
      <c r="E676" s="3042">
        <f t="shared" ca="1" si="85"/>
        <v>7417</v>
      </c>
      <c r="F676" s="3041">
        <f t="shared" ca="1" si="84"/>
        <v>9.92</v>
      </c>
    </row>
    <row r="677" spans="1:6">
      <c r="A677" s="3393"/>
      <c r="B677" s="2943" t="s">
        <v>3081</v>
      </c>
      <c r="C677" s="2941">
        <v>17.190000000000001</v>
      </c>
      <c r="D677" s="2961" t="s">
        <v>48</v>
      </c>
      <c r="E677" s="3042">
        <f t="shared" ca="1" si="85"/>
        <v>7417</v>
      </c>
      <c r="F677" s="3041">
        <f t="shared" ca="1" si="84"/>
        <v>12.75</v>
      </c>
    </row>
    <row r="678" spans="1:6">
      <c r="A678" s="3393"/>
      <c r="B678" s="2943" t="s">
        <v>3082</v>
      </c>
      <c r="C678" s="2941">
        <v>17.190000000000001</v>
      </c>
      <c r="D678" s="2961" t="s">
        <v>48</v>
      </c>
      <c r="E678" s="3042">
        <f t="shared" ca="1" si="85"/>
        <v>7417</v>
      </c>
      <c r="F678" s="3041">
        <f t="shared" ca="1" si="84"/>
        <v>12.75</v>
      </c>
    </row>
    <row r="679" spans="1:6">
      <c r="A679" s="3393"/>
      <c r="B679" s="2943" t="s">
        <v>3083</v>
      </c>
      <c r="C679" s="2941">
        <v>17.190000000000001</v>
      </c>
      <c r="D679" s="2961" t="s">
        <v>48</v>
      </c>
      <c r="E679" s="3042">
        <f t="shared" ca="1" si="85"/>
        <v>7417</v>
      </c>
      <c r="F679" s="3041">
        <f t="shared" ca="1" si="84"/>
        <v>12.75</v>
      </c>
    </row>
    <row r="680" spans="1:6">
      <c r="A680" s="3393"/>
      <c r="B680" s="2943" t="s">
        <v>3084</v>
      </c>
      <c r="C680" s="2941">
        <v>13.38</v>
      </c>
      <c r="D680" s="2961" t="s">
        <v>48</v>
      </c>
      <c r="E680" s="3042">
        <f t="shared" ca="1" si="85"/>
        <v>7417</v>
      </c>
      <c r="F680" s="3041">
        <f t="shared" ca="1" si="84"/>
        <v>9.92</v>
      </c>
    </row>
    <row r="681" spans="1:6">
      <c r="A681" s="3393"/>
      <c r="B681" s="2943" t="s">
        <v>3085</v>
      </c>
      <c r="C681" s="2941">
        <v>17.190000000000001</v>
      </c>
      <c r="D681" s="2961" t="s">
        <v>48</v>
      </c>
      <c r="E681" s="3042">
        <f t="shared" ca="1" si="85"/>
        <v>7417</v>
      </c>
      <c r="F681" s="3041">
        <f t="shared" ca="1" si="84"/>
        <v>12.75</v>
      </c>
    </row>
    <row r="682" spans="1:6">
      <c r="A682" s="3393"/>
      <c r="B682" s="2943" t="s">
        <v>3086</v>
      </c>
      <c r="C682" s="2941">
        <v>17.190000000000001</v>
      </c>
      <c r="D682" s="2961" t="s">
        <v>48</v>
      </c>
      <c r="E682" s="3042">
        <f t="shared" ca="1" si="85"/>
        <v>7417</v>
      </c>
      <c r="F682" s="3041">
        <f t="shared" ca="1" si="84"/>
        <v>12.75</v>
      </c>
    </row>
    <row r="683" spans="1:6">
      <c r="A683" s="3393"/>
      <c r="B683" s="2943" t="s">
        <v>3087</v>
      </c>
      <c r="C683" s="2941">
        <v>17.190000000000001</v>
      </c>
      <c r="D683" s="2961" t="s">
        <v>48</v>
      </c>
      <c r="E683" s="3042">
        <f t="shared" ca="1" si="85"/>
        <v>7417</v>
      </c>
      <c r="F683" s="3041">
        <f t="shared" ca="1" si="84"/>
        <v>12.75</v>
      </c>
    </row>
    <row r="684" spans="1:6">
      <c r="A684" s="3393"/>
      <c r="B684" s="2943" t="s">
        <v>3088</v>
      </c>
      <c r="C684" s="2941">
        <v>17.190000000000001</v>
      </c>
      <c r="D684" s="2961" t="s">
        <v>48</v>
      </c>
      <c r="E684" s="3042">
        <f t="shared" ca="1" si="85"/>
        <v>7417</v>
      </c>
      <c r="F684" s="3041">
        <f t="shared" ca="1" si="84"/>
        <v>12.75</v>
      </c>
    </row>
    <row r="685" spans="1:6">
      <c r="A685" s="3393"/>
      <c r="B685" s="2943" t="s">
        <v>3089</v>
      </c>
      <c r="C685" s="2941">
        <v>17.190000000000001</v>
      </c>
      <c r="D685" s="2961" t="s">
        <v>48</v>
      </c>
      <c r="E685" s="3042">
        <f t="shared" ca="1" si="85"/>
        <v>7417</v>
      </c>
      <c r="F685" s="3041">
        <f t="shared" ca="1" si="84"/>
        <v>12.75</v>
      </c>
    </row>
    <row r="686" spans="1:6">
      <c r="A686" s="3393"/>
      <c r="B686" s="2943" t="s">
        <v>3090</v>
      </c>
      <c r="C686" s="2941">
        <v>17.190000000000001</v>
      </c>
      <c r="D686" s="2961" t="s">
        <v>48</v>
      </c>
      <c r="E686" s="3042">
        <f t="shared" ca="1" si="85"/>
        <v>7417</v>
      </c>
      <c r="F686" s="3041">
        <f t="shared" ca="1" si="84"/>
        <v>12.75</v>
      </c>
    </row>
    <row r="687" spans="1:6">
      <c r="A687" s="3393"/>
      <c r="B687" s="2943" t="s">
        <v>3091</v>
      </c>
      <c r="C687" s="2941">
        <v>13.38</v>
      </c>
      <c r="D687" s="2961" t="s">
        <v>48</v>
      </c>
      <c r="E687" s="3042">
        <f t="shared" ca="1" si="85"/>
        <v>7417</v>
      </c>
      <c r="F687" s="3041">
        <f t="shared" ca="1" si="84"/>
        <v>9.92</v>
      </c>
    </row>
    <row r="688" spans="1:6">
      <c r="A688" s="3393"/>
      <c r="B688" s="2943" t="s">
        <v>3092</v>
      </c>
      <c r="C688" s="2941">
        <v>13.38</v>
      </c>
      <c r="D688" s="2961" t="s">
        <v>48</v>
      </c>
      <c r="E688" s="3042">
        <f t="shared" ca="1" si="85"/>
        <v>7417</v>
      </c>
      <c r="F688" s="3041">
        <f t="shared" ca="1" si="84"/>
        <v>9.92</v>
      </c>
    </row>
    <row r="689" spans="1:6">
      <c r="A689" s="3393"/>
      <c r="B689" s="2943" t="s">
        <v>3093</v>
      </c>
      <c r="C689" s="2941">
        <v>17.190000000000001</v>
      </c>
      <c r="D689" s="2961" t="s">
        <v>48</v>
      </c>
      <c r="E689" s="3042">
        <f t="shared" ca="1" si="85"/>
        <v>7417</v>
      </c>
      <c r="F689" s="3041">
        <f t="shared" ca="1" si="84"/>
        <v>12.75</v>
      </c>
    </row>
    <row r="690" spans="1:6">
      <c r="A690" s="3393"/>
      <c r="B690" s="2943" t="s">
        <v>3094</v>
      </c>
      <c r="C690" s="2941">
        <v>17.190000000000001</v>
      </c>
      <c r="D690" s="2961" t="s">
        <v>48</v>
      </c>
      <c r="E690" s="3042">
        <f t="shared" ca="1" si="85"/>
        <v>7417</v>
      </c>
      <c r="F690" s="3041">
        <f t="shared" ca="1" si="84"/>
        <v>12.75</v>
      </c>
    </row>
    <row r="691" spans="1:6">
      <c r="A691" s="3393"/>
      <c r="B691" s="2943" t="s">
        <v>3095</v>
      </c>
      <c r="C691" s="2941">
        <v>17.190000000000001</v>
      </c>
      <c r="D691" s="2961" t="s">
        <v>48</v>
      </c>
      <c r="E691" s="3042">
        <f t="shared" ca="1" si="85"/>
        <v>7417</v>
      </c>
      <c r="F691" s="3041">
        <f t="shared" ca="1" si="84"/>
        <v>12.75</v>
      </c>
    </row>
    <row r="692" spans="1:6">
      <c r="A692" s="3393"/>
      <c r="B692" s="2943" t="s">
        <v>3096</v>
      </c>
      <c r="C692" s="2941">
        <v>17.190000000000001</v>
      </c>
      <c r="D692" s="2961" t="s">
        <v>48</v>
      </c>
      <c r="E692" s="3042">
        <f t="shared" ca="1" si="85"/>
        <v>7417</v>
      </c>
      <c r="F692" s="3041">
        <f t="shared" ca="1" si="84"/>
        <v>12.75</v>
      </c>
    </row>
    <row r="693" spans="1:6">
      <c r="A693" s="3393"/>
      <c r="B693" s="2943" t="s">
        <v>3097</v>
      </c>
      <c r="C693" s="2941">
        <v>17.190000000000001</v>
      </c>
      <c r="D693" s="2961" t="s">
        <v>48</v>
      </c>
      <c r="E693" s="3042">
        <f t="shared" ca="1" si="85"/>
        <v>7417</v>
      </c>
      <c r="F693" s="3041">
        <f t="shared" ca="1" si="84"/>
        <v>12.75</v>
      </c>
    </row>
    <row r="694" spans="1:6">
      <c r="A694" s="3393"/>
      <c r="B694" s="2943" t="s">
        <v>3098</v>
      </c>
      <c r="C694" s="2941">
        <v>17.190000000000001</v>
      </c>
      <c r="D694" s="2961" t="s">
        <v>48</v>
      </c>
      <c r="E694" s="3042">
        <f t="shared" ca="1" si="85"/>
        <v>7417</v>
      </c>
      <c r="F694" s="3041">
        <f t="shared" ca="1" si="84"/>
        <v>12.75</v>
      </c>
    </row>
    <row r="695" spans="1:6">
      <c r="A695" s="3393"/>
      <c r="B695" s="2943" t="s">
        <v>3099</v>
      </c>
      <c r="C695" s="2941">
        <v>17.190000000000001</v>
      </c>
      <c r="D695" s="2961" t="s">
        <v>48</v>
      </c>
      <c r="E695" s="3042">
        <f t="shared" ca="1" si="85"/>
        <v>7417</v>
      </c>
      <c r="F695" s="3041">
        <f t="shared" ca="1" si="84"/>
        <v>12.75</v>
      </c>
    </row>
    <row r="696" spans="1:6">
      <c r="A696" s="3393"/>
      <c r="B696" s="2943" t="s">
        <v>3100</v>
      </c>
      <c r="C696" s="2941">
        <v>17.190000000000001</v>
      </c>
      <c r="D696" s="2961" t="s">
        <v>48</v>
      </c>
      <c r="E696" s="3042">
        <f t="shared" ca="1" si="85"/>
        <v>7417</v>
      </c>
      <c r="F696" s="3041">
        <f t="shared" ca="1" si="84"/>
        <v>12.75</v>
      </c>
    </row>
    <row r="697" spans="1:6">
      <c r="A697" s="3393"/>
      <c r="B697" s="2943" t="s">
        <v>3101</v>
      </c>
      <c r="C697" s="2941">
        <v>17.190000000000001</v>
      </c>
      <c r="D697" s="2961" t="s">
        <v>48</v>
      </c>
      <c r="E697" s="3042">
        <f t="shared" ca="1" si="85"/>
        <v>7417</v>
      </c>
      <c r="F697" s="3041">
        <f t="shared" ca="1" si="84"/>
        <v>12.75</v>
      </c>
    </row>
    <row r="698" spans="1:6">
      <c r="A698" s="3393"/>
      <c r="B698" s="2943" t="s">
        <v>3102</v>
      </c>
      <c r="C698" s="2941">
        <v>17.190000000000001</v>
      </c>
      <c r="D698" s="2961" t="s">
        <v>48</v>
      </c>
      <c r="E698" s="3042">
        <f t="shared" ca="1" si="85"/>
        <v>7417</v>
      </c>
      <c r="F698" s="3041">
        <f t="shared" ca="1" si="84"/>
        <v>12.75</v>
      </c>
    </row>
    <row r="699" spans="1:6">
      <c r="A699" s="3393"/>
      <c r="B699" s="2943" t="s">
        <v>3103</v>
      </c>
      <c r="C699" s="2941">
        <v>17.190000000000001</v>
      </c>
      <c r="D699" s="2961" t="s">
        <v>48</v>
      </c>
      <c r="E699" s="3042">
        <f t="shared" ca="1" si="85"/>
        <v>7417</v>
      </c>
      <c r="F699" s="3041">
        <f t="shared" ca="1" si="84"/>
        <v>12.75</v>
      </c>
    </row>
    <row r="700" spans="1:6">
      <c r="A700" s="3393"/>
      <c r="B700" s="2943" t="s">
        <v>3104</v>
      </c>
      <c r="C700" s="2941">
        <v>17.190000000000001</v>
      </c>
      <c r="D700" s="2961" t="s">
        <v>48</v>
      </c>
      <c r="E700" s="3042">
        <f t="shared" ca="1" si="85"/>
        <v>7417</v>
      </c>
      <c r="F700" s="3041">
        <f t="shared" ca="1" si="84"/>
        <v>12.75</v>
      </c>
    </row>
    <row r="701" spans="1:6">
      <c r="A701" s="3393"/>
      <c r="B701" s="2943" t="s">
        <v>3105</v>
      </c>
      <c r="C701" s="2941">
        <v>17.190000000000001</v>
      </c>
      <c r="D701" s="2961" t="s">
        <v>48</v>
      </c>
      <c r="E701" s="3042">
        <f t="shared" ca="1" si="85"/>
        <v>7417</v>
      </c>
      <c r="F701" s="3041">
        <f t="shared" ca="1" si="84"/>
        <v>12.75</v>
      </c>
    </row>
    <row r="702" spans="1:6">
      <c r="A702" s="3393"/>
      <c r="B702" s="2943" t="s">
        <v>3106</v>
      </c>
      <c r="C702" s="2941">
        <v>17.190000000000001</v>
      </c>
      <c r="D702" s="2961" t="s">
        <v>48</v>
      </c>
      <c r="E702" s="3042">
        <f t="shared" ca="1" si="85"/>
        <v>7417</v>
      </c>
      <c r="F702" s="3041">
        <f t="shared" ca="1" si="84"/>
        <v>12.75</v>
      </c>
    </row>
    <row r="703" spans="1:6">
      <c r="A703" s="3393"/>
      <c r="B703" s="2943" t="s">
        <v>3107</v>
      </c>
      <c r="C703" s="2941">
        <v>17.190000000000001</v>
      </c>
      <c r="D703" s="2961" t="s">
        <v>48</v>
      </c>
      <c r="E703" s="3042">
        <f t="shared" ca="1" si="85"/>
        <v>7417</v>
      </c>
      <c r="F703" s="3041">
        <f t="shared" ca="1" si="84"/>
        <v>12.75</v>
      </c>
    </row>
    <row r="704" spans="1:6">
      <c r="A704" s="3393"/>
      <c r="B704" s="2943" t="s">
        <v>3108</v>
      </c>
      <c r="C704" s="2941">
        <v>17.190000000000001</v>
      </c>
      <c r="D704" s="2961" t="s">
        <v>48</v>
      </c>
      <c r="E704" s="3042">
        <f t="shared" ca="1" si="85"/>
        <v>7417</v>
      </c>
      <c r="F704" s="3041">
        <f t="shared" ca="1" si="84"/>
        <v>12.75</v>
      </c>
    </row>
    <row r="705" spans="1:6">
      <c r="A705" s="3393"/>
      <c r="B705" s="2943" t="s">
        <v>3109</v>
      </c>
      <c r="C705" s="2941">
        <v>17.190000000000001</v>
      </c>
      <c r="D705" s="2961" t="s">
        <v>48</v>
      </c>
      <c r="E705" s="3042">
        <f t="shared" ca="1" si="85"/>
        <v>7417</v>
      </c>
      <c r="F705" s="3041">
        <f t="shared" ca="1" si="84"/>
        <v>12.75</v>
      </c>
    </row>
    <row r="706" spans="1:6">
      <c r="A706" s="3393"/>
      <c r="B706" s="2943" t="s">
        <v>3110</v>
      </c>
      <c r="C706" s="2941">
        <v>17.190000000000001</v>
      </c>
      <c r="D706" s="2961" t="s">
        <v>48</v>
      </c>
      <c r="E706" s="3042">
        <f t="shared" ca="1" si="85"/>
        <v>7417</v>
      </c>
      <c r="F706" s="3041">
        <f t="shared" ca="1" si="84"/>
        <v>12.75</v>
      </c>
    </row>
    <row r="707" spans="1:6">
      <c r="A707" s="3393"/>
      <c r="B707" s="2943" t="s">
        <v>3111</v>
      </c>
      <c r="C707" s="2941">
        <v>17.190000000000001</v>
      </c>
      <c r="D707" s="2961" t="s">
        <v>48</v>
      </c>
      <c r="E707" s="3042">
        <f t="shared" ca="1" si="85"/>
        <v>7417</v>
      </c>
      <c r="F707" s="3041">
        <f t="shared" ca="1" si="84"/>
        <v>12.75</v>
      </c>
    </row>
    <row r="708" spans="1:6">
      <c r="A708" s="3393"/>
      <c r="B708" s="2943" t="s">
        <v>3112</v>
      </c>
      <c r="C708" s="2941">
        <v>17.190000000000001</v>
      </c>
      <c r="D708" s="2961" t="s">
        <v>48</v>
      </c>
      <c r="E708" s="3042">
        <f t="shared" ca="1" si="85"/>
        <v>7417</v>
      </c>
      <c r="F708" s="3041">
        <f t="shared" ca="1" si="84"/>
        <v>12.75</v>
      </c>
    </row>
    <row r="709" spans="1:6">
      <c r="A709" s="3393"/>
      <c r="B709" s="2943" t="s">
        <v>3113</v>
      </c>
      <c r="C709" s="2941">
        <v>17.190000000000001</v>
      </c>
      <c r="D709" s="2961" t="s">
        <v>48</v>
      </c>
      <c r="E709" s="3042">
        <f t="shared" ca="1" si="85"/>
        <v>7417</v>
      </c>
      <c r="F709" s="3041">
        <f t="shared" ca="1" si="84"/>
        <v>12.75</v>
      </c>
    </row>
    <row r="710" spans="1:6">
      <c r="A710" s="3393"/>
      <c r="B710" s="2943" t="s">
        <v>3114</v>
      </c>
      <c r="C710" s="2941">
        <v>17.190000000000001</v>
      </c>
      <c r="D710" s="2961" t="s">
        <v>48</v>
      </c>
      <c r="E710" s="3042">
        <f t="shared" ca="1" si="85"/>
        <v>7417</v>
      </c>
      <c r="F710" s="3041">
        <f t="shared" ca="1" si="84"/>
        <v>12.75</v>
      </c>
    </row>
    <row r="711" spans="1:6">
      <c r="A711" s="3393"/>
      <c r="B711" s="2943" t="s">
        <v>3115</v>
      </c>
      <c r="C711" s="2941">
        <v>17.190000000000001</v>
      </c>
      <c r="D711" s="2961" t="s">
        <v>48</v>
      </c>
      <c r="E711" s="3042">
        <f t="shared" ca="1" si="85"/>
        <v>7417</v>
      </c>
      <c r="F711" s="3041">
        <f t="shared" ca="1" si="84"/>
        <v>12.75</v>
      </c>
    </row>
    <row r="712" spans="1:6">
      <c r="A712" s="3393"/>
      <c r="B712" s="2943" t="s">
        <v>3116</v>
      </c>
      <c r="C712" s="2941">
        <v>17.190000000000001</v>
      </c>
      <c r="D712" s="2961" t="s">
        <v>48</v>
      </c>
      <c r="E712" s="3042">
        <f t="shared" ca="1" si="85"/>
        <v>7417</v>
      </c>
      <c r="F712" s="3041">
        <f t="shared" ca="1" si="84"/>
        <v>12.75</v>
      </c>
    </row>
    <row r="713" spans="1:6">
      <c r="A713" s="3393"/>
      <c r="B713" s="2943" t="s">
        <v>3117</v>
      </c>
      <c r="C713" s="2941">
        <v>17.190000000000001</v>
      </c>
      <c r="D713" s="2961" t="s">
        <v>48</v>
      </c>
      <c r="E713" s="3042">
        <f t="shared" ca="1" si="85"/>
        <v>7417</v>
      </c>
      <c r="F713" s="3041">
        <f t="shared" ca="1" si="84"/>
        <v>12.75</v>
      </c>
    </row>
    <row r="714" spans="1:6">
      <c r="A714" s="3393"/>
      <c r="B714" s="2943" t="s">
        <v>3118</v>
      </c>
      <c r="C714" s="2941">
        <v>17.190000000000001</v>
      </c>
      <c r="D714" s="2961" t="s">
        <v>48</v>
      </c>
      <c r="E714" s="3042">
        <f t="shared" ca="1" si="85"/>
        <v>7417</v>
      </c>
      <c r="F714" s="3041">
        <f t="shared" ca="1" si="84"/>
        <v>12.75</v>
      </c>
    </row>
    <row r="715" spans="1:6">
      <c r="A715" s="3393"/>
      <c r="B715" s="2943" t="s">
        <v>3119</v>
      </c>
      <c r="C715" s="2941">
        <v>17.190000000000001</v>
      </c>
      <c r="D715" s="2961" t="s">
        <v>48</v>
      </c>
      <c r="E715" s="3042">
        <f t="shared" ca="1" si="85"/>
        <v>7417</v>
      </c>
      <c r="F715" s="3041">
        <f t="shared" ca="1" si="84"/>
        <v>12.75</v>
      </c>
    </row>
    <row r="716" spans="1:6">
      <c r="A716" s="3393"/>
      <c r="B716" s="2943" t="s">
        <v>3120</v>
      </c>
      <c r="C716" s="2941">
        <v>13.38</v>
      </c>
      <c r="D716" s="2961" t="s">
        <v>48</v>
      </c>
      <c r="E716" s="3042">
        <f t="shared" ca="1" si="85"/>
        <v>7417</v>
      </c>
      <c r="F716" s="3041">
        <f t="shared" ca="1" si="84"/>
        <v>9.92</v>
      </c>
    </row>
    <row r="717" spans="1:6">
      <c r="A717" s="3393"/>
      <c r="B717" s="2943" t="s">
        <v>3121</v>
      </c>
      <c r="C717" s="2941">
        <v>17.190000000000001</v>
      </c>
      <c r="D717" s="2961" t="s">
        <v>48</v>
      </c>
      <c r="E717" s="3042">
        <f t="shared" ca="1" si="85"/>
        <v>7417</v>
      </c>
      <c r="F717" s="3041">
        <f t="shared" ca="1" si="84"/>
        <v>12.75</v>
      </c>
    </row>
    <row r="718" spans="1:6">
      <c r="A718" s="3393"/>
      <c r="B718" s="2943" t="s">
        <v>3122</v>
      </c>
      <c r="C718" s="2941">
        <v>17.190000000000001</v>
      </c>
      <c r="D718" s="2961" t="s">
        <v>48</v>
      </c>
      <c r="E718" s="3042">
        <f t="shared" ca="1" si="85"/>
        <v>7417</v>
      </c>
      <c r="F718" s="3041">
        <f t="shared" ca="1" si="84"/>
        <v>12.75</v>
      </c>
    </row>
    <row r="719" spans="1:6">
      <c r="A719" s="3393"/>
      <c r="B719" s="2943" t="s">
        <v>3123</v>
      </c>
      <c r="C719" s="2941">
        <v>17.190000000000001</v>
      </c>
      <c r="D719" s="2961" t="s">
        <v>48</v>
      </c>
      <c r="E719" s="3042">
        <f t="shared" ca="1" si="85"/>
        <v>7417</v>
      </c>
      <c r="F719" s="3041">
        <f t="shared" ca="1" si="84"/>
        <v>12.75</v>
      </c>
    </row>
    <row r="720" spans="1:6">
      <c r="A720" s="3393"/>
      <c r="B720" s="2943" t="s">
        <v>3124</v>
      </c>
      <c r="C720" s="2941">
        <v>17.190000000000001</v>
      </c>
      <c r="D720" s="2961" t="s">
        <v>48</v>
      </c>
      <c r="E720" s="3042">
        <f t="shared" ca="1" si="85"/>
        <v>7417</v>
      </c>
      <c r="F720" s="3041">
        <f t="shared" ca="1" si="84"/>
        <v>12.75</v>
      </c>
    </row>
    <row r="721" spans="1:6">
      <c r="A721" s="3393"/>
      <c r="B721" s="2943" t="s">
        <v>3125</v>
      </c>
      <c r="C721" s="2941">
        <v>17.190000000000001</v>
      </c>
      <c r="D721" s="2961" t="s">
        <v>48</v>
      </c>
      <c r="E721" s="3042">
        <f t="shared" ca="1" si="85"/>
        <v>7417</v>
      </c>
      <c r="F721" s="3041">
        <f t="shared" ca="1" si="84"/>
        <v>12.75</v>
      </c>
    </row>
    <row r="722" spans="1:6">
      <c r="A722" s="3393"/>
      <c r="B722" s="2943" t="s">
        <v>3126</v>
      </c>
      <c r="C722" s="2941">
        <v>17.190000000000001</v>
      </c>
      <c r="D722" s="2961" t="s">
        <v>48</v>
      </c>
      <c r="E722" s="3042">
        <f t="shared" ca="1" si="85"/>
        <v>7417</v>
      </c>
      <c r="F722" s="3041">
        <f t="shared" ca="1" si="84"/>
        <v>12.75</v>
      </c>
    </row>
    <row r="723" spans="1:6">
      <c r="A723" s="3393"/>
      <c r="B723" s="2943" t="s">
        <v>3127</v>
      </c>
      <c r="C723" s="2941">
        <v>17.190000000000001</v>
      </c>
      <c r="D723" s="2961" t="s">
        <v>48</v>
      </c>
      <c r="E723" s="3042">
        <f t="shared" ca="1" si="85"/>
        <v>7417</v>
      </c>
      <c r="F723" s="3041">
        <f t="shared" ca="1" si="84"/>
        <v>12.75</v>
      </c>
    </row>
    <row r="724" spans="1:6">
      <c r="A724" s="3393"/>
      <c r="B724" s="2943" t="s">
        <v>3128</v>
      </c>
      <c r="C724" s="2941">
        <v>17.190000000000001</v>
      </c>
      <c r="D724" s="2961" t="s">
        <v>48</v>
      </c>
      <c r="E724" s="3042">
        <f t="shared" ca="1" si="85"/>
        <v>7417</v>
      </c>
      <c r="F724" s="3041">
        <f t="shared" ca="1" si="84"/>
        <v>12.75</v>
      </c>
    </row>
    <row r="725" spans="1:6">
      <c r="A725" s="3393"/>
      <c r="B725" s="2943" t="s">
        <v>3129</v>
      </c>
      <c r="C725" s="2941">
        <v>17.190000000000001</v>
      </c>
      <c r="D725" s="2961" t="s">
        <v>48</v>
      </c>
      <c r="E725" s="3042">
        <f t="shared" ca="1" si="85"/>
        <v>7417</v>
      </c>
      <c r="F725" s="3041">
        <f t="shared" ca="1" si="84"/>
        <v>12.75</v>
      </c>
    </row>
    <row r="726" spans="1:6">
      <c r="A726" s="3393"/>
      <c r="B726" s="2943" t="s">
        <v>3130</v>
      </c>
      <c r="C726" s="2941">
        <v>17.190000000000001</v>
      </c>
      <c r="D726" s="2961" t="s">
        <v>48</v>
      </c>
      <c r="E726" s="3042">
        <f t="shared" ca="1" si="85"/>
        <v>7417</v>
      </c>
      <c r="F726" s="3041">
        <f t="shared" ca="1" si="84"/>
        <v>12.75</v>
      </c>
    </row>
    <row r="727" spans="1:6">
      <c r="A727" s="3393"/>
      <c r="B727" s="2943" t="s">
        <v>3131</v>
      </c>
      <c r="C727" s="2941">
        <v>17.190000000000001</v>
      </c>
      <c r="D727" s="2961" t="s">
        <v>48</v>
      </c>
      <c r="E727" s="3042">
        <f t="shared" ca="1" si="85"/>
        <v>7417</v>
      </c>
      <c r="F727" s="3041">
        <f t="shared" ca="1" si="84"/>
        <v>12.75</v>
      </c>
    </row>
    <row r="728" spans="1:6">
      <c r="A728" s="3393"/>
      <c r="B728" s="2943" t="s">
        <v>3132</v>
      </c>
      <c r="C728" s="2941">
        <v>17.190000000000001</v>
      </c>
      <c r="D728" s="2961" t="s">
        <v>48</v>
      </c>
      <c r="E728" s="3042">
        <f t="shared" ca="1" si="85"/>
        <v>7417</v>
      </c>
      <c r="F728" s="3041">
        <f t="shared" ca="1" si="84"/>
        <v>12.75</v>
      </c>
    </row>
    <row r="729" spans="1:6">
      <c r="A729" s="3393"/>
      <c r="B729" s="2943" t="s">
        <v>3133</v>
      </c>
      <c r="C729" s="2941">
        <v>17.190000000000001</v>
      </c>
      <c r="D729" s="2961" t="s">
        <v>48</v>
      </c>
      <c r="E729" s="3042">
        <f t="shared" ca="1" si="85"/>
        <v>7417</v>
      </c>
      <c r="F729" s="3041">
        <f t="shared" ca="1" si="84"/>
        <v>12.75</v>
      </c>
    </row>
    <row r="730" spans="1:6">
      <c r="A730" s="3393"/>
      <c r="B730" s="2943" t="s">
        <v>3134</v>
      </c>
      <c r="C730" s="2941">
        <v>17.190000000000001</v>
      </c>
      <c r="D730" s="2961" t="s">
        <v>48</v>
      </c>
      <c r="E730" s="3042">
        <f t="shared" ca="1" si="85"/>
        <v>7417</v>
      </c>
      <c r="F730" s="3041">
        <f t="shared" ca="1" si="84"/>
        <v>12.75</v>
      </c>
    </row>
    <row r="731" spans="1:6">
      <c r="A731" s="3393"/>
      <c r="B731" s="2943" t="s">
        <v>3135</v>
      </c>
      <c r="C731" s="2941">
        <v>17.190000000000001</v>
      </c>
      <c r="D731" s="2961" t="s">
        <v>48</v>
      </c>
      <c r="E731" s="3042">
        <f t="shared" ca="1" si="85"/>
        <v>7417</v>
      </c>
      <c r="F731" s="3041">
        <f t="shared" ca="1" si="84"/>
        <v>12.75</v>
      </c>
    </row>
    <row r="732" spans="1:6">
      <c r="A732" s="3393"/>
      <c r="B732" s="2943" t="s">
        <v>3136</v>
      </c>
      <c r="C732" s="2941">
        <v>17.190000000000001</v>
      </c>
      <c r="D732" s="2961" t="s">
        <v>48</v>
      </c>
      <c r="E732" s="3042">
        <f t="shared" ca="1" si="85"/>
        <v>7417</v>
      </c>
      <c r="F732" s="3041">
        <f t="shared" ca="1" si="84"/>
        <v>12.75</v>
      </c>
    </row>
    <row r="733" spans="1:6">
      <c r="A733" s="3393"/>
      <c r="B733" s="2943" t="s">
        <v>3137</v>
      </c>
      <c r="C733" s="2941">
        <v>17.190000000000001</v>
      </c>
      <c r="D733" s="2961" t="s">
        <v>48</v>
      </c>
      <c r="E733" s="3042">
        <f t="shared" ca="1" si="85"/>
        <v>7417</v>
      </c>
      <c r="F733" s="3041">
        <f t="shared" ca="1" si="84"/>
        <v>12.75</v>
      </c>
    </row>
    <row r="734" spans="1:6">
      <c r="A734" s="3393"/>
      <c r="B734" s="2943" t="s">
        <v>3138</v>
      </c>
      <c r="C734" s="2941">
        <v>13.38</v>
      </c>
      <c r="D734" s="2961" t="s">
        <v>48</v>
      </c>
      <c r="E734" s="3042">
        <f t="shared" ca="1" si="85"/>
        <v>7417</v>
      </c>
      <c r="F734" s="3041">
        <f t="shared" ca="1" si="84"/>
        <v>9.92</v>
      </c>
    </row>
    <row r="735" spans="1:6">
      <c r="A735" s="3393"/>
      <c r="B735" s="2943" t="s">
        <v>3139</v>
      </c>
      <c r="C735" s="2941">
        <v>17.190000000000001</v>
      </c>
      <c r="D735" s="2961" t="s">
        <v>48</v>
      </c>
      <c r="E735" s="3042">
        <f t="shared" ca="1" si="85"/>
        <v>7417</v>
      </c>
      <c r="F735" s="3041">
        <f t="shared" ca="1" si="84"/>
        <v>12.75</v>
      </c>
    </row>
    <row r="736" spans="1:6">
      <c r="A736" s="3393"/>
      <c r="B736" s="2943" t="s">
        <v>3140</v>
      </c>
      <c r="C736" s="2941">
        <v>17.190000000000001</v>
      </c>
      <c r="D736" s="2961" t="s">
        <v>48</v>
      </c>
      <c r="E736" s="3042">
        <f t="shared" ca="1" si="85"/>
        <v>7417</v>
      </c>
      <c r="F736" s="3041">
        <f t="shared" ref="F736:F762" ca="1" si="86">ROUND(C736*E736/10000,2)</f>
        <v>12.75</v>
      </c>
    </row>
    <row r="737" spans="1:6">
      <c r="A737" s="3393"/>
      <c r="B737" s="2943" t="s">
        <v>3141</v>
      </c>
      <c r="C737" s="2941">
        <v>17.190000000000001</v>
      </c>
      <c r="D737" s="2961" t="s">
        <v>48</v>
      </c>
      <c r="E737" s="3042">
        <f t="shared" ref="E737:E762" ca="1" si="87">E736</f>
        <v>7417</v>
      </c>
      <c r="F737" s="3041">
        <f t="shared" ca="1" si="86"/>
        <v>12.75</v>
      </c>
    </row>
    <row r="738" spans="1:6">
      <c r="A738" s="3393"/>
      <c r="B738" s="2943" t="s">
        <v>3142</v>
      </c>
      <c r="C738" s="2941">
        <v>17.190000000000001</v>
      </c>
      <c r="D738" s="2961" t="s">
        <v>48</v>
      </c>
      <c r="E738" s="3042">
        <f t="shared" ca="1" si="87"/>
        <v>7417</v>
      </c>
      <c r="F738" s="3041">
        <f t="shared" ca="1" si="86"/>
        <v>12.75</v>
      </c>
    </row>
    <row r="739" spans="1:6">
      <c r="A739" s="3393"/>
      <c r="B739" s="2943" t="s">
        <v>3143</v>
      </c>
      <c r="C739" s="2941">
        <v>17.190000000000001</v>
      </c>
      <c r="D739" s="2961" t="s">
        <v>48</v>
      </c>
      <c r="E739" s="3042">
        <f t="shared" ca="1" si="87"/>
        <v>7417</v>
      </c>
      <c r="F739" s="3041">
        <f t="shared" ca="1" si="86"/>
        <v>12.75</v>
      </c>
    </row>
    <row r="740" spans="1:6">
      <c r="A740" s="3393"/>
      <c r="B740" s="2943" t="s">
        <v>3144</v>
      </c>
      <c r="C740" s="2941">
        <v>17.190000000000001</v>
      </c>
      <c r="D740" s="2961" t="s">
        <v>48</v>
      </c>
      <c r="E740" s="3042">
        <f t="shared" ca="1" si="87"/>
        <v>7417</v>
      </c>
      <c r="F740" s="3041">
        <f t="shared" ca="1" si="86"/>
        <v>12.75</v>
      </c>
    </row>
    <row r="741" spans="1:6">
      <c r="A741" s="3393"/>
      <c r="B741" s="2943" t="s">
        <v>3145</v>
      </c>
      <c r="C741" s="2941">
        <v>17.190000000000001</v>
      </c>
      <c r="D741" s="2961" t="s">
        <v>48</v>
      </c>
      <c r="E741" s="3042">
        <f t="shared" ca="1" si="87"/>
        <v>7417</v>
      </c>
      <c r="F741" s="3041">
        <f t="shared" ca="1" si="86"/>
        <v>12.75</v>
      </c>
    </row>
    <row r="742" spans="1:6">
      <c r="A742" s="3393"/>
      <c r="B742" s="2943" t="s">
        <v>3146</v>
      </c>
      <c r="C742" s="2941">
        <v>17.190000000000001</v>
      </c>
      <c r="D742" s="2961" t="s">
        <v>48</v>
      </c>
      <c r="E742" s="3042">
        <f t="shared" ca="1" si="87"/>
        <v>7417</v>
      </c>
      <c r="F742" s="3041">
        <f t="shared" ca="1" si="86"/>
        <v>12.75</v>
      </c>
    </row>
    <row r="743" spans="1:6">
      <c r="A743" s="3393"/>
      <c r="B743" s="2943" t="s">
        <v>3147</v>
      </c>
      <c r="C743" s="2941">
        <v>17.190000000000001</v>
      </c>
      <c r="D743" s="2961" t="s">
        <v>48</v>
      </c>
      <c r="E743" s="3042">
        <f t="shared" ca="1" si="87"/>
        <v>7417</v>
      </c>
      <c r="F743" s="3041">
        <f t="shared" ca="1" si="86"/>
        <v>12.75</v>
      </c>
    </row>
    <row r="744" spans="1:6">
      <c r="A744" s="3393"/>
      <c r="B744" s="2943" t="s">
        <v>3148</v>
      </c>
      <c r="C744" s="2941">
        <v>17.190000000000001</v>
      </c>
      <c r="D744" s="2961" t="s">
        <v>48</v>
      </c>
      <c r="E744" s="3042">
        <f t="shared" ca="1" si="87"/>
        <v>7417</v>
      </c>
      <c r="F744" s="3041">
        <f t="shared" ca="1" si="86"/>
        <v>12.75</v>
      </c>
    </row>
    <row r="745" spans="1:6">
      <c r="A745" s="3393"/>
      <c r="B745" s="2943" t="s">
        <v>3149</v>
      </c>
      <c r="C745" s="2941">
        <v>17.190000000000001</v>
      </c>
      <c r="D745" s="2961" t="s">
        <v>48</v>
      </c>
      <c r="E745" s="3042">
        <f t="shared" ca="1" si="87"/>
        <v>7417</v>
      </c>
      <c r="F745" s="3041">
        <f t="shared" ca="1" si="86"/>
        <v>12.75</v>
      </c>
    </row>
    <row r="746" spans="1:6">
      <c r="A746" s="3393"/>
      <c r="B746" s="2943" t="s">
        <v>3150</v>
      </c>
      <c r="C746" s="2941">
        <v>17.190000000000001</v>
      </c>
      <c r="D746" s="2961" t="s">
        <v>48</v>
      </c>
      <c r="E746" s="3042">
        <f t="shared" ca="1" si="87"/>
        <v>7417</v>
      </c>
      <c r="F746" s="3041">
        <f t="shared" ca="1" si="86"/>
        <v>12.75</v>
      </c>
    </row>
    <row r="747" spans="1:6">
      <c r="A747" s="3393"/>
      <c r="B747" s="2943" t="s">
        <v>3151</v>
      </c>
      <c r="C747" s="2941">
        <v>17.190000000000001</v>
      </c>
      <c r="D747" s="2961" t="s">
        <v>48</v>
      </c>
      <c r="E747" s="3042">
        <f t="shared" ca="1" si="87"/>
        <v>7417</v>
      </c>
      <c r="F747" s="3041">
        <f t="shared" ca="1" si="86"/>
        <v>12.75</v>
      </c>
    </row>
    <row r="748" spans="1:6">
      <c r="A748" s="3393"/>
      <c r="B748" s="2943" t="s">
        <v>3152</v>
      </c>
      <c r="C748" s="2941">
        <v>17.190000000000001</v>
      </c>
      <c r="D748" s="2961" t="s">
        <v>48</v>
      </c>
      <c r="E748" s="3042">
        <f t="shared" ca="1" si="87"/>
        <v>7417</v>
      </c>
      <c r="F748" s="3041">
        <f t="shared" ca="1" si="86"/>
        <v>12.75</v>
      </c>
    </row>
    <row r="749" spans="1:6">
      <c r="A749" s="3393"/>
      <c r="B749" s="2943" t="s">
        <v>3153</v>
      </c>
      <c r="C749" s="2941">
        <v>17.190000000000001</v>
      </c>
      <c r="D749" s="2961" t="s">
        <v>48</v>
      </c>
      <c r="E749" s="3042">
        <f t="shared" ca="1" si="87"/>
        <v>7417</v>
      </c>
      <c r="F749" s="3041">
        <f t="shared" ca="1" si="86"/>
        <v>12.75</v>
      </c>
    </row>
    <row r="750" spans="1:6">
      <c r="A750" s="3393"/>
      <c r="B750" s="2943" t="s">
        <v>3154</v>
      </c>
      <c r="C750" s="2941">
        <v>17.190000000000001</v>
      </c>
      <c r="D750" s="2961" t="s">
        <v>48</v>
      </c>
      <c r="E750" s="3042">
        <f t="shared" ca="1" si="87"/>
        <v>7417</v>
      </c>
      <c r="F750" s="3041">
        <f t="shared" ca="1" si="86"/>
        <v>12.75</v>
      </c>
    </row>
    <row r="751" spans="1:6">
      <c r="A751" s="3393"/>
      <c r="B751" s="2943" t="s">
        <v>3155</v>
      </c>
      <c r="C751" s="2941">
        <v>17.190000000000001</v>
      </c>
      <c r="D751" s="2961" t="s">
        <v>48</v>
      </c>
      <c r="E751" s="3042">
        <f t="shared" ca="1" si="87"/>
        <v>7417</v>
      </c>
      <c r="F751" s="3041">
        <f t="shared" ca="1" si="86"/>
        <v>12.75</v>
      </c>
    </row>
    <row r="752" spans="1:6">
      <c r="A752" s="3393"/>
      <c r="B752" s="2943" t="s">
        <v>3156</v>
      </c>
      <c r="C752" s="2941">
        <v>17.190000000000001</v>
      </c>
      <c r="D752" s="2961" t="s">
        <v>48</v>
      </c>
      <c r="E752" s="3042">
        <f t="shared" ca="1" si="87"/>
        <v>7417</v>
      </c>
      <c r="F752" s="3041">
        <f t="shared" ca="1" si="86"/>
        <v>12.75</v>
      </c>
    </row>
    <row r="753" spans="1:6">
      <c r="A753" s="3393"/>
      <c r="B753" s="2943" t="s">
        <v>3157</v>
      </c>
      <c r="C753" s="2941">
        <v>17.190000000000001</v>
      </c>
      <c r="D753" s="2961" t="s">
        <v>48</v>
      </c>
      <c r="E753" s="3042">
        <f t="shared" ca="1" si="87"/>
        <v>7417</v>
      </c>
      <c r="F753" s="3041">
        <f t="shared" ca="1" si="86"/>
        <v>12.75</v>
      </c>
    </row>
    <row r="754" spans="1:6">
      <c r="A754" s="3393"/>
      <c r="B754" s="2943" t="s">
        <v>3158</v>
      </c>
      <c r="C754" s="2941">
        <v>17.190000000000001</v>
      </c>
      <c r="D754" s="2961" t="s">
        <v>48</v>
      </c>
      <c r="E754" s="3042">
        <f t="shared" ca="1" si="87"/>
        <v>7417</v>
      </c>
      <c r="F754" s="3041">
        <f t="shared" ca="1" si="86"/>
        <v>12.75</v>
      </c>
    </row>
    <row r="755" spans="1:6">
      <c r="A755" s="3393"/>
      <c r="B755" s="2943" t="s">
        <v>3159</v>
      </c>
      <c r="C755" s="2941">
        <v>17.190000000000001</v>
      </c>
      <c r="D755" s="2961" t="s">
        <v>48</v>
      </c>
      <c r="E755" s="3042">
        <f t="shared" ca="1" si="87"/>
        <v>7417</v>
      </c>
      <c r="F755" s="3041">
        <f t="shared" ca="1" si="86"/>
        <v>12.75</v>
      </c>
    </row>
    <row r="756" spans="1:6">
      <c r="A756" s="3393"/>
      <c r="B756" s="2943" t="s">
        <v>3160</v>
      </c>
      <c r="C756" s="2941">
        <v>17.190000000000001</v>
      </c>
      <c r="D756" s="2961" t="s">
        <v>48</v>
      </c>
      <c r="E756" s="3042">
        <f t="shared" ca="1" si="87"/>
        <v>7417</v>
      </c>
      <c r="F756" s="3041">
        <f t="shared" ca="1" si="86"/>
        <v>12.75</v>
      </c>
    </row>
    <row r="757" spans="1:6">
      <c r="A757" s="3393"/>
      <c r="B757" s="2943" t="s">
        <v>3161</v>
      </c>
      <c r="C757" s="2941">
        <v>17.190000000000001</v>
      </c>
      <c r="D757" s="2961" t="s">
        <v>48</v>
      </c>
      <c r="E757" s="3042">
        <f t="shared" ca="1" si="87"/>
        <v>7417</v>
      </c>
      <c r="F757" s="3041">
        <f t="shared" ca="1" si="86"/>
        <v>12.75</v>
      </c>
    </row>
    <row r="758" spans="1:6">
      <c r="A758" s="3393"/>
      <c r="B758" s="2943" t="s">
        <v>3162</v>
      </c>
      <c r="C758" s="2941">
        <v>17.190000000000001</v>
      </c>
      <c r="D758" s="2961" t="s">
        <v>48</v>
      </c>
      <c r="E758" s="3042">
        <f t="shared" ca="1" si="87"/>
        <v>7417</v>
      </c>
      <c r="F758" s="3041">
        <f t="shared" ca="1" si="86"/>
        <v>12.75</v>
      </c>
    </row>
    <row r="759" spans="1:6">
      <c r="A759" s="3393"/>
      <c r="B759" s="2943" t="s">
        <v>3163</v>
      </c>
      <c r="C759" s="2941">
        <v>17.190000000000001</v>
      </c>
      <c r="D759" s="2961" t="s">
        <v>48</v>
      </c>
      <c r="E759" s="3042">
        <f t="shared" ca="1" si="87"/>
        <v>7417</v>
      </c>
      <c r="F759" s="3041">
        <f t="shared" ca="1" si="86"/>
        <v>12.75</v>
      </c>
    </row>
    <row r="760" spans="1:6">
      <c r="A760" s="3393"/>
      <c r="B760" s="2943" t="s">
        <v>3164</v>
      </c>
      <c r="C760" s="2941">
        <v>17.190000000000001</v>
      </c>
      <c r="D760" s="2961" t="s">
        <v>48</v>
      </c>
      <c r="E760" s="3042">
        <f t="shared" ca="1" si="87"/>
        <v>7417</v>
      </c>
      <c r="F760" s="3041">
        <f t="shared" ca="1" si="86"/>
        <v>12.75</v>
      </c>
    </row>
    <row r="761" spans="1:6">
      <c r="A761" s="3393"/>
      <c r="B761" s="2943" t="s">
        <v>3165</v>
      </c>
      <c r="C761" s="2941">
        <v>17.190000000000001</v>
      </c>
      <c r="D761" s="2961" t="s">
        <v>48</v>
      </c>
      <c r="E761" s="3042">
        <f t="shared" ca="1" si="87"/>
        <v>7417</v>
      </c>
      <c r="F761" s="3041">
        <f t="shared" ca="1" si="86"/>
        <v>12.75</v>
      </c>
    </row>
    <row r="762" spans="1:6">
      <c r="A762" s="3393"/>
      <c r="B762" s="2943" t="s">
        <v>3166</v>
      </c>
      <c r="C762" s="2941">
        <v>17.190000000000001</v>
      </c>
      <c r="D762" s="2961" t="s">
        <v>48</v>
      </c>
      <c r="E762" s="3042">
        <f t="shared" ca="1" si="87"/>
        <v>7417</v>
      </c>
      <c r="F762" s="3041">
        <f t="shared" ca="1" si="86"/>
        <v>12.75</v>
      </c>
    </row>
    <row r="763" spans="1:6" s="3044" customFormat="1">
      <c r="A763" s="3393"/>
      <c r="B763" s="3050" t="s">
        <v>3167</v>
      </c>
      <c r="C763" s="3049">
        <v>17.190000000000001</v>
      </c>
      <c r="D763" s="3053" t="s">
        <v>48</v>
      </c>
      <c r="E763" s="3047">
        <f ca="1">ROUND(F763*10000/C763,0)</f>
        <v>7336</v>
      </c>
      <c r="F763" s="3047">
        <f ca="1">N35-N30</f>
        <v>12.610000000001037</v>
      </c>
    </row>
    <row r="764" spans="1:6">
      <c r="A764" s="3390" t="s">
        <v>40</v>
      </c>
      <c r="B764" s="3390"/>
      <c r="C764" s="2942">
        <f>SUM(C671:C763)</f>
        <v>1580.7000000000032</v>
      </c>
      <c r="D764" s="2962" t="s">
        <v>48</v>
      </c>
      <c r="E764" s="3042"/>
      <c r="F764" s="3041">
        <f ca="1">SUM(F671:F763)</f>
        <v>1172.2600000000009</v>
      </c>
    </row>
    <row r="765" spans="1:6">
      <c r="A765" s="3391" t="s">
        <v>3180</v>
      </c>
      <c r="B765" s="3391"/>
      <c r="C765" s="2947">
        <f>C764+C670</f>
        <v>1936.1800000000032</v>
      </c>
      <c r="D765" s="2948" t="s">
        <v>3181</v>
      </c>
      <c r="E765" s="3042"/>
      <c r="F765" s="3042">
        <f ca="1">F670+F764</f>
        <v>1792.2600000000009</v>
      </c>
    </row>
    <row r="766" spans="1:6">
      <c r="A766" s="2938" t="s">
        <v>3072</v>
      </c>
      <c r="B766" s="2938" t="s">
        <v>3073</v>
      </c>
      <c r="C766" s="2938" t="s">
        <v>3074</v>
      </c>
      <c r="D766" s="2938" t="s">
        <v>1375</v>
      </c>
      <c r="E766" s="3042"/>
      <c r="F766" s="3042"/>
    </row>
    <row r="767" spans="1:6">
      <c r="A767" s="3394"/>
      <c r="B767" s="2960"/>
      <c r="C767" s="2941"/>
      <c r="D767" s="2960" t="s">
        <v>1377</v>
      </c>
      <c r="E767" s="3042">
        <f ca="1">'结果表（商业）'!I118</f>
        <v>22832</v>
      </c>
      <c r="F767" s="3041">
        <f t="shared" ref="F767:F768" ca="1" si="88">ROUND(C767*E767/10000,0)</f>
        <v>0</v>
      </c>
    </row>
    <row r="768" spans="1:6" s="2966" customFormat="1">
      <c r="A768" s="3389"/>
      <c r="B768" s="2960"/>
      <c r="C768" s="2941"/>
      <c r="D768" s="2960" t="s">
        <v>1377</v>
      </c>
      <c r="E768" s="3041">
        <f ca="1">E767</f>
        <v>22832</v>
      </c>
      <c r="F768" s="3041">
        <f t="shared" ca="1" si="88"/>
        <v>0</v>
      </c>
    </row>
    <row r="769" spans="1:6">
      <c r="A769" s="3390" t="s">
        <v>40</v>
      </c>
      <c r="B769" s="3390"/>
      <c r="C769" s="2942">
        <f>SUM(C767:C768)</f>
        <v>0</v>
      </c>
      <c r="D769" s="2942" t="s">
        <v>1377</v>
      </c>
      <c r="E769" s="3042"/>
      <c r="F769" s="3042">
        <f ca="1">F767+F768</f>
        <v>0</v>
      </c>
    </row>
    <row r="770" spans="1:6">
      <c r="A770" s="3393"/>
      <c r="B770" s="2943"/>
      <c r="C770" s="2941"/>
      <c r="D770" s="2963" t="s">
        <v>48</v>
      </c>
      <c r="E770" s="3042">
        <f ca="1">'结果表（地下车库）'!I118</f>
        <v>7417</v>
      </c>
      <c r="F770" s="3041">
        <f ca="1">ROUND(C770*E770/10000,2)</f>
        <v>0</v>
      </c>
    </row>
    <row r="771" spans="1:6">
      <c r="A771" s="3393"/>
      <c r="B771" s="2943"/>
      <c r="C771" s="2941"/>
      <c r="D771" s="2963" t="s">
        <v>48</v>
      </c>
      <c r="E771" s="3043">
        <f ca="1">E770</f>
        <v>7417</v>
      </c>
      <c r="F771" s="3041">
        <f t="shared" ref="F771:F821" ca="1" si="89">ROUND(C771*E771/10000,2)</f>
        <v>0</v>
      </c>
    </row>
    <row r="772" spans="1:6">
      <c r="A772" s="3393"/>
      <c r="B772" s="2943"/>
      <c r="C772" s="2941"/>
      <c r="D772" s="2963" t="s">
        <v>48</v>
      </c>
      <c r="E772" s="3043">
        <f t="shared" ref="E772:E820" ca="1" si="90">E771</f>
        <v>7417</v>
      </c>
      <c r="F772" s="3041">
        <f t="shared" ca="1" si="89"/>
        <v>0</v>
      </c>
    </row>
    <row r="773" spans="1:6">
      <c r="A773" s="3393"/>
      <c r="B773" s="2943"/>
      <c r="C773" s="2941"/>
      <c r="D773" s="2963" t="s">
        <v>48</v>
      </c>
      <c r="E773" s="3043">
        <f t="shared" ca="1" si="90"/>
        <v>7417</v>
      </c>
      <c r="F773" s="3041">
        <f t="shared" ca="1" si="89"/>
        <v>0</v>
      </c>
    </row>
    <row r="774" spans="1:6">
      <c r="A774" s="3393"/>
      <c r="B774" s="2943"/>
      <c r="C774" s="2941"/>
      <c r="D774" s="2963" t="s">
        <v>48</v>
      </c>
      <c r="E774" s="3043">
        <f t="shared" ca="1" si="90"/>
        <v>7417</v>
      </c>
      <c r="F774" s="3041">
        <f t="shared" ca="1" si="89"/>
        <v>0</v>
      </c>
    </row>
    <row r="775" spans="1:6">
      <c r="A775" s="3393"/>
      <c r="B775" s="2943"/>
      <c r="C775" s="2941"/>
      <c r="D775" s="2963" t="s">
        <v>48</v>
      </c>
      <c r="E775" s="3043">
        <f t="shared" ca="1" si="90"/>
        <v>7417</v>
      </c>
      <c r="F775" s="3041">
        <f t="shared" ca="1" si="89"/>
        <v>0</v>
      </c>
    </row>
    <row r="776" spans="1:6">
      <c r="A776" s="3393"/>
      <c r="B776" s="2943"/>
      <c r="C776" s="2941"/>
      <c r="D776" s="2963" t="s">
        <v>48</v>
      </c>
      <c r="E776" s="3043">
        <f t="shared" ca="1" si="90"/>
        <v>7417</v>
      </c>
      <c r="F776" s="3041">
        <f t="shared" ca="1" si="89"/>
        <v>0</v>
      </c>
    </row>
    <row r="777" spans="1:6">
      <c r="A777" s="3393"/>
      <c r="B777" s="2943"/>
      <c r="C777" s="2941"/>
      <c r="D777" s="2963" t="s">
        <v>48</v>
      </c>
      <c r="E777" s="3043">
        <f t="shared" ca="1" si="90"/>
        <v>7417</v>
      </c>
      <c r="F777" s="3041">
        <f t="shared" ca="1" si="89"/>
        <v>0</v>
      </c>
    </row>
    <row r="778" spans="1:6">
      <c r="A778" s="3393"/>
      <c r="B778" s="2943"/>
      <c r="C778" s="2941"/>
      <c r="D778" s="2963" t="s">
        <v>48</v>
      </c>
      <c r="E778" s="3043">
        <f t="shared" ca="1" si="90"/>
        <v>7417</v>
      </c>
      <c r="F778" s="3041">
        <f t="shared" ca="1" si="89"/>
        <v>0</v>
      </c>
    </row>
    <row r="779" spans="1:6">
      <c r="A779" s="3393"/>
      <c r="B779" s="2943"/>
      <c r="C779" s="2941"/>
      <c r="D779" s="2963" t="s">
        <v>48</v>
      </c>
      <c r="E779" s="3043">
        <f t="shared" ca="1" si="90"/>
        <v>7417</v>
      </c>
      <c r="F779" s="3041">
        <f t="shared" ca="1" si="89"/>
        <v>0</v>
      </c>
    </row>
    <row r="780" spans="1:6">
      <c r="A780" s="3393"/>
      <c r="B780" s="2943"/>
      <c r="C780" s="2941"/>
      <c r="D780" s="2963" t="s">
        <v>48</v>
      </c>
      <c r="E780" s="3043">
        <f t="shared" ca="1" si="90"/>
        <v>7417</v>
      </c>
      <c r="F780" s="3041">
        <f t="shared" ca="1" si="89"/>
        <v>0</v>
      </c>
    </row>
    <row r="781" spans="1:6">
      <c r="A781" s="3393"/>
      <c r="B781" s="2943"/>
      <c r="C781" s="2941"/>
      <c r="D781" s="2963" t="s">
        <v>48</v>
      </c>
      <c r="E781" s="3043">
        <f t="shared" ca="1" si="90"/>
        <v>7417</v>
      </c>
      <c r="F781" s="3041">
        <f t="shared" ca="1" si="89"/>
        <v>0</v>
      </c>
    </row>
    <row r="782" spans="1:6">
      <c r="A782" s="3393"/>
      <c r="B782" s="2943"/>
      <c r="C782" s="2941"/>
      <c r="D782" s="2963" t="s">
        <v>48</v>
      </c>
      <c r="E782" s="3043">
        <f t="shared" ca="1" si="90"/>
        <v>7417</v>
      </c>
      <c r="F782" s="3041">
        <f t="shared" ca="1" si="89"/>
        <v>0</v>
      </c>
    </row>
    <row r="783" spans="1:6">
      <c r="A783" s="3393"/>
      <c r="B783" s="2943"/>
      <c r="C783" s="2941"/>
      <c r="D783" s="2963" t="s">
        <v>48</v>
      </c>
      <c r="E783" s="3043">
        <f t="shared" ca="1" si="90"/>
        <v>7417</v>
      </c>
      <c r="F783" s="3041">
        <f t="shared" ca="1" si="89"/>
        <v>0</v>
      </c>
    </row>
    <row r="784" spans="1:6">
      <c r="A784" s="3393"/>
      <c r="B784" s="2943"/>
      <c r="C784" s="2941"/>
      <c r="D784" s="2963" t="s">
        <v>48</v>
      </c>
      <c r="E784" s="3043">
        <f t="shared" ca="1" si="90"/>
        <v>7417</v>
      </c>
      <c r="F784" s="3041">
        <f t="shared" ca="1" si="89"/>
        <v>0</v>
      </c>
    </row>
    <row r="785" spans="1:6">
      <c r="A785" s="3393"/>
      <c r="B785" s="2943"/>
      <c r="C785" s="2941"/>
      <c r="D785" s="2963" t="s">
        <v>48</v>
      </c>
      <c r="E785" s="3043">
        <f t="shared" ca="1" si="90"/>
        <v>7417</v>
      </c>
      <c r="F785" s="3041">
        <f t="shared" ca="1" si="89"/>
        <v>0</v>
      </c>
    </row>
    <row r="786" spans="1:6">
      <c r="A786" s="3393"/>
      <c r="B786" s="2943"/>
      <c r="C786" s="2941"/>
      <c r="D786" s="2963" t="s">
        <v>48</v>
      </c>
      <c r="E786" s="3043">
        <f t="shared" ca="1" si="90"/>
        <v>7417</v>
      </c>
      <c r="F786" s="3041">
        <f t="shared" ca="1" si="89"/>
        <v>0</v>
      </c>
    </row>
    <row r="787" spans="1:6">
      <c r="A787" s="3393"/>
      <c r="B787" s="2943"/>
      <c r="C787" s="2941"/>
      <c r="D787" s="2963" t="s">
        <v>48</v>
      </c>
      <c r="E787" s="3043">
        <f t="shared" ca="1" si="90"/>
        <v>7417</v>
      </c>
      <c r="F787" s="3041">
        <f t="shared" ca="1" si="89"/>
        <v>0</v>
      </c>
    </row>
    <row r="788" spans="1:6">
      <c r="A788" s="3393"/>
      <c r="B788" s="2943"/>
      <c r="C788" s="2941"/>
      <c r="D788" s="2963" t="s">
        <v>48</v>
      </c>
      <c r="E788" s="3043">
        <f t="shared" ca="1" si="90"/>
        <v>7417</v>
      </c>
      <c r="F788" s="3041">
        <f t="shared" ca="1" si="89"/>
        <v>0</v>
      </c>
    </row>
    <row r="789" spans="1:6">
      <c r="A789" s="3393"/>
      <c r="B789" s="2943"/>
      <c r="C789" s="2941"/>
      <c r="D789" s="2963" t="s">
        <v>48</v>
      </c>
      <c r="E789" s="3043">
        <f t="shared" ca="1" si="90"/>
        <v>7417</v>
      </c>
      <c r="F789" s="3041">
        <f t="shared" ca="1" si="89"/>
        <v>0</v>
      </c>
    </row>
    <row r="790" spans="1:6">
      <c r="A790" s="3393"/>
      <c r="B790" s="2943"/>
      <c r="C790" s="2941"/>
      <c r="D790" s="2963" t="s">
        <v>48</v>
      </c>
      <c r="E790" s="3043">
        <f t="shared" ca="1" si="90"/>
        <v>7417</v>
      </c>
      <c r="F790" s="3041">
        <f t="shared" ca="1" si="89"/>
        <v>0</v>
      </c>
    </row>
    <row r="791" spans="1:6">
      <c r="A791" s="3393"/>
      <c r="B791" s="2943"/>
      <c r="C791" s="2941"/>
      <c r="D791" s="2963" t="s">
        <v>48</v>
      </c>
      <c r="E791" s="3043">
        <f t="shared" ca="1" si="90"/>
        <v>7417</v>
      </c>
      <c r="F791" s="3041">
        <f t="shared" ca="1" si="89"/>
        <v>0</v>
      </c>
    </row>
    <row r="792" spans="1:6">
      <c r="A792" s="3393"/>
      <c r="B792" s="2943"/>
      <c r="C792" s="2941"/>
      <c r="D792" s="2963" t="s">
        <v>48</v>
      </c>
      <c r="E792" s="3043">
        <f t="shared" ca="1" si="90"/>
        <v>7417</v>
      </c>
      <c r="F792" s="3041">
        <f t="shared" ca="1" si="89"/>
        <v>0</v>
      </c>
    </row>
    <row r="793" spans="1:6">
      <c r="A793" s="3393"/>
      <c r="B793" s="2943"/>
      <c r="C793" s="2941"/>
      <c r="D793" s="2963" t="s">
        <v>48</v>
      </c>
      <c r="E793" s="3043">
        <f t="shared" ca="1" si="90"/>
        <v>7417</v>
      </c>
      <c r="F793" s="3041">
        <f t="shared" ca="1" si="89"/>
        <v>0</v>
      </c>
    </row>
    <row r="794" spans="1:6">
      <c r="A794" s="3393"/>
      <c r="B794" s="2943"/>
      <c r="C794" s="2941"/>
      <c r="D794" s="2963" t="s">
        <v>48</v>
      </c>
      <c r="E794" s="3043">
        <f t="shared" ca="1" si="90"/>
        <v>7417</v>
      </c>
      <c r="F794" s="3041">
        <f t="shared" ca="1" si="89"/>
        <v>0</v>
      </c>
    </row>
    <row r="795" spans="1:6">
      <c r="A795" s="3393"/>
      <c r="B795" s="2943"/>
      <c r="C795" s="2941"/>
      <c r="D795" s="2963" t="s">
        <v>48</v>
      </c>
      <c r="E795" s="3043">
        <f t="shared" ca="1" si="90"/>
        <v>7417</v>
      </c>
      <c r="F795" s="3041">
        <f t="shared" ca="1" si="89"/>
        <v>0</v>
      </c>
    </row>
    <row r="796" spans="1:6">
      <c r="A796" s="3393"/>
      <c r="B796" s="2943"/>
      <c r="C796" s="2941"/>
      <c r="D796" s="2963" t="s">
        <v>48</v>
      </c>
      <c r="E796" s="3043">
        <f t="shared" ca="1" si="90"/>
        <v>7417</v>
      </c>
      <c r="F796" s="3041">
        <f t="shared" ca="1" si="89"/>
        <v>0</v>
      </c>
    </row>
    <row r="797" spans="1:6">
      <c r="A797" s="3393"/>
      <c r="B797" s="2943"/>
      <c r="C797" s="2941"/>
      <c r="D797" s="2963" t="s">
        <v>48</v>
      </c>
      <c r="E797" s="3043">
        <f t="shared" ca="1" si="90"/>
        <v>7417</v>
      </c>
      <c r="F797" s="3041">
        <f t="shared" ca="1" si="89"/>
        <v>0</v>
      </c>
    </row>
    <row r="798" spans="1:6">
      <c r="A798" s="3393"/>
      <c r="B798" s="2943"/>
      <c r="C798" s="2941"/>
      <c r="D798" s="2963" t="s">
        <v>48</v>
      </c>
      <c r="E798" s="3043">
        <f t="shared" ca="1" si="90"/>
        <v>7417</v>
      </c>
      <c r="F798" s="3041">
        <f t="shared" ca="1" si="89"/>
        <v>0</v>
      </c>
    </row>
    <row r="799" spans="1:6">
      <c r="A799" s="3393"/>
      <c r="B799" s="2943"/>
      <c r="C799" s="2941"/>
      <c r="D799" s="2963" t="s">
        <v>48</v>
      </c>
      <c r="E799" s="3043">
        <f t="shared" ca="1" si="90"/>
        <v>7417</v>
      </c>
      <c r="F799" s="3041">
        <f t="shared" ca="1" si="89"/>
        <v>0</v>
      </c>
    </row>
    <row r="800" spans="1:6">
      <c r="A800" s="3393"/>
      <c r="B800" s="2943"/>
      <c r="C800" s="2941"/>
      <c r="D800" s="2963" t="s">
        <v>48</v>
      </c>
      <c r="E800" s="3043">
        <f t="shared" ca="1" si="90"/>
        <v>7417</v>
      </c>
      <c r="F800" s="3041">
        <f t="shared" ca="1" si="89"/>
        <v>0</v>
      </c>
    </row>
    <row r="801" spans="1:6">
      <c r="A801" s="3393"/>
      <c r="B801" s="2943"/>
      <c r="C801" s="2941"/>
      <c r="D801" s="2963" t="s">
        <v>48</v>
      </c>
      <c r="E801" s="3043">
        <f t="shared" ca="1" si="90"/>
        <v>7417</v>
      </c>
      <c r="F801" s="3041">
        <f t="shared" ca="1" si="89"/>
        <v>0</v>
      </c>
    </row>
    <row r="802" spans="1:6">
      <c r="A802" s="3393"/>
      <c r="B802" s="2943"/>
      <c r="C802" s="2941"/>
      <c r="D802" s="2963" t="s">
        <v>48</v>
      </c>
      <c r="E802" s="3043">
        <f t="shared" ca="1" si="90"/>
        <v>7417</v>
      </c>
      <c r="F802" s="3041">
        <f t="shared" ca="1" si="89"/>
        <v>0</v>
      </c>
    </row>
    <row r="803" spans="1:6">
      <c r="A803" s="3393"/>
      <c r="B803" s="2943"/>
      <c r="C803" s="2941"/>
      <c r="D803" s="2963" t="s">
        <v>48</v>
      </c>
      <c r="E803" s="3043">
        <f t="shared" ca="1" si="90"/>
        <v>7417</v>
      </c>
      <c r="F803" s="3041">
        <f t="shared" ca="1" si="89"/>
        <v>0</v>
      </c>
    </row>
    <row r="804" spans="1:6">
      <c r="A804" s="3393"/>
      <c r="B804" s="2943"/>
      <c r="C804" s="2941"/>
      <c r="D804" s="2963" t="s">
        <v>48</v>
      </c>
      <c r="E804" s="3043">
        <f t="shared" ca="1" si="90"/>
        <v>7417</v>
      </c>
      <c r="F804" s="3041">
        <f t="shared" ca="1" si="89"/>
        <v>0</v>
      </c>
    </row>
    <row r="805" spans="1:6">
      <c r="A805" s="3393"/>
      <c r="B805" s="2943"/>
      <c r="C805" s="2941"/>
      <c r="D805" s="2963" t="s">
        <v>48</v>
      </c>
      <c r="E805" s="3043">
        <f t="shared" ca="1" si="90"/>
        <v>7417</v>
      </c>
      <c r="F805" s="3041">
        <f t="shared" ca="1" si="89"/>
        <v>0</v>
      </c>
    </row>
    <row r="806" spans="1:6">
      <c r="A806" s="3393"/>
      <c r="B806" s="2943"/>
      <c r="C806" s="2941"/>
      <c r="D806" s="2963" t="s">
        <v>48</v>
      </c>
      <c r="E806" s="3043">
        <f t="shared" ca="1" si="90"/>
        <v>7417</v>
      </c>
      <c r="F806" s="3041">
        <f t="shared" ca="1" si="89"/>
        <v>0</v>
      </c>
    </row>
    <row r="807" spans="1:6">
      <c r="A807" s="3393"/>
      <c r="B807" s="2943"/>
      <c r="C807" s="2941"/>
      <c r="D807" s="2963" t="s">
        <v>48</v>
      </c>
      <c r="E807" s="3043">
        <f t="shared" ca="1" si="90"/>
        <v>7417</v>
      </c>
      <c r="F807" s="3041">
        <f t="shared" ca="1" si="89"/>
        <v>0</v>
      </c>
    </row>
    <row r="808" spans="1:6">
      <c r="A808" s="3393"/>
      <c r="B808" s="2943"/>
      <c r="C808" s="2941"/>
      <c r="D808" s="2963" t="s">
        <v>48</v>
      </c>
      <c r="E808" s="3043">
        <f t="shared" ca="1" si="90"/>
        <v>7417</v>
      </c>
      <c r="F808" s="3041">
        <f t="shared" ca="1" si="89"/>
        <v>0</v>
      </c>
    </row>
    <row r="809" spans="1:6">
      <c r="A809" s="3393"/>
      <c r="B809" s="2943"/>
      <c r="C809" s="2941"/>
      <c r="D809" s="2963" t="s">
        <v>48</v>
      </c>
      <c r="E809" s="3043">
        <f t="shared" ca="1" si="90"/>
        <v>7417</v>
      </c>
      <c r="F809" s="3041">
        <f t="shared" ca="1" si="89"/>
        <v>0</v>
      </c>
    </row>
    <row r="810" spans="1:6">
      <c r="A810" s="3393"/>
      <c r="B810" s="2943"/>
      <c r="C810" s="2941"/>
      <c r="D810" s="2963" t="s">
        <v>48</v>
      </c>
      <c r="E810" s="3043">
        <f t="shared" ca="1" si="90"/>
        <v>7417</v>
      </c>
      <c r="F810" s="3041">
        <f t="shared" ca="1" si="89"/>
        <v>0</v>
      </c>
    </row>
    <row r="811" spans="1:6">
      <c r="A811" s="3393"/>
      <c r="B811" s="2943"/>
      <c r="C811" s="2941"/>
      <c r="D811" s="2963" t="s">
        <v>48</v>
      </c>
      <c r="E811" s="3043">
        <f t="shared" ca="1" si="90"/>
        <v>7417</v>
      </c>
      <c r="F811" s="3041">
        <f t="shared" ca="1" si="89"/>
        <v>0</v>
      </c>
    </row>
    <row r="812" spans="1:6">
      <c r="A812" s="3393"/>
      <c r="B812" s="2943"/>
      <c r="C812" s="2941"/>
      <c r="D812" s="2963" t="s">
        <v>48</v>
      </c>
      <c r="E812" s="3043">
        <f t="shared" ca="1" si="90"/>
        <v>7417</v>
      </c>
      <c r="F812" s="3041">
        <f t="shared" ca="1" si="89"/>
        <v>0</v>
      </c>
    </row>
    <row r="813" spans="1:6">
      <c r="A813" s="3393"/>
      <c r="B813" s="2943"/>
      <c r="C813" s="2941"/>
      <c r="D813" s="2963" t="s">
        <v>48</v>
      </c>
      <c r="E813" s="3043">
        <f t="shared" ca="1" si="90"/>
        <v>7417</v>
      </c>
      <c r="F813" s="3041">
        <f t="shared" ca="1" si="89"/>
        <v>0</v>
      </c>
    </row>
    <row r="814" spans="1:6">
      <c r="A814" s="3393"/>
      <c r="B814" s="2943"/>
      <c r="C814" s="2941"/>
      <c r="D814" s="2963" t="s">
        <v>48</v>
      </c>
      <c r="E814" s="3043">
        <f t="shared" ca="1" si="90"/>
        <v>7417</v>
      </c>
      <c r="F814" s="3041">
        <f t="shared" ca="1" si="89"/>
        <v>0</v>
      </c>
    </row>
    <row r="815" spans="1:6">
      <c r="A815" s="3393"/>
      <c r="B815" s="2943"/>
      <c r="C815" s="2941"/>
      <c r="D815" s="2963" t="s">
        <v>48</v>
      </c>
      <c r="E815" s="3043">
        <f t="shared" ca="1" si="90"/>
        <v>7417</v>
      </c>
      <c r="F815" s="3041">
        <f t="shared" ca="1" si="89"/>
        <v>0</v>
      </c>
    </row>
    <row r="816" spans="1:6">
      <c r="A816" s="3393"/>
      <c r="B816" s="2943"/>
      <c r="C816" s="2941"/>
      <c r="D816" s="2963" t="s">
        <v>48</v>
      </c>
      <c r="E816" s="3043">
        <f t="shared" ca="1" si="90"/>
        <v>7417</v>
      </c>
      <c r="F816" s="3041">
        <f t="shared" ca="1" si="89"/>
        <v>0</v>
      </c>
    </row>
    <row r="817" spans="1:6">
      <c r="A817" s="3393"/>
      <c r="B817" s="2943"/>
      <c r="C817" s="2941"/>
      <c r="D817" s="2963" t="s">
        <v>48</v>
      </c>
      <c r="E817" s="3043">
        <f t="shared" ca="1" si="90"/>
        <v>7417</v>
      </c>
      <c r="F817" s="3041">
        <f t="shared" ca="1" si="89"/>
        <v>0</v>
      </c>
    </row>
    <row r="818" spans="1:6">
      <c r="A818" s="3393"/>
      <c r="B818" s="2943"/>
      <c r="C818" s="2941"/>
      <c r="D818" s="2963" t="s">
        <v>48</v>
      </c>
      <c r="E818" s="3043">
        <f t="shared" ca="1" si="90"/>
        <v>7417</v>
      </c>
      <c r="F818" s="3041">
        <f t="shared" ca="1" si="89"/>
        <v>0</v>
      </c>
    </row>
    <row r="819" spans="1:6">
      <c r="A819" s="3393"/>
      <c r="B819" s="2943"/>
      <c r="C819" s="2941"/>
      <c r="D819" s="2963" t="s">
        <v>48</v>
      </c>
      <c r="E819" s="3043">
        <f t="shared" ca="1" si="90"/>
        <v>7417</v>
      </c>
      <c r="F819" s="3041">
        <f t="shared" ca="1" si="89"/>
        <v>0</v>
      </c>
    </row>
    <row r="820" spans="1:6">
      <c r="A820" s="3393"/>
      <c r="B820" s="2943"/>
      <c r="C820" s="2941"/>
      <c r="D820" s="2963" t="s">
        <v>48</v>
      </c>
      <c r="E820" s="3043">
        <f t="shared" ca="1" si="90"/>
        <v>7417</v>
      </c>
      <c r="F820" s="3041">
        <f t="shared" ca="1" si="89"/>
        <v>0</v>
      </c>
    </row>
    <row r="821" spans="1:6" s="2966" customFormat="1">
      <c r="A821" s="3393"/>
      <c r="B821" s="2943"/>
      <c r="C821" s="2941"/>
      <c r="D821" s="3051" t="s">
        <v>48</v>
      </c>
      <c r="E821" s="3052">
        <f ca="1">E820</f>
        <v>7417</v>
      </c>
      <c r="F821" s="3041">
        <f t="shared" ca="1" si="89"/>
        <v>0</v>
      </c>
    </row>
    <row r="822" spans="1:6">
      <c r="A822" s="3390" t="s">
        <v>40</v>
      </c>
      <c r="B822" s="3390"/>
      <c r="C822" s="2942">
        <f>SUM(C770:C821)</f>
        <v>0</v>
      </c>
      <c r="D822" s="2964" t="s">
        <v>48</v>
      </c>
      <c r="E822" s="3042"/>
      <c r="F822" s="3041">
        <f ca="1">SUM(F770:F821)</f>
        <v>0</v>
      </c>
    </row>
    <row r="823" spans="1:6">
      <c r="A823" s="3391" t="s">
        <v>3168</v>
      </c>
      <c r="B823" s="3391"/>
      <c r="C823" s="2947">
        <f>C822+C769</f>
        <v>0</v>
      </c>
      <c r="D823" s="2948" t="s">
        <v>3182</v>
      </c>
      <c r="E823" s="3042"/>
      <c r="F823" s="3042">
        <f ca="1">F769+F822</f>
        <v>0</v>
      </c>
    </row>
    <row r="824" spans="1:6">
      <c r="A824" s="2939"/>
      <c r="B824" s="2960"/>
      <c r="C824" s="2941"/>
      <c r="D824" s="2960" t="s">
        <v>1377</v>
      </c>
      <c r="E824" s="1631">
        <f ca="1">'结果表（商业）'!I118</f>
        <v>22832</v>
      </c>
      <c r="F824" s="3041">
        <f t="shared" ref="F824" ca="1" si="91">ROUND(C824*E824/10000,0)</f>
        <v>0</v>
      </c>
    </row>
    <row r="825" spans="1:6" s="3044" customFormat="1">
      <c r="A825" s="3048"/>
      <c r="B825" s="3048"/>
      <c r="C825" s="3049"/>
      <c r="D825" s="3048" t="s">
        <v>1377</v>
      </c>
      <c r="E825" s="3044" t="e">
        <f>ROUND(F825*10000/C825,0)</f>
        <v>#DIV/0!</v>
      </c>
      <c r="F825" s="3047"/>
    </row>
    <row r="826" spans="1:6">
      <c r="A826" s="3397" t="s">
        <v>40</v>
      </c>
      <c r="B826" s="3398"/>
      <c r="C826" s="3038">
        <f>SUM(C824:C825)</f>
        <v>0</v>
      </c>
      <c r="D826" s="3038" t="s">
        <v>1377</v>
      </c>
      <c r="F826" s="1631">
        <f ca="1">F824+F825</f>
        <v>0</v>
      </c>
    </row>
    <row r="827" spans="1:6">
      <c r="A827" s="3387"/>
      <c r="B827" s="2943"/>
      <c r="C827" s="2941"/>
      <c r="D827" s="2961" t="s">
        <v>48</v>
      </c>
      <c r="E827" s="1631">
        <f ca="1">E821</f>
        <v>7417</v>
      </c>
      <c r="F827" s="3041">
        <f ca="1">ROUND(C827*E827/10000,2)</f>
        <v>0</v>
      </c>
    </row>
    <row r="828" spans="1:6">
      <c r="A828" s="3402"/>
      <c r="B828" s="2943"/>
      <c r="C828" s="2941"/>
      <c r="D828" s="2961" t="s">
        <v>48</v>
      </c>
      <c r="E828" s="1631">
        <f ca="1">E827</f>
        <v>7417</v>
      </c>
      <c r="F828" s="3041">
        <f t="shared" ref="F828:F887" ca="1" si="92">ROUND(C828*E828/10000,2)</f>
        <v>0</v>
      </c>
    </row>
    <row r="829" spans="1:6">
      <c r="A829" s="3402"/>
      <c r="B829" s="2943"/>
      <c r="C829" s="2941"/>
      <c r="D829" s="2961" t="s">
        <v>48</v>
      </c>
      <c r="E829" s="1631">
        <f t="shared" ref="E829:E887" ca="1" si="93">E828</f>
        <v>7417</v>
      </c>
      <c r="F829" s="3041">
        <f t="shared" ca="1" si="92"/>
        <v>0</v>
      </c>
    </row>
    <row r="830" spans="1:6">
      <c r="A830" s="3402"/>
      <c r="B830" s="2943"/>
      <c r="C830" s="2941"/>
      <c r="D830" s="2961" t="s">
        <v>48</v>
      </c>
      <c r="E830" s="1631">
        <f t="shared" ca="1" si="93"/>
        <v>7417</v>
      </c>
      <c r="F830" s="3041">
        <f t="shared" ca="1" si="92"/>
        <v>0</v>
      </c>
    </row>
    <row r="831" spans="1:6">
      <c r="A831" s="3402"/>
      <c r="B831" s="2943"/>
      <c r="C831" s="2941"/>
      <c r="D831" s="2961" t="s">
        <v>48</v>
      </c>
      <c r="E831" s="1631">
        <f t="shared" ca="1" si="93"/>
        <v>7417</v>
      </c>
      <c r="F831" s="3041">
        <f t="shared" ca="1" si="92"/>
        <v>0</v>
      </c>
    </row>
    <row r="832" spans="1:6">
      <c r="A832" s="3402"/>
      <c r="B832" s="2943"/>
      <c r="C832" s="2941"/>
      <c r="D832" s="2961" t="s">
        <v>48</v>
      </c>
      <c r="E832" s="1631">
        <f t="shared" ca="1" si="93"/>
        <v>7417</v>
      </c>
      <c r="F832" s="3041">
        <f t="shared" ca="1" si="92"/>
        <v>0</v>
      </c>
    </row>
    <row r="833" spans="1:6">
      <c r="A833" s="3402"/>
      <c r="B833" s="2943"/>
      <c r="C833" s="2941"/>
      <c r="D833" s="2961" t="s">
        <v>48</v>
      </c>
      <c r="E833" s="1631">
        <f t="shared" ca="1" si="93"/>
        <v>7417</v>
      </c>
      <c r="F833" s="3041">
        <f t="shared" ca="1" si="92"/>
        <v>0</v>
      </c>
    </row>
    <row r="834" spans="1:6">
      <c r="A834" s="3402"/>
      <c r="B834" s="2943"/>
      <c r="C834" s="2941"/>
      <c r="D834" s="2961" t="s">
        <v>48</v>
      </c>
      <c r="E834" s="1631">
        <f t="shared" ca="1" si="93"/>
        <v>7417</v>
      </c>
      <c r="F834" s="3041">
        <f t="shared" ca="1" si="92"/>
        <v>0</v>
      </c>
    </row>
    <row r="835" spans="1:6">
      <c r="A835" s="3402"/>
      <c r="B835" s="2943"/>
      <c r="C835" s="2941"/>
      <c r="D835" s="2961" t="s">
        <v>48</v>
      </c>
      <c r="E835" s="1631">
        <f t="shared" ca="1" si="93"/>
        <v>7417</v>
      </c>
      <c r="F835" s="3041">
        <f t="shared" ca="1" si="92"/>
        <v>0</v>
      </c>
    </row>
    <row r="836" spans="1:6">
      <c r="A836" s="3402"/>
      <c r="B836" s="2943"/>
      <c r="C836" s="2941"/>
      <c r="D836" s="2961" t="s">
        <v>48</v>
      </c>
      <c r="E836" s="1631">
        <f t="shared" ca="1" si="93"/>
        <v>7417</v>
      </c>
      <c r="F836" s="3041">
        <f t="shared" ca="1" si="92"/>
        <v>0</v>
      </c>
    </row>
    <row r="837" spans="1:6">
      <c r="A837" s="3402"/>
      <c r="B837" s="2943"/>
      <c r="C837" s="2941"/>
      <c r="D837" s="2961" t="s">
        <v>48</v>
      </c>
      <c r="E837" s="1631">
        <f t="shared" ca="1" si="93"/>
        <v>7417</v>
      </c>
      <c r="F837" s="3041">
        <f t="shared" ca="1" si="92"/>
        <v>0</v>
      </c>
    </row>
    <row r="838" spans="1:6">
      <c r="A838" s="3402"/>
      <c r="B838" s="2943"/>
      <c r="C838" s="2941"/>
      <c r="D838" s="2961" t="s">
        <v>48</v>
      </c>
      <c r="E838" s="1631">
        <f t="shared" ca="1" si="93"/>
        <v>7417</v>
      </c>
      <c r="F838" s="3041">
        <f t="shared" ca="1" si="92"/>
        <v>0</v>
      </c>
    </row>
    <row r="839" spans="1:6">
      <c r="A839" s="3402"/>
      <c r="B839" s="2943"/>
      <c r="C839" s="2941"/>
      <c r="D839" s="2961" t="s">
        <v>48</v>
      </c>
      <c r="E839" s="1631">
        <f t="shared" ca="1" si="93"/>
        <v>7417</v>
      </c>
      <c r="F839" s="3041">
        <f t="shared" ca="1" si="92"/>
        <v>0</v>
      </c>
    </row>
    <row r="840" spans="1:6">
      <c r="A840" s="3402"/>
      <c r="B840" s="2943"/>
      <c r="C840" s="2941"/>
      <c r="D840" s="2961" t="s">
        <v>48</v>
      </c>
      <c r="E840" s="1631">
        <f t="shared" ca="1" si="93"/>
        <v>7417</v>
      </c>
      <c r="F840" s="3041">
        <f t="shared" ca="1" si="92"/>
        <v>0</v>
      </c>
    </row>
    <row r="841" spans="1:6">
      <c r="A841" s="3402"/>
      <c r="B841" s="2943"/>
      <c r="C841" s="2941"/>
      <c r="D841" s="2961" t="s">
        <v>48</v>
      </c>
      <c r="E841" s="1631">
        <f t="shared" ca="1" si="93"/>
        <v>7417</v>
      </c>
      <c r="F841" s="3041">
        <f t="shared" ca="1" si="92"/>
        <v>0</v>
      </c>
    </row>
    <row r="842" spans="1:6">
      <c r="A842" s="3402"/>
      <c r="B842" s="2943"/>
      <c r="C842" s="2941"/>
      <c r="D842" s="2961" t="s">
        <v>48</v>
      </c>
      <c r="E842" s="1631">
        <f t="shared" ca="1" si="93"/>
        <v>7417</v>
      </c>
      <c r="F842" s="3041">
        <f t="shared" ca="1" si="92"/>
        <v>0</v>
      </c>
    </row>
    <row r="843" spans="1:6">
      <c r="A843" s="3402"/>
      <c r="B843" s="2943"/>
      <c r="C843" s="2941"/>
      <c r="D843" s="2961" t="s">
        <v>48</v>
      </c>
      <c r="E843" s="1631">
        <f t="shared" ca="1" si="93"/>
        <v>7417</v>
      </c>
      <c r="F843" s="3041">
        <f t="shared" ca="1" si="92"/>
        <v>0</v>
      </c>
    </row>
    <row r="844" spans="1:6">
      <c r="A844" s="3402"/>
      <c r="B844" s="2943"/>
      <c r="C844" s="2941"/>
      <c r="D844" s="2961" t="s">
        <v>48</v>
      </c>
      <c r="E844" s="1631">
        <f t="shared" ca="1" si="93"/>
        <v>7417</v>
      </c>
      <c r="F844" s="3041">
        <f t="shared" ca="1" si="92"/>
        <v>0</v>
      </c>
    </row>
    <row r="845" spans="1:6">
      <c r="A845" s="3402"/>
      <c r="B845" s="2943"/>
      <c r="C845" s="2941"/>
      <c r="D845" s="2961" t="s">
        <v>48</v>
      </c>
      <c r="E845" s="1631">
        <f t="shared" ca="1" si="93"/>
        <v>7417</v>
      </c>
      <c r="F845" s="3041">
        <f t="shared" ca="1" si="92"/>
        <v>0</v>
      </c>
    </row>
    <row r="846" spans="1:6">
      <c r="A846" s="3402"/>
      <c r="B846" s="2943"/>
      <c r="C846" s="2941"/>
      <c r="D846" s="2961" t="s">
        <v>48</v>
      </c>
      <c r="E846" s="1631">
        <f t="shared" ca="1" si="93"/>
        <v>7417</v>
      </c>
      <c r="F846" s="3041">
        <f t="shared" ca="1" si="92"/>
        <v>0</v>
      </c>
    </row>
    <row r="847" spans="1:6">
      <c r="A847" s="3402"/>
      <c r="B847" s="2943"/>
      <c r="C847" s="2941"/>
      <c r="D847" s="2961" t="s">
        <v>48</v>
      </c>
      <c r="E847" s="1631">
        <f t="shared" ca="1" si="93"/>
        <v>7417</v>
      </c>
      <c r="F847" s="3041">
        <f t="shared" ca="1" si="92"/>
        <v>0</v>
      </c>
    </row>
    <row r="848" spans="1:6">
      <c r="A848" s="3402"/>
      <c r="B848" s="2943"/>
      <c r="C848" s="2941"/>
      <c r="D848" s="2961" t="s">
        <v>48</v>
      </c>
      <c r="E848" s="1631">
        <f t="shared" ca="1" si="93"/>
        <v>7417</v>
      </c>
      <c r="F848" s="3041">
        <f t="shared" ca="1" si="92"/>
        <v>0</v>
      </c>
    </row>
    <row r="849" spans="1:6">
      <c r="A849" s="3402"/>
      <c r="B849" s="2943"/>
      <c r="C849" s="2941"/>
      <c r="D849" s="2961" t="s">
        <v>48</v>
      </c>
      <c r="E849" s="1631">
        <f t="shared" ca="1" si="93"/>
        <v>7417</v>
      </c>
      <c r="F849" s="3041">
        <f t="shared" ca="1" si="92"/>
        <v>0</v>
      </c>
    </row>
    <row r="850" spans="1:6">
      <c r="A850" s="3402"/>
      <c r="B850" s="2943"/>
      <c r="C850" s="2941"/>
      <c r="D850" s="2961" t="s">
        <v>48</v>
      </c>
      <c r="E850" s="1631">
        <f t="shared" ca="1" si="93"/>
        <v>7417</v>
      </c>
      <c r="F850" s="3041">
        <f t="shared" ca="1" si="92"/>
        <v>0</v>
      </c>
    </row>
    <row r="851" spans="1:6">
      <c r="A851" s="3402"/>
      <c r="B851" s="2943"/>
      <c r="C851" s="2941"/>
      <c r="D851" s="2961" t="s">
        <v>48</v>
      </c>
      <c r="E851" s="1631">
        <f t="shared" ca="1" si="93"/>
        <v>7417</v>
      </c>
      <c r="F851" s="3041">
        <f t="shared" ca="1" si="92"/>
        <v>0</v>
      </c>
    </row>
    <row r="852" spans="1:6">
      <c r="A852" s="3402"/>
      <c r="B852" s="2943"/>
      <c r="C852" s="2941"/>
      <c r="D852" s="2961" t="s">
        <v>48</v>
      </c>
      <c r="E852" s="1631">
        <f t="shared" ca="1" si="93"/>
        <v>7417</v>
      </c>
      <c r="F852" s="3041">
        <f t="shared" ca="1" si="92"/>
        <v>0</v>
      </c>
    </row>
    <row r="853" spans="1:6">
      <c r="A853" s="3402"/>
      <c r="B853" s="2943"/>
      <c r="C853" s="2941"/>
      <c r="D853" s="2961" t="s">
        <v>48</v>
      </c>
      <c r="E853" s="1631">
        <f t="shared" ca="1" si="93"/>
        <v>7417</v>
      </c>
      <c r="F853" s="3041">
        <f t="shared" ca="1" si="92"/>
        <v>0</v>
      </c>
    </row>
    <row r="854" spans="1:6">
      <c r="A854" s="3402"/>
      <c r="B854" s="2943"/>
      <c r="C854" s="2941"/>
      <c r="D854" s="2961" t="s">
        <v>48</v>
      </c>
      <c r="E854" s="1631">
        <f t="shared" ca="1" si="93"/>
        <v>7417</v>
      </c>
      <c r="F854" s="3041">
        <f t="shared" ca="1" si="92"/>
        <v>0</v>
      </c>
    </row>
    <row r="855" spans="1:6">
      <c r="A855" s="3402"/>
      <c r="B855" s="2943"/>
      <c r="C855" s="2941"/>
      <c r="D855" s="2961" t="s">
        <v>48</v>
      </c>
      <c r="E855" s="1631">
        <f t="shared" ca="1" si="93"/>
        <v>7417</v>
      </c>
      <c r="F855" s="3041">
        <f t="shared" ca="1" si="92"/>
        <v>0</v>
      </c>
    </row>
    <row r="856" spans="1:6">
      <c r="A856" s="3402"/>
      <c r="B856" s="2943"/>
      <c r="C856" s="2941"/>
      <c r="D856" s="2961" t="s">
        <v>48</v>
      </c>
      <c r="E856" s="1631">
        <f t="shared" ca="1" si="93"/>
        <v>7417</v>
      </c>
      <c r="F856" s="3041">
        <f t="shared" ca="1" si="92"/>
        <v>0</v>
      </c>
    </row>
    <row r="857" spans="1:6">
      <c r="A857" s="3402"/>
      <c r="B857" s="2943"/>
      <c r="C857" s="2941"/>
      <c r="D857" s="2961" t="s">
        <v>48</v>
      </c>
      <c r="E857" s="1631">
        <f t="shared" ca="1" si="93"/>
        <v>7417</v>
      </c>
      <c r="F857" s="3041">
        <f t="shared" ca="1" si="92"/>
        <v>0</v>
      </c>
    </row>
    <row r="858" spans="1:6">
      <c r="A858" s="3402"/>
      <c r="B858" s="2943"/>
      <c r="C858" s="2941"/>
      <c r="D858" s="2961" t="s">
        <v>48</v>
      </c>
      <c r="E858" s="1631">
        <f t="shared" ca="1" si="93"/>
        <v>7417</v>
      </c>
      <c r="F858" s="3041">
        <f t="shared" ca="1" si="92"/>
        <v>0</v>
      </c>
    </row>
    <row r="859" spans="1:6">
      <c r="A859" s="3402"/>
      <c r="B859" s="2943"/>
      <c r="C859" s="2941"/>
      <c r="D859" s="2961" t="s">
        <v>48</v>
      </c>
      <c r="E859" s="1631">
        <f t="shared" ca="1" si="93"/>
        <v>7417</v>
      </c>
      <c r="F859" s="3041">
        <f t="shared" ca="1" si="92"/>
        <v>0</v>
      </c>
    </row>
    <row r="860" spans="1:6">
      <c r="A860" s="3402"/>
      <c r="B860" s="2943"/>
      <c r="C860" s="2941"/>
      <c r="D860" s="2961" t="s">
        <v>48</v>
      </c>
      <c r="E860" s="1631">
        <f t="shared" ca="1" si="93"/>
        <v>7417</v>
      </c>
      <c r="F860" s="3041">
        <f t="shared" ca="1" si="92"/>
        <v>0</v>
      </c>
    </row>
    <row r="861" spans="1:6">
      <c r="A861" s="3402"/>
      <c r="B861" s="2943"/>
      <c r="C861" s="2941"/>
      <c r="D861" s="2961" t="s">
        <v>48</v>
      </c>
      <c r="E861" s="1631">
        <f t="shared" ca="1" si="93"/>
        <v>7417</v>
      </c>
      <c r="F861" s="3041">
        <f t="shared" ca="1" si="92"/>
        <v>0</v>
      </c>
    </row>
    <row r="862" spans="1:6">
      <c r="A862" s="3402"/>
      <c r="B862" s="2943"/>
      <c r="C862" s="2941"/>
      <c r="D862" s="2961" t="s">
        <v>48</v>
      </c>
      <c r="E862" s="1631">
        <f t="shared" ca="1" si="93"/>
        <v>7417</v>
      </c>
      <c r="F862" s="3041">
        <f t="shared" ca="1" si="92"/>
        <v>0</v>
      </c>
    </row>
    <row r="863" spans="1:6">
      <c r="A863" s="3402"/>
      <c r="B863" s="2943"/>
      <c r="C863" s="2941"/>
      <c r="D863" s="2961" t="s">
        <v>48</v>
      </c>
      <c r="E863" s="1631">
        <f t="shared" ca="1" si="93"/>
        <v>7417</v>
      </c>
      <c r="F863" s="3041">
        <f t="shared" ca="1" si="92"/>
        <v>0</v>
      </c>
    </row>
    <row r="864" spans="1:6">
      <c r="A864" s="3402"/>
      <c r="B864" s="2943"/>
      <c r="C864" s="2941"/>
      <c r="D864" s="2961" t="s">
        <v>48</v>
      </c>
      <c r="E864" s="1631">
        <f t="shared" ca="1" si="93"/>
        <v>7417</v>
      </c>
      <c r="F864" s="3041">
        <f t="shared" ca="1" si="92"/>
        <v>0</v>
      </c>
    </row>
    <row r="865" spans="1:6">
      <c r="A865" s="3402"/>
      <c r="B865" s="2943"/>
      <c r="C865" s="2941"/>
      <c r="D865" s="2961" t="s">
        <v>48</v>
      </c>
      <c r="E865" s="1631">
        <f t="shared" ca="1" si="93"/>
        <v>7417</v>
      </c>
      <c r="F865" s="3041">
        <f t="shared" ca="1" si="92"/>
        <v>0</v>
      </c>
    </row>
    <row r="866" spans="1:6">
      <c r="A866" s="3402"/>
      <c r="B866" s="2943"/>
      <c r="C866" s="2941"/>
      <c r="D866" s="2961" t="s">
        <v>48</v>
      </c>
      <c r="E866" s="1631">
        <f t="shared" ca="1" si="93"/>
        <v>7417</v>
      </c>
      <c r="F866" s="3041">
        <f t="shared" ca="1" si="92"/>
        <v>0</v>
      </c>
    </row>
    <row r="867" spans="1:6">
      <c r="A867" s="3402"/>
      <c r="B867" s="2943"/>
      <c r="C867" s="2941"/>
      <c r="D867" s="2961" t="s">
        <v>48</v>
      </c>
      <c r="E867" s="1631">
        <f t="shared" ca="1" si="93"/>
        <v>7417</v>
      </c>
      <c r="F867" s="3041">
        <f t="shared" ca="1" si="92"/>
        <v>0</v>
      </c>
    </row>
    <row r="868" spans="1:6">
      <c r="A868" s="3402"/>
      <c r="B868" s="2943"/>
      <c r="C868" s="2941"/>
      <c r="D868" s="2961" t="s">
        <v>48</v>
      </c>
      <c r="E868" s="1631">
        <f t="shared" ca="1" si="93"/>
        <v>7417</v>
      </c>
      <c r="F868" s="3041">
        <f t="shared" ca="1" si="92"/>
        <v>0</v>
      </c>
    </row>
    <row r="869" spans="1:6">
      <c r="A869" s="3402"/>
      <c r="B869" s="2943"/>
      <c r="C869" s="2941"/>
      <c r="D869" s="2961" t="s">
        <v>48</v>
      </c>
      <c r="E869" s="1631">
        <f t="shared" ca="1" si="93"/>
        <v>7417</v>
      </c>
      <c r="F869" s="3041">
        <f t="shared" ca="1" si="92"/>
        <v>0</v>
      </c>
    </row>
    <row r="870" spans="1:6">
      <c r="A870" s="3402"/>
      <c r="B870" s="2943"/>
      <c r="C870" s="2941"/>
      <c r="D870" s="2961" t="s">
        <v>48</v>
      </c>
      <c r="E870" s="1631">
        <f t="shared" ca="1" si="93"/>
        <v>7417</v>
      </c>
      <c r="F870" s="3041">
        <f t="shared" ca="1" si="92"/>
        <v>0</v>
      </c>
    </row>
    <row r="871" spans="1:6">
      <c r="A871" s="3402"/>
      <c r="B871" s="2943"/>
      <c r="C871" s="2941"/>
      <c r="D871" s="2961" t="s">
        <v>48</v>
      </c>
      <c r="E871" s="1631">
        <f t="shared" ca="1" si="93"/>
        <v>7417</v>
      </c>
      <c r="F871" s="3041">
        <f t="shared" ca="1" si="92"/>
        <v>0</v>
      </c>
    </row>
    <row r="872" spans="1:6">
      <c r="A872" s="3402"/>
      <c r="B872" s="2943"/>
      <c r="C872" s="2941"/>
      <c r="D872" s="2961" t="s">
        <v>48</v>
      </c>
      <c r="E872" s="1631">
        <f t="shared" ca="1" si="93"/>
        <v>7417</v>
      </c>
      <c r="F872" s="3041">
        <f t="shared" ca="1" si="92"/>
        <v>0</v>
      </c>
    </row>
    <row r="873" spans="1:6">
      <c r="A873" s="3402"/>
      <c r="B873" s="2943"/>
      <c r="C873" s="2941"/>
      <c r="D873" s="2961" t="s">
        <v>48</v>
      </c>
      <c r="E873" s="1631">
        <f t="shared" ca="1" si="93"/>
        <v>7417</v>
      </c>
      <c r="F873" s="3041">
        <f t="shared" ca="1" si="92"/>
        <v>0</v>
      </c>
    </row>
    <row r="874" spans="1:6">
      <c r="A874" s="3402"/>
      <c r="B874" s="2943"/>
      <c r="C874" s="2941"/>
      <c r="D874" s="2961" t="s">
        <v>48</v>
      </c>
      <c r="E874" s="1631">
        <f t="shared" ca="1" si="93"/>
        <v>7417</v>
      </c>
      <c r="F874" s="3041">
        <f t="shared" ca="1" si="92"/>
        <v>0</v>
      </c>
    </row>
    <row r="875" spans="1:6">
      <c r="A875" s="3402"/>
      <c r="B875" s="2943"/>
      <c r="C875" s="2941"/>
      <c r="D875" s="2961" t="s">
        <v>48</v>
      </c>
      <c r="E875" s="1631">
        <f t="shared" ca="1" si="93"/>
        <v>7417</v>
      </c>
      <c r="F875" s="3041">
        <f t="shared" ca="1" si="92"/>
        <v>0</v>
      </c>
    </row>
    <row r="876" spans="1:6">
      <c r="A876" s="3402"/>
      <c r="B876" s="2943"/>
      <c r="C876" s="2941"/>
      <c r="D876" s="2961" t="s">
        <v>48</v>
      </c>
      <c r="E876" s="1631">
        <f t="shared" ca="1" si="93"/>
        <v>7417</v>
      </c>
      <c r="F876" s="3041">
        <f t="shared" ca="1" si="92"/>
        <v>0</v>
      </c>
    </row>
    <row r="877" spans="1:6">
      <c r="A877" s="3402"/>
      <c r="B877" s="2943"/>
      <c r="C877" s="2941"/>
      <c r="D877" s="2961" t="s">
        <v>48</v>
      </c>
      <c r="E877" s="1631">
        <f t="shared" ca="1" si="93"/>
        <v>7417</v>
      </c>
      <c r="F877" s="3041">
        <f t="shared" ca="1" si="92"/>
        <v>0</v>
      </c>
    </row>
    <row r="878" spans="1:6">
      <c r="A878" s="3402"/>
      <c r="B878" s="2943"/>
      <c r="C878" s="2941"/>
      <c r="D878" s="2961" t="s">
        <v>48</v>
      </c>
      <c r="E878" s="1631">
        <f t="shared" ca="1" si="93"/>
        <v>7417</v>
      </c>
      <c r="F878" s="3041">
        <f t="shared" ca="1" si="92"/>
        <v>0</v>
      </c>
    </row>
    <row r="879" spans="1:6">
      <c r="A879" s="3402"/>
      <c r="B879" s="2943"/>
      <c r="C879" s="2941"/>
      <c r="D879" s="2961" t="s">
        <v>48</v>
      </c>
      <c r="E879" s="1631">
        <f t="shared" ca="1" si="93"/>
        <v>7417</v>
      </c>
      <c r="F879" s="3041">
        <f t="shared" ca="1" si="92"/>
        <v>0</v>
      </c>
    </row>
    <row r="880" spans="1:6">
      <c r="A880" s="3402"/>
      <c r="B880" s="2943"/>
      <c r="C880" s="2941"/>
      <c r="D880" s="2961" t="s">
        <v>48</v>
      </c>
      <c r="E880" s="1631">
        <f t="shared" ca="1" si="93"/>
        <v>7417</v>
      </c>
      <c r="F880" s="3041">
        <f t="shared" ca="1" si="92"/>
        <v>0</v>
      </c>
    </row>
    <row r="881" spans="1:6">
      <c r="A881" s="3402"/>
      <c r="B881" s="2943"/>
      <c r="C881" s="2941"/>
      <c r="D881" s="2961" t="s">
        <v>48</v>
      </c>
      <c r="E881" s="1631">
        <f t="shared" ca="1" si="93"/>
        <v>7417</v>
      </c>
      <c r="F881" s="3041">
        <f t="shared" ca="1" si="92"/>
        <v>0</v>
      </c>
    </row>
    <row r="882" spans="1:6">
      <c r="A882" s="3402"/>
      <c r="B882" s="2943"/>
      <c r="C882" s="2941"/>
      <c r="D882" s="2961" t="s">
        <v>48</v>
      </c>
      <c r="E882" s="1631">
        <f t="shared" ca="1" si="93"/>
        <v>7417</v>
      </c>
      <c r="F882" s="3041">
        <f t="shared" ca="1" si="92"/>
        <v>0</v>
      </c>
    </row>
    <row r="883" spans="1:6">
      <c r="A883" s="3402"/>
      <c r="B883" s="2943"/>
      <c r="C883" s="2941"/>
      <c r="D883" s="2961" t="s">
        <v>48</v>
      </c>
      <c r="E883" s="1631">
        <f t="shared" ca="1" si="93"/>
        <v>7417</v>
      </c>
      <c r="F883" s="3041">
        <f t="shared" ca="1" si="92"/>
        <v>0</v>
      </c>
    </row>
    <row r="884" spans="1:6">
      <c r="A884" s="3402"/>
      <c r="B884" s="2943"/>
      <c r="C884" s="2941"/>
      <c r="D884" s="2961" t="s">
        <v>48</v>
      </c>
      <c r="E884" s="1631">
        <f t="shared" ca="1" si="93"/>
        <v>7417</v>
      </c>
      <c r="F884" s="3041">
        <f t="shared" ca="1" si="92"/>
        <v>0</v>
      </c>
    </row>
    <row r="885" spans="1:6">
      <c r="A885" s="3402"/>
      <c r="B885" s="2943"/>
      <c r="C885" s="2941"/>
      <c r="D885" s="2961" t="s">
        <v>48</v>
      </c>
      <c r="E885" s="1631">
        <f t="shared" ca="1" si="93"/>
        <v>7417</v>
      </c>
      <c r="F885" s="3041">
        <f t="shared" ca="1" si="92"/>
        <v>0</v>
      </c>
    </row>
    <row r="886" spans="1:6">
      <c r="A886" s="3402"/>
      <c r="B886" s="2943"/>
      <c r="C886" s="2941"/>
      <c r="D886" s="2961" t="s">
        <v>48</v>
      </c>
      <c r="E886" s="1631">
        <f t="shared" ca="1" si="93"/>
        <v>7417</v>
      </c>
      <c r="F886" s="3041">
        <f t="shared" ca="1" si="92"/>
        <v>0</v>
      </c>
    </row>
    <row r="887" spans="1:6">
      <c r="A887" s="3402"/>
      <c r="B887" s="2943"/>
      <c r="C887" s="2941"/>
      <c r="D887" s="2961" t="s">
        <v>48</v>
      </c>
      <c r="E887" s="1631">
        <f t="shared" ca="1" si="93"/>
        <v>7417</v>
      </c>
      <c r="F887" s="3041">
        <f t="shared" ca="1" si="92"/>
        <v>0</v>
      </c>
    </row>
    <row r="888" spans="1:6" s="3044" customFormat="1">
      <c r="A888" s="3403"/>
      <c r="B888" s="3050"/>
      <c r="C888" s="3049"/>
      <c r="D888" s="3053" t="s">
        <v>48</v>
      </c>
      <c r="E888" s="3044" t="e">
        <f>ROUND(F888*10000/C888,0)</f>
        <v>#DIV/0!</v>
      </c>
      <c r="F888" s="3055"/>
    </row>
    <row r="889" spans="1:6">
      <c r="A889" s="3390" t="s">
        <v>40</v>
      </c>
      <c r="B889" s="3390"/>
      <c r="C889" s="3038">
        <f>SUM(C827:C888)</f>
        <v>0</v>
      </c>
      <c r="D889" s="2962" t="s">
        <v>48</v>
      </c>
      <c r="F889" s="3056">
        <f ca="1">SUM(F827:F888)</f>
        <v>0</v>
      </c>
    </row>
    <row r="890" spans="1:6">
      <c r="A890" s="3391" t="s">
        <v>3455</v>
      </c>
      <c r="B890" s="3391"/>
      <c r="C890" s="3039">
        <f>C889+C826</f>
        <v>0</v>
      </c>
      <c r="D890" s="2948" t="s">
        <v>3456</v>
      </c>
      <c r="F890" s="3054">
        <f ca="1">F889+F826</f>
        <v>0</v>
      </c>
    </row>
    <row r="893" spans="1:6">
      <c r="F893" s="1631">
        <f ca="1">F26+F68+F97+F115+F298+F373+F416+F478+F534+F579+F583+F665+F670+F764+F769+F822+F826+F889</f>
        <v>61292</v>
      </c>
    </row>
    <row r="895" spans="1:6">
      <c r="F895" s="2968" t="s">
        <v>3457</v>
      </c>
    </row>
  </sheetData>
  <autoFilter ref="A2:L890"/>
  <mergeCells count="42">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 ref="A116:A297"/>
    <mergeCell ref="A1:D1"/>
    <mergeCell ref="A26:B26"/>
    <mergeCell ref="A68:B68"/>
    <mergeCell ref="A97:B97"/>
    <mergeCell ref="A115:B115"/>
    <mergeCell ref="A3:A25"/>
    <mergeCell ref="A27:A67"/>
    <mergeCell ref="A69:A96"/>
    <mergeCell ref="A98:A114"/>
    <mergeCell ref="A298:B298"/>
    <mergeCell ref="A299:B299"/>
    <mergeCell ref="A373:B373"/>
    <mergeCell ref="A416:B416"/>
    <mergeCell ref="A417:B417"/>
    <mergeCell ref="A301:A372"/>
    <mergeCell ref="A374:A415"/>
    <mergeCell ref="A536:A578"/>
    <mergeCell ref="A822:B822"/>
    <mergeCell ref="A666:B666"/>
    <mergeCell ref="A665:B665"/>
    <mergeCell ref="A769:B769"/>
    <mergeCell ref="A770:A821"/>
    <mergeCell ref="A668:A669"/>
    <mergeCell ref="A767:A768"/>
    <mergeCell ref="A581:A58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40130</v>
      </c>
      <c r="C2" s="2" t="s">
        <v>133</v>
      </c>
      <c r="D2" s="242"/>
      <c r="E2" s="242"/>
      <c r="F2" s="242"/>
      <c r="G2" s="242"/>
    </row>
    <row r="3" spans="1:7" s="243" customFormat="1" ht="18" customHeight="1" thickBot="1">
      <c r="A3" s="246" t="s">
        <v>85</v>
      </c>
      <c r="B3" s="247">
        <f ca="1">ROUND(B2*10000/'数据-汇总表'!E3,0)</f>
        <v>23654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339</v>
      </c>
      <c r="D10" s="1028">
        <f>'数据-汇总表'!E6</f>
        <v>16965.740000000005</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339</v>
      </c>
      <c r="D19" s="1032">
        <f>'数据-汇总表'!E3</f>
        <v>16965.740000000005</v>
      </c>
      <c r="E19" s="254">
        <f>'数据-取费表'!B31</f>
        <v>200</v>
      </c>
      <c r="F19" s="274"/>
      <c r="G19" s="1" t="s">
        <v>1074</v>
      </c>
    </row>
    <row r="20" spans="1:7" s="257" customFormat="1" ht="13.5" customHeight="1">
      <c r="A20" s="944" t="s">
        <v>1057</v>
      </c>
      <c r="B20" s="253" t="s">
        <v>104</v>
      </c>
      <c r="C20" s="275">
        <f>ROUND((C5+C19)*F20,0)</f>
        <v>419</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3160</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51</v>
      </c>
      <c r="D24" s="281"/>
      <c r="E24" s="281"/>
      <c r="F24" s="282"/>
      <c r="G24" s="283" t="s">
        <v>109</v>
      </c>
    </row>
    <row r="25" spans="1:7" s="257" customFormat="1" ht="24">
      <c r="A25" s="947" t="s">
        <v>793</v>
      </c>
      <c r="B25" s="258" t="s">
        <v>1058</v>
      </c>
      <c r="C25" s="1351">
        <f ca="1">ROUND(IF('数据-取费表'!B22&lt;=1,C20*F22*'数据-取费表'!B23/2,C20*(POWER((1+F22),'数据-取费表'!B23/2)-1)),0)</f>
        <v>30</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3846</v>
      </c>
      <c r="D27" s="278">
        <f>C29</f>
        <v>3.5999999999999999E-3</v>
      </c>
      <c r="E27" s="279" t="s">
        <v>126</v>
      </c>
      <c r="F27" s="289">
        <f>'数据-取费表'!Q16</f>
        <v>0.18</v>
      </c>
      <c r="G27" s="290" t="s">
        <v>1069</v>
      </c>
    </row>
    <row r="28" spans="1:7" s="257" customFormat="1" ht="13.5" customHeight="1">
      <c r="A28" s="947" t="s">
        <v>794</v>
      </c>
      <c r="B28" s="291" t="s">
        <v>1062</v>
      </c>
      <c r="C28" s="292">
        <f>ROUND((C5+C19+C20)*F27*'数据-取费表'!B21/'数据-取费表'!B20,0)</f>
        <v>3846</v>
      </c>
      <c r="D28" s="278"/>
      <c r="E28" s="279"/>
      <c r="F28" s="289"/>
      <c r="G28" s="290"/>
    </row>
    <row r="29" spans="1:7" s="257" customFormat="1" ht="13.5" customHeight="1">
      <c r="A29" s="947" t="s">
        <v>792</v>
      </c>
      <c r="B29" s="291" t="s">
        <v>1063</v>
      </c>
      <c r="C29" s="281">
        <f>ROUND(C21*F27*'数据-取费表'!B21/'数据-取费表'!B20,4)</f>
        <v>3.5999999999999999E-3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30754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6912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6290</v>
      </c>
      <c r="D34" s="260"/>
      <c r="E34" s="263"/>
      <c r="F34" s="300">
        <f>IF('数据-取费表'!B24=0,1,'数据-取费表'!N16)</f>
        <v>1</v>
      </c>
      <c r="G34" s="262" t="s">
        <v>116</v>
      </c>
    </row>
    <row r="35" spans="1:7" ht="13.5" customHeight="1">
      <c r="A35" s="947" t="s">
        <v>796</v>
      </c>
      <c r="B35" s="258" t="s">
        <v>60</v>
      </c>
      <c r="C35" s="263">
        <f>ROUND(C34*F35,0)</f>
        <v>189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339</v>
      </c>
      <c r="D37" s="260">
        <f>'数据-汇总表'!E3</f>
        <v>16965.740000000005</v>
      </c>
      <c r="E37" s="292">
        <f>'数据-取费表'!B35</f>
        <v>200</v>
      </c>
      <c r="F37" s="302"/>
      <c r="G37" s="304" t="s">
        <v>119</v>
      </c>
    </row>
    <row r="38" spans="1:7" ht="13.5" customHeight="1">
      <c r="A38" s="947" t="s">
        <v>799</v>
      </c>
      <c r="B38" s="258" t="s">
        <v>63</v>
      </c>
      <c r="C38" s="263">
        <f>ROUND(C34*F38,0)</f>
        <v>94</v>
      </c>
      <c r="D38" s="263"/>
      <c r="E38" s="263"/>
      <c r="F38" s="302">
        <f>'数据-取费表'!B36</f>
        <v>1.4999999999999999E-2</v>
      </c>
      <c r="G38" s="262" t="s">
        <v>117</v>
      </c>
    </row>
    <row r="39" spans="1:7" s="257" customFormat="1" ht="13.5" customHeight="1">
      <c r="A39" s="944" t="s">
        <v>783</v>
      </c>
      <c r="B39" s="253" t="s">
        <v>104</v>
      </c>
      <c r="C39" s="275">
        <f>ROUND(C33*F20,0)</f>
        <v>138</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508</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498</v>
      </c>
      <c r="D42" s="281"/>
      <c r="E42" s="281"/>
      <c r="F42" s="282"/>
      <c r="G42" s="3250" t="s">
        <v>121</v>
      </c>
    </row>
    <row r="43" spans="1:7" ht="13.5" customHeight="1">
      <c r="A43" s="947" t="s">
        <v>792</v>
      </c>
      <c r="B43" s="258" t="s">
        <v>1064</v>
      </c>
      <c r="C43" s="281">
        <f ca="1">ROUND(IF('数据-取费表'!B22&lt;=1,C39*F22*'数据-取费表'!B21/2,C39*(POWER((1+F22),'数据-取费表'!B21/2)-1)),0)</f>
        <v>10</v>
      </c>
      <c r="D43" s="281"/>
      <c r="E43" s="281"/>
      <c r="F43" s="282"/>
      <c r="G43" s="3251"/>
    </row>
    <row r="44" spans="1:7" ht="13.5" customHeight="1">
      <c r="A44" s="947" t="s">
        <v>793</v>
      </c>
      <c r="B44" s="258" t="s">
        <v>1066</v>
      </c>
      <c r="C44" s="281">
        <f ca="1">ROUND(IF('数据-取费表'!B22&lt;=1,C40*F22*'数据-取费表'!B21/2,C40*(POWER((1+F22),'数据-取费表'!B21/2)-1)),4)</f>
        <v>1.4E-3</v>
      </c>
      <c r="D44" s="281"/>
      <c r="E44" s="281"/>
      <c r="F44" s="282"/>
      <c r="G44" s="3252"/>
    </row>
    <row r="45" spans="1:7" s="257" customFormat="1" ht="13.5" customHeight="1">
      <c r="A45" s="944" t="s">
        <v>786</v>
      </c>
      <c r="B45" s="287" t="s">
        <v>112</v>
      </c>
      <c r="C45" s="288">
        <f>C46</f>
        <v>1269</v>
      </c>
      <c r="D45" s="278">
        <f>C47</f>
        <v>3.5999999999999999E-3</v>
      </c>
      <c r="E45" s="279" t="s">
        <v>129</v>
      </c>
      <c r="F45" s="289"/>
      <c r="G45" s="290" t="s">
        <v>1072</v>
      </c>
    </row>
    <row r="46" spans="1:7" s="257" customFormat="1" ht="13.5" customHeight="1">
      <c r="A46" s="947" t="s">
        <v>794</v>
      </c>
      <c r="B46" s="291" t="s">
        <v>1065</v>
      </c>
      <c r="C46" s="292">
        <f>ROUND((C33+C39)*F27,0)</f>
        <v>1269</v>
      </c>
      <c r="D46" s="306"/>
      <c r="E46" s="279"/>
      <c r="F46" s="289"/>
      <c r="G46" s="290"/>
    </row>
    <row r="47" spans="1:7" s="257" customFormat="1" ht="13.5" customHeight="1">
      <c r="A47" s="947" t="s">
        <v>792</v>
      </c>
      <c r="B47" s="291" t="s">
        <v>1067</v>
      </c>
      <c r="C47" s="281">
        <f>ROUND(C40*F27,4)</f>
        <v>3.5999999999999999E-3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9567</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9376</v>
      </c>
      <c r="D51" s="275"/>
      <c r="E51" s="275"/>
      <c r="F51" s="307"/>
      <c r="G51" s="277" t="s">
        <v>64</v>
      </c>
    </row>
    <row r="52" spans="1:7" s="251" customFormat="1" ht="16.5" thickBot="1">
      <c r="A52" s="308" t="s">
        <v>65</v>
      </c>
      <c r="B52" s="309"/>
      <c r="C52" s="310">
        <f ca="1">C31+C51</f>
        <v>40130</v>
      </c>
      <c r="D52" s="309"/>
      <c r="E52" s="309"/>
      <c r="F52" s="309"/>
      <c r="G52" s="311"/>
    </row>
    <row r="55" spans="1:7" ht="15">
      <c r="B55" s="313" t="s">
        <v>66</v>
      </c>
      <c r="C55" s="314"/>
    </row>
    <row r="56" spans="1:7">
      <c r="B56" s="316" t="s">
        <v>67</v>
      </c>
      <c r="C56" s="317">
        <f ca="1">ROUND(C51/C52,3)</f>
        <v>0.23400000000000001</v>
      </c>
    </row>
    <row r="57" spans="1:7">
      <c r="B57" s="316" t="s">
        <v>68</v>
      </c>
      <c r="C57" s="318">
        <f ca="1">1-C56</f>
        <v>0.76600000000000001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06" t="s">
        <v>156</v>
      </c>
      <c r="B1" s="3406"/>
      <c r="C1" s="3406"/>
      <c r="D1" s="3406"/>
      <c r="E1" s="3406"/>
      <c r="F1" s="340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07" t="s">
        <v>169</v>
      </c>
      <c r="B2" s="3407"/>
      <c r="C2" s="3407"/>
      <c r="D2" s="3407"/>
      <c r="E2" s="3407"/>
      <c r="F2" s="340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0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0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06" t="s">
        <v>871</v>
      </c>
      <c r="B1" s="340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1641</v>
      </c>
      <c r="B2" s="3085" t="s">
        <v>1642</v>
      </c>
      <c r="C2" s="3085" t="s">
        <v>1643</v>
      </c>
      <c r="D2" s="3085" t="str">
        <f>'结果表（办公）'!D116</f>
        <v>出让国有建设用地使用权价值</v>
      </c>
      <c r="E2" s="3085"/>
      <c r="F2" s="3085" t="str">
        <f>'结果表（办公）'!F116</f>
        <v>在建建筑物价值</v>
      </c>
      <c r="G2" s="3085"/>
      <c r="H2" s="3085" t="str">
        <f>IF(项目基本情况!B9="房地产市场价值","房地产市场价值","房地产价值")</f>
        <v>房地产价值</v>
      </c>
      <c r="I2" s="3085"/>
    </row>
    <row r="3" spans="1:9" ht="15">
      <c r="A3" s="3079"/>
      <c r="B3" s="3079"/>
      <c r="C3" s="3079"/>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16965.740000000005</v>
      </c>
      <c r="C4" s="1040">
        <f>项目基本情况!C18</f>
        <v>2729.33</v>
      </c>
      <c r="D4" s="1040">
        <f ca="1">'结果表（办公）'!D118</f>
        <v>49087</v>
      </c>
      <c r="E4" s="1040">
        <f ca="1">'结果表（办公）'!E118</f>
        <v>37539</v>
      </c>
      <c r="F4" s="1040">
        <f ca="1">'结果表（办公）'!F118</f>
        <v>7991</v>
      </c>
      <c r="G4" s="1040">
        <f ca="1">'结果表（办公）'!G118</f>
        <v>6111</v>
      </c>
      <c r="H4" s="1040">
        <f ca="1">'结果表（办公）'!H118</f>
        <v>57078</v>
      </c>
      <c r="I4" s="1040">
        <f ca="1">'结果表（办公）'!I118</f>
        <v>43650</v>
      </c>
    </row>
    <row r="5" spans="1:9" ht="30" customHeight="1">
      <c r="A5" s="3079" t="s">
        <v>1640</v>
      </c>
      <c r="B5" s="3079"/>
      <c r="C5" s="3079"/>
      <c r="D5" s="3080" t="str">
        <f ca="1">'结果表（办公）'!D119</f>
        <v>肆亿玖仟零捌拾柒万元整</v>
      </c>
      <c r="E5" s="3080"/>
      <c r="F5" s="3080" t="str">
        <f ca="1">'结果表（办公）'!F119</f>
        <v>柒仟玖佰玖拾壹万元整</v>
      </c>
      <c r="G5" s="3080"/>
      <c r="H5" s="3080" t="str">
        <f ca="1">'结果表（办公）'!H119</f>
        <v>伍亿柒仟零柒拾捌万元整</v>
      </c>
      <c r="I5" s="3080"/>
    </row>
    <row r="6" spans="1:9" ht="15.75">
      <c r="A6" s="3078" t="str">
        <f>'结果表（办公）'!A120</f>
        <v>估价师知悉的法定优先受偿款</v>
      </c>
      <c r="B6" s="3078"/>
      <c r="C6" s="3078"/>
      <c r="D6" s="3078">
        <f>'结果表（办公）'!D120</f>
        <v>0</v>
      </c>
      <c r="E6" s="3078"/>
      <c r="F6" s="3078"/>
      <c r="G6" s="3078"/>
      <c r="H6" s="3078"/>
      <c r="I6" s="3078"/>
    </row>
    <row r="7" spans="1:9" ht="15">
      <c r="A7" s="3079" t="s">
        <v>1640</v>
      </c>
      <c r="B7" s="3079"/>
      <c r="C7" s="3079"/>
      <c r="D7" s="3081" t="str">
        <f>'结果表（办公）'!D121</f>
        <v>零元整</v>
      </c>
      <c r="E7" s="3082"/>
      <c r="F7" s="3082"/>
      <c r="G7" s="3082"/>
      <c r="H7" s="3082"/>
      <c r="I7" s="3083"/>
    </row>
    <row r="8" spans="1:9" ht="15.75">
      <c r="A8" s="3078" t="str">
        <f>'结果表（办公）'!A122</f>
        <v/>
      </c>
      <c r="B8" s="3078"/>
      <c r="C8" s="3078"/>
      <c r="D8" s="3078" t="str">
        <f>'结果表（办公）'!D122</f>
        <v>——</v>
      </c>
      <c r="E8" s="3078"/>
      <c r="F8" s="3078"/>
      <c r="G8" s="3078"/>
      <c r="H8" s="3078"/>
      <c r="I8" s="3078"/>
    </row>
    <row r="9" spans="1:9" ht="15">
      <c r="A9" s="3079" t="s">
        <v>1640</v>
      </c>
      <c r="B9" s="3079"/>
      <c r="C9" s="3079"/>
      <c r="D9" s="3080" t="e">
        <f>'结果表（办公）'!D123</f>
        <v>#VALUE!</v>
      </c>
      <c r="E9" s="3080"/>
      <c r="F9" s="3080"/>
      <c r="G9" s="3080"/>
      <c r="H9" s="3080"/>
      <c r="I9" s="3080"/>
    </row>
    <row r="10" spans="1:9" ht="15.75">
      <c r="A10" s="3078" t="str">
        <f>'结果表（办公）'!A124</f>
        <v>抵押担保权已注销时的房地产抵押价值</v>
      </c>
      <c r="B10" s="3078"/>
      <c r="C10" s="3078"/>
      <c r="D10" s="3078">
        <f ca="1">'结果表（办公）'!D124</f>
        <v>57078</v>
      </c>
      <c r="E10" s="3078"/>
      <c r="F10" s="3078"/>
      <c r="G10" s="3078"/>
      <c r="H10" s="3078"/>
      <c r="I10" s="3078"/>
    </row>
    <row r="11" spans="1:9" ht="15">
      <c r="A11" s="3079" t="s">
        <v>1640</v>
      </c>
      <c r="B11" s="3079"/>
      <c r="C11" s="3079"/>
      <c r="D11" s="3080" t="str">
        <f ca="1">'结果表（办公）'!D125</f>
        <v>伍亿柒仟零柒拾捌万元整</v>
      </c>
      <c r="E11" s="3080"/>
      <c r="F11" s="3080"/>
      <c r="G11" s="3080"/>
      <c r="H11" s="3080"/>
      <c r="I11" s="3080"/>
    </row>
    <row r="12" spans="1:9" ht="15.75">
      <c r="A12" s="3078" t="str">
        <f>'结果表（办公）'!A126</f>
        <v/>
      </c>
      <c r="B12" s="3078"/>
      <c r="C12" s="3078"/>
      <c r="D12" s="3078" t="str">
        <f>'结果表（办公）'!D126</f>
        <v>——</v>
      </c>
      <c r="E12" s="3078"/>
      <c r="F12" s="3078"/>
      <c r="G12" s="3078"/>
      <c r="H12" s="3078"/>
      <c r="I12" s="3078"/>
    </row>
    <row r="13" spans="1:9" ht="15.75" thickBot="1">
      <c r="A13" s="3075" t="s">
        <v>1640</v>
      </c>
      <c r="B13" s="3075"/>
      <c r="C13" s="3075"/>
      <c r="D13" s="3076" t="e">
        <f>'结果表（办公）'!D127</f>
        <v>#VALUE!</v>
      </c>
      <c r="E13" s="3076"/>
      <c r="F13" s="3076"/>
      <c r="G13" s="3076"/>
      <c r="H13" s="3076"/>
      <c r="I13" s="3076"/>
    </row>
    <row r="14" spans="1:9" ht="15" thickTop="1">
      <c r="A14" s="3077" t="s">
        <v>1645</v>
      </c>
      <c r="B14" s="3077"/>
      <c r="C14" s="3077"/>
      <c r="D14" s="3077"/>
      <c r="E14" s="3077"/>
      <c r="F14" s="3077"/>
      <c r="G14" s="3077"/>
      <c r="H14" s="3077"/>
      <c r="I14" s="3077"/>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43182</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3188</v>
      </c>
      <c r="B1" s="1734" t="s">
        <v>3189</v>
      </c>
      <c r="C1" s="1734" t="s">
        <v>3190</v>
      </c>
      <c r="D1" s="1734" t="s">
        <v>3191</v>
      </c>
      <c r="E1" s="1734" t="s">
        <v>3192</v>
      </c>
      <c r="F1" s="1734" t="s">
        <v>3193</v>
      </c>
      <c r="G1" s="1734" t="s">
        <v>3194</v>
      </c>
      <c r="H1" s="1734" t="s">
        <v>3195</v>
      </c>
      <c r="I1" s="1734" t="s">
        <v>3196</v>
      </c>
      <c r="J1" s="1734" t="s">
        <v>3197</v>
      </c>
      <c r="K1" s="1734" t="s">
        <v>3198</v>
      </c>
      <c r="L1" s="1734" t="s">
        <v>3199</v>
      </c>
      <c r="M1" s="1734" t="s">
        <v>3200</v>
      </c>
    </row>
    <row r="2" spans="1:13" s="2990" customFormat="1" ht="14.25">
      <c r="A2" s="2989" t="s">
        <v>3201</v>
      </c>
      <c r="B2" s="2989" t="s">
        <v>3062</v>
      </c>
      <c r="C2" s="2989" t="s">
        <v>3202</v>
      </c>
      <c r="D2" s="2989">
        <v>18303.330000000002</v>
      </c>
      <c r="E2" s="2989">
        <v>58571</v>
      </c>
      <c r="F2" s="2989">
        <v>3.2</v>
      </c>
      <c r="G2" s="2989" t="s">
        <v>3203</v>
      </c>
      <c r="H2" s="2989" t="s">
        <v>3204</v>
      </c>
      <c r="I2" s="2989">
        <v>79600</v>
      </c>
      <c r="J2" s="2989">
        <v>129000</v>
      </c>
      <c r="K2" s="2989">
        <v>22024.54</v>
      </c>
      <c r="L2" s="2989">
        <v>62.06</v>
      </c>
      <c r="M2" s="2989" t="s">
        <v>3205</v>
      </c>
    </row>
    <row r="3" spans="1:13">
      <c r="A3" s="1734" t="s">
        <v>3206</v>
      </c>
      <c r="B3" s="1734" t="s">
        <v>3062</v>
      </c>
      <c r="C3" s="1734" t="s">
        <v>3202</v>
      </c>
      <c r="D3" s="1734">
        <v>29183.54</v>
      </c>
      <c r="E3" s="1734">
        <v>72959</v>
      </c>
      <c r="F3" s="1734">
        <v>2.5</v>
      </c>
      <c r="G3" s="1734" t="s">
        <v>3203</v>
      </c>
      <c r="H3" s="1734" t="s">
        <v>3207</v>
      </c>
      <c r="I3" s="1734">
        <v>83000</v>
      </c>
      <c r="J3" s="1734">
        <v>106000</v>
      </c>
      <c r="K3" s="1734">
        <v>14528.7</v>
      </c>
      <c r="L3" s="1734">
        <v>27.71</v>
      </c>
      <c r="M3" s="1734" t="s">
        <v>3208</v>
      </c>
    </row>
    <row r="4" spans="1:13">
      <c r="A4" s="1734" t="s">
        <v>3209</v>
      </c>
      <c r="B4" s="1734" t="s">
        <v>3062</v>
      </c>
      <c r="C4" s="1734" t="s">
        <v>3202</v>
      </c>
      <c r="D4" s="1734">
        <v>23639.39</v>
      </c>
      <c r="E4" s="1734">
        <v>75646</v>
      </c>
      <c r="F4" s="1734">
        <v>3.2</v>
      </c>
      <c r="G4" s="1734" t="s">
        <v>3203</v>
      </c>
      <c r="H4" s="1734" t="s">
        <v>3210</v>
      </c>
      <c r="I4" s="1734">
        <v>102000</v>
      </c>
      <c r="J4" s="1734">
        <v>103020</v>
      </c>
      <c r="K4" s="1734">
        <v>13618.7</v>
      </c>
      <c r="L4" s="1734">
        <v>1</v>
      </c>
      <c r="M4" s="1734" t="s">
        <v>3211</v>
      </c>
    </row>
    <row r="5" spans="1:13" s="2990" customFormat="1">
      <c r="A5" s="2989" t="s">
        <v>3212</v>
      </c>
      <c r="B5" s="2989" t="s">
        <v>3062</v>
      </c>
      <c r="C5" s="2989" t="s">
        <v>3202</v>
      </c>
      <c r="D5" s="2989">
        <v>33619.79</v>
      </c>
      <c r="E5" s="2989">
        <v>134479</v>
      </c>
      <c r="F5" s="2989">
        <v>4</v>
      </c>
      <c r="G5" s="2989" t="s">
        <v>3203</v>
      </c>
      <c r="H5" s="2989" t="s">
        <v>3213</v>
      </c>
      <c r="I5" s="2989">
        <v>153000</v>
      </c>
      <c r="J5" s="2989">
        <v>334000</v>
      </c>
      <c r="K5" s="2989">
        <v>24836.59</v>
      </c>
      <c r="L5" s="2989">
        <v>118.3</v>
      </c>
      <c r="M5" s="2989" t="s">
        <v>3214</v>
      </c>
    </row>
    <row r="6" spans="1:13">
      <c r="A6" s="1734" t="s">
        <v>3215</v>
      </c>
      <c r="B6" s="1734" t="s">
        <v>3062</v>
      </c>
      <c r="C6" s="1734" t="s">
        <v>3202</v>
      </c>
      <c r="D6" s="1734">
        <v>71916.58</v>
      </c>
      <c r="E6" s="1734">
        <v>107875</v>
      </c>
      <c r="F6" s="1734">
        <v>1.5</v>
      </c>
      <c r="G6" s="1734" t="s">
        <v>3203</v>
      </c>
      <c r="H6" s="1734" t="s">
        <v>3216</v>
      </c>
      <c r="I6" s="1734">
        <v>90000</v>
      </c>
      <c r="J6" s="1734">
        <v>181000</v>
      </c>
      <c r="K6" s="1734">
        <v>16778.68</v>
      </c>
      <c r="L6" s="1734">
        <v>101.11</v>
      </c>
      <c r="M6" s="1734" t="s">
        <v>3217</v>
      </c>
    </row>
    <row r="7" spans="1:13">
      <c r="A7" s="1734" t="s">
        <v>3218</v>
      </c>
      <c r="B7" s="1734" t="s">
        <v>3062</v>
      </c>
      <c r="C7" s="1734" t="s">
        <v>3202</v>
      </c>
      <c r="D7" s="1734">
        <v>47919.26</v>
      </c>
      <c r="E7" s="1734">
        <v>143758</v>
      </c>
      <c r="F7" s="1734">
        <v>3</v>
      </c>
      <c r="G7" s="1734" t="s">
        <v>3203</v>
      </c>
      <c r="H7" s="1734" t="s">
        <v>3219</v>
      </c>
      <c r="I7" s="1734">
        <v>120000</v>
      </c>
      <c r="J7" s="1734">
        <v>130000</v>
      </c>
      <c r="K7" s="1734">
        <v>9042.9599999999991</v>
      </c>
      <c r="L7" s="1734">
        <v>8.33</v>
      </c>
      <c r="M7" s="1734" t="s">
        <v>3217</v>
      </c>
    </row>
    <row r="8" spans="1:13">
      <c r="A8" s="1734" t="s">
        <v>3220</v>
      </c>
      <c r="B8" s="1734" t="s">
        <v>3062</v>
      </c>
      <c r="C8" s="1734" t="s">
        <v>3202</v>
      </c>
      <c r="D8" s="1734">
        <v>61900.3</v>
      </c>
      <c r="E8" s="1734">
        <v>111421</v>
      </c>
      <c r="F8" s="1734">
        <v>1.8</v>
      </c>
      <c r="G8" s="1734" t="s">
        <v>3203</v>
      </c>
      <c r="H8" s="1734" t="s">
        <v>3221</v>
      </c>
      <c r="I8" s="1734">
        <v>89500</v>
      </c>
      <c r="J8" s="1734">
        <v>197000</v>
      </c>
      <c r="K8" s="1734">
        <v>17680.68</v>
      </c>
      <c r="L8" s="1734">
        <v>120.11</v>
      </c>
      <c r="M8" s="1734" t="s">
        <v>3217</v>
      </c>
    </row>
    <row r="9" spans="1:13">
      <c r="A9" s="1734" t="s">
        <v>3222</v>
      </c>
      <c r="B9" s="1734" t="s">
        <v>3062</v>
      </c>
      <c r="C9" s="1734" t="s">
        <v>3202</v>
      </c>
      <c r="D9" s="1734">
        <v>66594.820000000007</v>
      </c>
      <c r="E9" s="1734">
        <v>119871</v>
      </c>
      <c r="F9" s="1734">
        <v>1.8</v>
      </c>
      <c r="G9" s="1734" t="s">
        <v>3203</v>
      </c>
      <c r="H9" s="1734" t="s">
        <v>3221</v>
      </c>
      <c r="I9" s="1734">
        <v>96000</v>
      </c>
      <c r="J9" s="1734">
        <v>196000</v>
      </c>
      <c r="K9" s="1734">
        <v>16350.9</v>
      </c>
      <c r="L9" s="1734">
        <v>104.17</v>
      </c>
      <c r="M9" s="1734" t="s">
        <v>3217</v>
      </c>
    </row>
    <row r="10" spans="1:13">
      <c r="A10" s="1734" t="s">
        <v>3223</v>
      </c>
      <c r="B10" s="1734" t="s">
        <v>3062</v>
      </c>
      <c r="C10" s="1734" t="s">
        <v>3202</v>
      </c>
      <c r="D10" s="1734">
        <v>24464</v>
      </c>
      <c r="E10" s="1734">
        <v>48928</v>
      </c>
      <c r="F10" s="1734">
        <v>2</v>
      </c>
      <c r="G10" s="1734" t="s">
        <v>3203</v>
      </c>
      <c r="H10" s="1734" t="s">
        <v>3224</v>
      </c>
      <c r="I10" s="1734">
        <v>28200</v>
      </c>
      <c r="J10" s="1734">
        <v>46800</v>
      </c>
      <c r="K10" s="1734">
        <v>9565.07</v>
      </c>
      <c r="L10" s="1734">
        <v>65.959999999999994</v>
      </c>
      <c r="M10" s="1734" t="s">
        <v>3225</v>
      </c>
    </row>
    <row r="11" spans="1:13">
      <c r="A11" s="1734" t="s">
        <v>3226</v>
      </c>
      <c r="B11" s="1734" t="s">
        <v>3062</v>
      </c>
      <c r="C11" s="1734" t="s">
        <v>3202</v>
      </c>
      <c r="D11" s="1734">
        <v>38024.39</v>
      </c>
      <c r="E11" s="1734">
        <v>106468</v>
      </c>
      <c r="F11" s="1734">
        <v>2.8</v>
      </c>
      <c r="G11" s="1734" t="s">
        <v>3203</v>
      </c>
      <c r="H11" s="1734" t="s">
        <v>3227</v>
      </c>
      <c r="I11" s="1734">
        <v>87000</v>
      </c>
      <c r="J11" s="1734">
        <v>97000</v>
      </c>
      <c r="K11" s="1734">
        <v>9110.7099999999991</v>
      </c>
      <c r="L11" s="1734">
        <v>11.49</v>
      </c>
      <c r="M11" s="1734" t="s">
        <v>3228</v>
      </c>
    </row>
    <row r="12" spans="1:13">
      <c r="A12" s="1734" t="s">
        <v>3229</v>
      </c>
      <c r="B12" s="1734" t="s">
        <v>3062</v>
      </c>
      <c r="C12" s="1734" t="s">
        <v>3202</v>
      </c>
      <c r="D12" s="1734">
        <v>13920.77</v>
      </c>
      <c r="E12" s="1734">
        <v>16705</v>
      </c>
      <c r="F12" s="1734">
        <v>1.2</v>
      </c>
      <c r="G12" s="1734" t="s">
        <v>3203</v>
      </c>
      <c r="H12" s="1734" t="s">
        <v>3230</v>
      </c>
      <c r="I12" s="1734">
        <v>10500</v>
      </c>
      <c r="J12" s="1734">
        <v>12200</v>
      </c>
      <c r="K12" s="1734">
        <v>7303.19</v>
      </c>
      <c r="L12" s="1734">
        <v>16.190000000000001</v>
      </c>
      <c r="M12" s="1734" t="s">
        <v>3231</v>
      </c>
    </row>
    <row r="13" spans="1:13" s="2992" customFormat="1">
      <c r="A13" s="2991" t="s">
        <v>3232</v>
      </c>
      <c r="B13" s="2991" t="s">
        <v>3062</v>
      </c>
      <c r="C13" s="2991" t="s">
        <v>3202</v>
      </c>
      <c r="D13" s="2991">
        <v>6189.23</v>
      </c>
      <c r="E13" s="2991">
        <v>6189</v>
      </c>
      <c r="F13" s="2991">
        <v>1</v>
      </c>
      <c r="G13" s="2991" t="s">
        <v>3203</v>
      </c>
      <c r="H13" s="2991" t="s">
        <v>3233</v>
      </c>
      <c r="I13" s="2991">
        <v>7500</v>
      </c>
      <c r="J13" s="2991">
        <v>12900</v>
      </c>
      <c r="K13" s="2991">
        <v>20843.43</v>
      </c>
      <c r="L13" s="2991">
        <v>72</v>
      </c>
      <c r="M13" s="2991" t="s">
        <v>3234</v>
      </c>
    </row>
    <row r="14" spans="1:13">
      <c r="A14" s="1734" t="s">
        <v>3235</v>
      </c>
      <c r="B14" s="1734" t="s">
        <v>3062</v>
      </c>
      <c r="C14" s="1734" t="s">
        <v>3202</v>
      </c>
      <c r="D14" s="1734">
        <v>40417.42</v>
      </c>
      <c r="E14" s="1734">
        <v>121252</v>
      </c>
      <c r="F14" s="1734">
        <v>3</v>
      </c>
      <c r="G14" s="1734" t="s">
        <v>3203</v>
      </c>
      <c r="H14" s="1734" t="s">
        <v>3236</v>
      </c>
      <c r="I14" s="1734">
        <v>103000</v>
      </c>
      <c r="J14" s="1734">
        <v>191000</v>
      </c>
      <c r="K14" s="1734">
        <v>15752.31</v>
      </c>
      <c r="L14" s="1734">
        <v>85.44</v>
      </c>
      <c r="M14" s="1734" t="s">
        <v>3237</v>
      </c>
    </row>
    <row r="15" spans="1:13">
      <c r="A15" s="1734" t="s">
        <v>3238</v>
      </c>
      <c r="B15" s="1734" t="s">
        <v>3062</v>
      </c>
      <c r="C15" s="1734" t="s">
        <v>3202</v>
      </c>
      <c r="D15" s="1734">
        <v>48028.78</v>
      </c>
      <c r="E15" s="1734">
        <v>122714</v>
      </c>
      <c r="F15" s="1734">
        <v>2.56</v>
      </c>
      <c r="G15" s="1734" t="s">
        <v>3203</v>
      </c>
      <c r="H15" s="1734" t="s">
        <v>3236</v>
      </c>
      <c r="I15" s="1734">
        <v>98000</v>
      </c>
      <c r="J15" s="1734">
        <v>108000</v>
      </c>
      <c r="K15" s="1734">
        <v>8800.9500000000007</v>
      </c>
      <c r="L15" s="1734">
        <v>10.199999999999999</v>
      </c>
      <c r="M15" s="1734" t="s">
        <v>3239</v>
      </c>
    </row>
    <row r="16" spans="1:13">
      <c r="A16" s="1734" t="s">
        <v>3240</v>
      </c>
      <c r="B16" s="1734" t="s">
        <v>3062</v>
      </c>
      <c r="C16" s="1734" t="s">
        <v>3202</v>
      </c>
      <c r="D16" s="1734">
        <v>46923.74</v>
      </c>
      <c r="E16" s="1734">
        <v>94797</v>
      </c>
      <c r="F16" s="1734">
        <v>2.02</v>
      </c>
      <c r="G16" s="1734" t="s">
        <v>3203</v>
      </c>
      <c r="H16" s="1734" t="s">
        <v>3241</v>
      </c>
      <c r="I16" s="1734">
        <v>75900</v>
      </c>
      <c r="J16" s="1734">
        <v>76300</v>
      </c>
      <c r="K16" s="1734">
        <v>8048.77</v>
      </c>
      <c r="L16" s="1734">
        <v>0.53</v>
      </c>
      <c r="M16" s="1734" t="s">
        <v>3242</v>
      </c>
    </row>
    <row r="17" spans="1:13">
      <c r="A17" s="1734" t="s">
        <v>3243</v>
      </c>
      <c r="B17" s="1734" t="s">
        <v>3062</v>
      </c>
      <c r="C17" s="1734" t="s">
        <v>3202</v>
      </c>
      <c r="D17" s="1734">
        <v>51666</v>
      </c>
      <c r="E17" s="1734">
        <v>129165</v>
      </c>
      <c r="F17" s="1734" t="s">
        <v>3244</v>
      </c>
      <c r="G17" s="1734" t="s">
        <v>3203</v>
      </c>
      <c r="H17" s="1734" t="s">
        <v>3241</v>
      </c>
      <c r="I17" s="1734">
        <v>64600</v>
      </c>
      <c r="J17" s="1734">
        <v>81000</v>
      </c>
      <c r="K17" s="1734">
        <v>6271.05</v>
      </c>
      <c r="L17" s="1734">
        <v>25.39</v>
      </c>
      <c r="M17" s="1734" t="s">
        <v>3245</v>
      </c>
    </row>
    <row r="18" spans="1:13">
      <c r="A18" s="1734" t="s">
        <v>3246</v>
      </c>
      <c r="B18" s="1734" t="s">
        <v>3062</v>
      </c>
      <c r="C18" s="1734" t="s">
        <v>3202</v>
      </c>
      <c r="D18" s="1734">
        <v>85515.199999999997</v>
      </c>
      <c r="E18" s="1734">
        <v>283835.3</v>
      </c>
      <c r="F18" s="1734" t="s">
        <v>3247</v>
      </c>
      <c r="G18" s="1734" t="s">
        <v>3203</v>
      </c>
      <c r="H18" s="1734" t="s">
        <v>3241</v>
      </c>
      <c r="I18" s="1734">
        <v>142000</v>
      </c>
      <c r="J18" s="1734">
        <v>145000</v>
      </c>
      <c r="K18" s="1734">
        <v>5108.6000000000004</v>
      </c>
      <c r="L18" s="1734">
        <v>2.11</v>
      </c>
      <c r="M18" s="1734" t="s">
        <v>3248</v>
      </c>
    </row>
    <row r="19" spans="1:13" s="2992" customFormat="1">
      <c r="A19" s="2991" t="s">
        <v>3249</v>
      </c>
      <c r="B19" s="2991" t="s">
        <v>3062</v>
      </c>
      <c r="C19" s="2991" t="s">
        <v>3202</v>
      </c>
      <c r="D19" s="2991">
        <v>33628.9</v>
      </c>
      <c r="E19" s="2991">
        <v>82719</v>
      </c>
      <c r="F19" s="2991">
        <v>2.5</v>
      </c>
      <c r="G19" s="2991" t="s">
        <v>3203</v>
      </c>
      <c r="H19" s="2991" t="s">
        <v>3250</v>
      </c>
      <c r="I19" s="2991">
        <v>66200</v>
      </c>
      <c r="J19" s="2991">
        <v>171000</v>
      </c>
      <c r="K19" s="2991">
        <v>20672.400000000001</v>
      </c>
      <c r="L19" s="2991">
        <v>158.31</v>
      </c>
      <c r="M19" s="2991" t="s">
        <v>3251</v>
      </c>
    </row>
    <row r="20" spans="1:13">
      <c r="A20" s="1734" t="s">
        <v>3252</v>
      </c>
      <c r="B20" s="1734" t="s">
        <v>3062</v>
      </c>
      <c r="C20" s="1734" t="s">
        <v>3202</v>
      </c>
      <c r="D20" s="1734">
        <v>47871.43</v>
      </c>
      <c r="E20" s="1734">
        <v>176549</v>
      </c>
      <c r="F20" s="1734">
        <v>3.69</v>
      </c>
      <c r="G20" s="1734" t="s">
        <v>3203</v>
      </c>
      <c r="H20" s="1734" t="s">
        <v>3250</v>
      </c>
      <c r="I20" s="1734">
        <v>141000</v>
      </c>
      <c r="J20" s="1734">
        <v>346000</v>
      </c>
      <c r="K20" s="1734">
        <v>19597.95</v>
      </c>
      <c r="L20" s="1734">
        <v>145.38999999999999</v>
      </c>
      <c r="M20" s="1734" t="s">
        <v>3251</v>
      </c>
    </row>
    <row r="21" spans="1:13">
      <c r="A21" s="1734" t="s">
        <v>3253</v>
      </c>
      <c r="B21" s="1734" t="s">
        <v>3062</v>
      </c>
      <c r="C21" s="1734" t="s">
        <v>3202</v>
      </c>
      <c r="D21" s="1734">
        <v>50532</v>
      </c>
      <c r="E21" s="1734">
        <v>90958</v>
      </c>
      <c r="F21" s="1734">
        <v>1.8</v>
      </c>
      <c r="G21" s="1734" t="s">
        <v>3203</v>
      </c>
      <c r="H21" s="1734" t="s">
        <v>3254</v>
      </c>
      <c r="I21" s="1734">
        <v>45500</v>
      </c>
      <c r="J21" s="1734">
        <v>46000</v>
      </c>
      <c r="K21" s="1734">
        <v>5057.2700000000004</v>
      </c>
      <c r="L21" s="1734">
        <v>1.1000000000000001</v>
      </c>
      <c r="M21" s="1734" t="s">
        <v>3255</v>
      </c>
    </row>
    <row r="22" spans="1:13">
      <c r="A22" s="1734" t="s">
        <v>3256</v>
      </c>
      <c r="B22" s="1734" t="s">
        <v>3062</v>
      </c>
      <c r="C22" s="1734" t="s">
        <v>3202</v>
      </c>
      <c r="D22" s="1734">
        <v>92124</v>
      </c>
      <c r="E22" s="1734">
        <v>184248</v>
      </c>
      <c r="F22" s="1734">
        <v>2</v>
      </c>
      <c r="G22" s="1734" t="s">
        <v>3203</v>
      </c>
      <c r="H22" s="1734" t="s">
        <v>3257</v>
      </c>
      <c r="I22" s="1734">
        <v>55300</v>
      </c>
      <c r="J22" s="1734">
        <v>111500</v>
      </c>
      <c r="K22" s="1734">
        <v>6051.63</v>
      </c>
      <c r="L22" s="1734">
        <v>101.63</v>
      </c>
      <c r="M22" s="1734" t="s">
        <v>3255</v>
      </c>
    </row>
    <row r="23" spans="1:13">
      <c r="A23" s="1734" t="s">
        <v>3258</v>
      </c>
      <c r="B23" s="1734" t="s">
        <v>3062</v>
      </c>
      <c r="C23" s="1734" t="s">
        <v>3202</v>
      </c>
      <c r="D23" s="1734">
        <v>64322.98</v>
      </c>
      <c r="E23" s="1734">
        <v>126996</v>
      </c>
      <c r="F23" s="1734">
        <v>1.97</v>
      </c>
      <c r="G23" s="1734" t="s">
        <v>3203</v>
      </c>
      <c r="H23" s="1734" t="s">
        <v>3257</v>
      </c>
      <c r="I23" s="1734" t="s">
        <v>1331</v>
      </c>
      <c r="J23" s="1734">
        <v>112500</v>
      </c>
      <c r="K23" s="1734">
        <v>8858.5400000000009</v>
      </c>
      <c r="L23" s="1734" t="s">
        <v>1331</v>
      </c>
      <c r="M23" s="1734" t="s">
        <v>3259</v>
      </c>
    </row>
    <row r="24" spans="1:13">
      <c r="A24" s="1734" t="s">
        <v>3260</v>
      </c>
      <c r="B24" s="1734" t="s">
        <v>3062</v>
      </c>
      <c r="C24" s="1734" t="s">
        <v>3202</v>
      </c>
      <c r="D24" s="1734">
        <v>34970</v>
      </c>
      <c r="E24" s="1734">
        <v>87425</v>
      </c>
      <c r="F24" s="1734">
        <v>2.5</v>
      </c>
      <c r="G24" s="1734" t="s">
        <v>3203</v>
      </c>
      <c r="H24" s="1734" t="s">
        <v>3261</v>
      </c>
      <c r="I24" s="1734">
        <v>20500</v>
      </c>
      <c r="J24" s="1734">
        <v>69500</v>
      </c>
      <c r="K24" s="1734">
        <v>7949.67</v>
      </c>
      <c r="L24" s="1734">
        <v>239.02</v>
      </c>
      <c r="M24" s="1734" t="s">
        <v>3262</v>
      </c>
    </row>
    <row r="25" spans="1:13">
      <c r="A25" s="1734" t="s">
        <v>3263</v>
      </c>
      <c r="B25" s="1734" t="s">
        <v>3062</v>
      </c>
      <c r="C25" s="1734" t="s">
        <v>3202</v>
      </c>
      <c r="D25" s="1734">
        <v>73208.92</v>
      </c>
      <c r="E25" s="1734">
        <v>73209</v>
      </c>
      <c r="F25" s="1734">
        <v>1</v>
      </c>
      <c r="G25" s="1734" t="s">
        <v>3203</v>
      </c>
      <c r="H25" s="1734" t="s">
        <v>3261</v>
      </c>
      <c r="I25" s="1734">
        <v>39300</v>
      </c>
      <c r="J25" s="1734">
        <v>91000</v>
      </c>
      <c r="K25" s="1734">
        <v>12430.17</v>
      </c>
      <c r="L25" s="1734">
        <v>131.55000000000001</v>
      </c>
      <c r="M25" s="1734" t="s">
        <v>3264</v>
      </c>
    </row>
    <row r="26" spans="1:13">
      <c r="A26" s="1734" t="s">
        <v>3265</v>
      </c>
      <c r="B26" s="1734" t="s">
        <v>3062</v>
      </c>
      <c r="C26" s="1734" t="s">
        <v>3202</v>
      </c>
      <c r="D26" s="1734">
        <v>97991.86</v>
      </c>
      <c r="E26" s="1734">
        <v>97992</v>
      </c>
      <c r="F26" s="1734">
        <v>1</v>
      </c>
      <c r="G26" s="1734" t="s">
        <v>3266</v>
      </c>
      <c r="H26" s="1734" t="s">
        <v>3267</v>
      </c>
      <c r="I26" s="1734" t="s">
        <v>1331</v>
      </c>
      <c r="J26" s="1734">
        <v>28380</v>
      </c>
      <c r="K26" s="1734">
        <v>2896.15</v>
      </c>
      <c r="L26" s="1734" t="s">
        <v>1331</v>
      </c>
      <c r="M26" s="1734" t="s">
        <v>3268</v>
      </c>
    </row>
    <row r="27" spans="1:13">
      <c r="A27" s="1734" t="s">
        <v>3269</v>
      </c>
      <c r="B27" s="1734" t="s">
        <v>3062</v>
      </c>
      <c r="C27" s="1734" t="s">
        <v>3202</v>
      </c>
      <c r="D27" s="1734">
        <v>61102.5</v>
      </c>
      <c r="E27" s="1734">
        <v>213858.8</v>
      </c>
      <c r="F27" s="1734">
        <v>3.5</v>
      </c>
      <c r="G27" s="1734" t="s">
        <v>3203</v>
      </c>
      <c r="H27" s="1734" t="s">
        <v>3270</v>
      </c>
      <c r="I27" s="1734">
        <v>34500</v>
      </c>
      <c r="J27" s="1734">
        <v>34500</v>
      </c>
      <c r="K27" s="1734">
        <v>1613.21</v>
      </c>
      <c r="L27" s="1734">
        <v>0</v>
      </c>
      <c r="M27" s="1734" t="s">
        <v>3271</v>
      </c>
    </row>
    <row r="28" spans="1:13">
      <c r="A28" s="1734" t="s">
        <v>3272</v>
      </c>
      <c r="B28" s="1734" t="s">
        <v>3062</v>
      </c>
      <c r="C28" s="1734" t="s">
        <v>3202</v>
      </c>
      <c r="D28" s="1734">
        <v>11827.6</v>
      </c>
      <c r="E28" s="1734">
        <v>29569</v>
      </c>
      <c r="F28" s="1734">
        <v>2.5</v>
      </c>
      <c r="G28" s="1734" t="s">
        <v>3203</v>
      </c>
      <c r="H28" s="1734" t="s">
        <v>3273</v>
      </c>
      <c r="I28" s="1734">
        <v>4400</v>
      </c>
      <c r="J28" s="1734">
        <v>4400</v>
      </c>
      <c r="K28" s="1734">
        <v>1488.03</v>
      </c>
      <c r="L28" s="1734">
        <v>0</v>
      </c>
      <c r="M28" s="1734" t="s">
        <v>3274</v>
      </c>
    </row>
    <row r="29" spans="1:13">
      <c r="A29" s="1734" t="s">
        <v>3275</v>
      </c>
      <c r="B29" s="1734" t="s">
        <v>3062</v>
      </c>
      <c r="C29" s="1734" t="s">
        <v>3202</v>
      </c>
      <c r="D29" s="1734">
        <v>45012.4</v>
      </c>
      <c r="E29" s="1734">
        <v>209402.4</v>
      </c>
      <c r="F29" s="1734">
        <v>4.6500000000000004</v>
      </c>
      <c r="G29" s="1734" t="s">
        <v>3203</v>
      </c>
      <c r="H29" s="1734" t="s">
        <v>3276</v>
      </c>
      <c r="I29" s="1734">
        <v>29500</v>
      </c>
      <c r="J29" s="1734">
        <v>29500</v>
      </c>
      <c r="K29" s="1734">
        <v>1408.76</v>
      </c>
      <c r="L29" s="1734">
        <v>0</v>
      </c>
      <c r="M29" s="1734" t="s">
        <v>3277</v>
      </c>
    </row>
    <row r="30" spans="1:13">
      <c r="A30" s="1734" t="s">
        <v>3278</v>
      </c>
      <c r="B30" s="1734" t="s">
        <v>3062</v>
      </c>
      <c r="C30" s="1734" t="s">
        <v>3202</v>
      </c>
      <c r="D30" s="1734">
        <v>46375</v>
      </c>
      <c r="E30" s="1734">
        <v>139125</v>
      </c>
      <c r="F30" s="1734">
        <v>3</v>
      </c>
      <c r="G30" s="1734" t="s">
        <v>3203</v>
      </c>
      <c r="H30" s="1734" t="s">
        <v>3279</v>
      </c>
      <c r="I30" s="1734">
        <v>27825</v>
      </c>
      <c r="J30" s="1734">
        <v>27825</v>
      </c>
      <c r="K30" s="1734">
        <v>2000</v>
      </c>
      <c r="L30" s="1734">
        <v>0</v>
      </c>
      <c r="M30" s="1734" t="s">
        <v>3280</v>
      </c>
    </row>
    <row r="31" spans="1:13">
      <c r="A31" s="1734" t="s">
        <v>3281</v>
      </c>
      <c r="B31" s="1734" t="s">
        <v>3062</v>
      </c>
      <c r="C31" s="1734" t="s">
        <v>3202</v>
      </c>
      <c r="D31" s="1734">
        <v>10868.5</v>
      </c>
      <c r="E31" s="1734">
        <v>27171.25</v>
      </c>
      <c r="F31" s="1734">
        <v>2.5</v>
      </c>
      <c r="G31" s="1734" t="s">
        <v>3203</v>
      </c>
      <c r="H31" s="1734" t="s">
        <v>3282</v>
      </c>
      <c r="I31" s="1734">
        <v>3550</v>
      </c>
      <c r="J31" s="1734">
        <v>3550</v>
      </c>
      <c r="K31" s="1734">
        <v>1306.52</v>
      </c>
      <c r="L31" s="1734">
        <v>0</v>
      </c>
      <c r="M31" s="1734" t="s">
        <v>3283</v>
      </c>
    </row>
    <row r="32" spans="1:13">
      <c r="A32" s="1734"/>
      <c r="B32" s="1734"/>
      <c r="C32" s="1734"/>
      <c r="D32" s="1734"/>
      <c r="E32" s="1734"/>
      <c r="F32" s="1734"/>
      <c r="G32" s="1734"/>
      <c r="H32" s="1734"/>
      <c r="I32" s="1734"/>
      <c r="J32" s="1734"/>
      <c r="K32" s="1734"/>
      <c r="L32" s="1734"/>
      <c r="M32" s="1734"/>
    </row>
    <row r="33" spans="1:14">
      <c r="A33" s="2993" t="s">
        <v>3188</v>
      </c>
      <c r="B33" s="2993" t="s">
        <v>3189</v>
      </c>
      <c r="C33" s="2993" t="s">
        <v>3190</v>
      </c>
      <c r="D33" s="2993" t="s">
        <v>3194</v>
      </c>
      <c r="E33" s="2993" t="s">
        <v>3191</v>
      </c>
      <c r="F33" s="2993" t="s">
        <v>3192</v>
      </c>
      <c r="G33" s="2993" t="s">
        <v>3193</v>
      </c>
      <c r="H33" s="2993" t="s">
        <v>3284</v>
      </c>
      <c r="I33" s="2993" t="s">
        <v>3200</v>
      </c>
      <c r="J33" s="2993" t="s">
        <v>3197</v>
      </c>
      <c r="K33" s="2993" t="s">
        <v>3285</v>
      </c>
      <c r="L33" s="2993" t="s">
        <v>3198</v>
      </c>
      <c r="M33" s="2993" t="s">
        <v>3199</v>
      </c>
      <c r="N33" s="2993" t="s">
        <v>3286</v>
      </c>
    </row>
    <row r="34" spans="1:14">
      <c r="A34" s="2993" t="s">
        <v>3287</v>
      </c>
      <c r="B34" s="2993" t="s">
        <v>3062</v>
      </c>
      <c r="C34" s="2993" t="s">
        <v>3202</v>
      </c>
      <c r="D34" s="2993" t="s">
        <v>3203</v>
      </c>
      <c r="E34" s="2993">
        <v>120885</v>
      </c>
      <c r="F34" s="2993">
        <v>256512</v>
      </c>
      <c r="G34" s="2993" t="s">
        <v>1331</v>
      </c>
      <c r="H34" s="2993" t="s">
        <v>3288</v>
      </c>
      <c r="I34" s="2993" t="s">
        <v>3289</v>
      </c>
      <c r="J34" s="2993">
        <v>250000</v>
      </c>
      <c r="K34" s="2993">
        <v>1378.72</v>
      </c>
      <c r="L34" s="2993">
        <v>9746.1200000000008</v>
      </c>
      <c r="M34" s="2993">
        <v>0</v>
      </c>
      <c r="N34" s="2993" t="s">
        <v>3290</v>
      </c>
    </row>
    <row r="35" spans="1:14" s="2990" customFormat="1">
      <c r="A35" s="2994" t="s">
        <v>3291</v>
      </c>
      <c r="B35" s="2994" t="s">
        <v>3062</v>
      </c>
      <c r="C35" s="2994" t="s">
        <v>3202</v>
      </c>
      <c r="D35" s="2994" t="s">
        <v>3203</v>
      </c>
      <c r="E35" s="2994">
        <v>85709</v>
      </c>
      <c r="F35" s="2994">
        <v>179122</v>
      </c>
      <c r="G35" s="2994">
        <v>2.09</v>
      </c>
      <c r="H35" s="2994" t="s">
        <v>3292</v>
      </c>
      <c r="I35" s="2994" t="s">
        <v>3293</v>
      </c>
      <c r="J35" s="2994">
        <v>378000</v>
      </c>
      <c r="K35" s="2994">
        <v>2940.18</v>
      </c>
      <c r="L35" s="2994">
        <v>21102.93</v>
      </c>
      <c r="M35" s="2994">
        <v>200</v>
      </c>
      <c r="N35" s="2994" t="s">
        <v>3294</v>
      </c>
    </row>
    <row r="36" spans="1:14">
      <c r="A36" s="2993" t="s">
        <v>3295</v>
      </c>
      <c r="B36" s="2993" t="s">
        <v>3062</v>
      </c>
      <c r="C36" s="2993" t="s">
        <v>3202</v>
      </c>
      <c r="D36" s="2993" t="s">
        <v>3203</v>
      </c>
      <c r="E36" s="2993">
        <v>10384</v>
      </c>
      <c r="F36" s="2993">
        <v>25960</v>
      </c>
      <c r="G36" s="2993">
        <v>2.5</v>
      </c>
      <c r="H36" s="2993" t="s">
        <v>3292</v>
      </c>
      <c r="I36" s="2993" t="s">
        <v>3296</v>
      </c>
      <c r="J36" s="2993">
        <v>51300</v>
      </c>
      <c r="K36" s="2993">
        <v>3293.53</v>
      </c>
      <c r="L36" s="2993">
        <v>19761.16</v>
      </c>
      <c r="M36" s="2993">
        <v>0</v>
      </c>
      <c r="N36" s="2993" t="s">
        <v>3294</v>
      </c>
    </row>
    <row r="37" spans="1:14">
      <c r="A37" s="2993" t="s">
        <v>3297</v>
      </c>
      <c r="B37" s="2993" t="s">
        <v>3062</v>
      </c>
      <c r="C37" s="2993" t="s">
        <v>3202</v>
      </c>
      <c r="D37" s="2993" t="s">
        <v>3203</v>
      </c>
      <c r="E37" s="2993">
        <v>8466</v>
      </c>
      <c r="F37" s="2993">
        <v>21165</v>
      </c>
      <c r="G37" s="2993">
        <v>2.5</v>
      </c>
      <c r="H37" s="2993" t="s">
        <v>3298</v>
      </c>
      <c r="I37" s="2993" t="s">
        <v>3299</v>
      </c>
      <c r="J37" s="2993">
        <v>42000</v>
      </c>
      <c r="K37" s="2993">
        <v>3307.35</v>
      </c>
      <c r="L37" s="2993">
        <v>19844.080000000002</v>
      </c>
      <c r="M37" s="2993">
        <v>3.45</v>
      </c>
      <c r="N37" s="2993" t="s">
        <v>3294</v>
      </c>
    </row>
    <row r="38" spans="1:14">
      <c r="A38" s="2993" t="s">
        <v>3300</v>
      </c>
      <c r="B38" s="2993" t="s">
        <v>3062</v>
      </c>
      <c r="C38" s="2993" t="s">
        <v>3202</v>
      </c>
      <c r="D38" s="2993" t="s">
        <v>3203</v>
      </c>
      <c r="E38" s="2993">
        <v>33776</v>
      </c>
      <c r="F38" s="2993">
        <v>94573</v>
      </c>
      <c r="G38" s="2993">
        <v>2.8</v>
      </c>
      <c r="H38" s="2993" t="s">
        <v>3301</v>
      </c>
      <c r="I38" s="2993" t="s">
        <v>3302</v>
      </c>
      <c r="J38" s="2993">
        <v>99500</v>
      </c>
      <c r="K38" s="2993">
        <v>1963.92</v>
      </c>
      <c r="L38" s="2993">
        <v>10520.96</v>
      </c>
      <c r="M38" s="2993">
        <v>197.01</v>
      </c>
      <c r="N38" s="2993" t="s">
        <v>3303</v>
      </c>
    </row>
    <row r="39" spans="1:14">
      <c r="A39" s="2993" t="s">
        <v>3304</v>
      </c>
      <c r="B39" s="2993" t="s">
        <v>3062</v>
      </c>
      <c r="C39" s="2993" t="s">
        <v>3202</v>
      </c>
      <c r="D39" s="2993" t="s">
        <v>3203</v>
      </c>
      <c r="E39" s="2993">
        <v>15192</v>
      </c>
      <c r="F39" s="2993">
        <v>42538</v>
      </c>
      <c r="G39" s="2993">
        <v>2.8</v>
      </c>
      <c r="H39" s="2993" t="s">
        <v>3301</v>
      </c>
      <c r="I39" s="2993" t="s">
        <v>3302</v>
      </c>
      <c r="J39" s="2993">
        <v>46500</v>
      </c>
      <c r="K39" s="2993">
        <v>2040.55</v>
      </c>
      <c r="L39" s="2993">
        <v>10931.39</v>
      </c>
      <c r="M39" s="2993">
        <v>210</v>
      </c>
      <c r="N39" s="2993" t="s">
        <v>3303</v>
      </c>
    </row>
    <row r="40" spans="1:14">
      <c r="A40" s="2993" t="s">
        <v>3305</v>
      </c>
      <c r="B40" s="2993" t="s">
        <v>3062</v>
      </c>
      <c r="C40" s="2993" t="s">
        <v>3202</v>
      </c>
      <c r="D40" s="2993" t="s">
        <v>3203</v>
      </c>
      <c r="E40" s="2993">
        <v>63879</v>
      </c>
      <c r="F40" s="2993">
        <v>185533</v>
      </c>
      <c r="G40" s="2993">
        <v>2.9</v>
      </c>
      <c r="H40" s="2993" t="s">
        <v>3301</v>
      </c>
      <c r="I40" s="2993" t="s">
        <v>3302</v>
      </c>
      <c r="J40" s="2993">
        <v>115500</v>
      </c>
      <c r="K40" s="2993">
        <v>1205.4000000000001</v>
      </c>
      <c r="L40" s="2993">
        <v>6225.31</v>
      </c>
      <c r="M40" s="2993">
        <v>77.69</v>
      </c>
      <c r="N40" s="2993" t="s">
        <v>3303</v>
      </c>
    </row>
    <row r="41" spans="1:14">
      <c r="A41" s="2993" t="s">
        <v>3306</v>
      </c>
      <c r="B41" s="2993" t="s">
        <v>3062</v>
      </c>
      <c r="C41" s="2993" t="s">
        <v>3202</v>
      </c>
      <c r="D41" s="2993" t="s">
        <v>3203</v>
      </c>
      <c r="E41" s="2993">
        <v>64413</v>
      </c>
      <c r="F41" s="2993">
        <v>135267</v>
      </c>
      <c r="G41" s="2993">
        <v>2.1</v>
      </c>
      <c r="H41" s="2993" t="s">
        <v>3307</v>
      </c>
      <c r="I41" s="2993" t="s">
        <v>3308</v>
      </c>
      <c r="J41" s="2993">
        <v>40000</v>
      </c>
      <c r="K41" s="2993">
        <v>414</v>
      </c>
      <c r="L41" s="2993">
        <v>2957.11</v>
      </c>
      <c r="M41" s="2993">
        <v>97.04</v>
      </c>
      <c r="N41" s="2993" t="s">
        <v>3303</v>
      </c>
    </row>
    <row r="42" spans="1:14">
      <c r="A42" s="2993" t="s">
        <v>3309</v>
      </c>
      <c r="B42" s="2993" t="s">
        <v>3062</v>
      </c>
      <c r="C42" s="2993" t="s">
        <v>3202</v>
      </c>
      <c r="D42" s="2993" t="s">
        <v>3203</v>
      </c>
      <c r="E42" s="2993">
        <v>46605</v>
      </c>
      <c r="F42" s="2993">
        <v>163118</v>
      </c>
      <c r="G42" s="2993">
        <v>3.5</v>
      </c>
      <c r="H42" s="2993" t="s">
        <v>3310</v>
      </c>
      <c r="I42" s="2993" t="s">
        <v>3311</v>
      </c>
      <c r="J42" s="2993">
        <v>246000</v>
      </c>
      <c r="K42" s="2993">
        <v>3518.94</v>
      </c>
      <c r="L42" s="2993">
        <v>15081.11</v>
      </c>
      <c r="M42" s="2993">
        <v>214.18</v>
      </c>
      <c r="N42" s="2993" t="s">
        <v>3303</v>
      </c>
    </row>
    <row r="43" spans="1:14">
      <c r="A43" s="2993" t="s">
        <v>3312</v>
      </c>
      <c r="B43" s="2993" t="s">
        <v>3062</v>
      </c>
      <c r="C43" s="2993" t="s">
        <v>3202</v>
      </c>
      <c r="D43" s="2993" t="s">
        <v>3203</v>
      </c>
      <c r="E43" s="2993">
        <v>21431</v>
      </c>
      <c r="F43" s="2993">
        <v>25717</v>
      </c>
      <c r="G43" s="2993">
        <v>1.2</v>
      </c>
      <c r="H43" s="2993" t="s">
        <v>3310</v>
      </c>
      <c r="I43" s="2993" t="s">
        <v>3313</v>
      </c>
      <c r="J43" s="2993">
        <v>10400</v>
      </c>
      <c r="K43" s="2993">
        <v>323.52</v>
      </c>
      <c r="L43" s="2993">
        <v>4044.01</v>
      </c>
      <c r="M43" s="2993">
        <v>0.97</v>
      </c>
      <c r="N43" s="2993" t="s">
        <v>3303</v>
      </c>
    </row>
    <row r="44" spans="1:14">
      <c r="A44" s="2993" t="s">
        <v>3314</v>
      </c>
      <c r="B44" s="2993" t="s">
        <v>3062</v>
      </c>
      <c r="C44" s="2993" t="s">
        <v>3202</v>
      </c>
      <c r="D44" s="2993" t="s">
        <v>3203</v>
      </c>
      <c r="E44" s="2993">
        <v>63949</v>
      </c>
      <c r="F44" s="2993">
        <v>156384</v>
      </c>
      <c r="G44" s="2993">
        <v>2.4500000000000002</v>
      </c>
      <c r="H44" s="2993" t="s">
        <v>3254</v>
      </c>
      <c r="I44" s="2993" t="s">
        <v>3315</v>
      </c>
      <c r="J44" s="2993">
        <v>90000</v>
      </c>
      <c r="K44" s="2993">
        <v>938.25</v>
      </c>
      <c r="L44" s="2993">
        <v>5755.06</v>
      </c>
      <c r="M44" s="2993">
        <v>1.1200000000000001</v>
      </c>
      <c r="N44" s="2993" t="s">
        <v>3303</v>
      </c>
    </row>
    <row r="45" spans="1:14">
      <c r="A45" s="2993" t="s">
        <v>3316</v>
      </c>
      <c r="B45" s="2993" t="s">
        <v>3062</v>
      </c>
      <c r="C45" s="2993" t="s">
        <v>3202</v>
      </c>
      <c r="D45" s="2993" t="s">
        <v>3203</v>
      </c>
      <c r="E45" s="2993">
        <v>33260</v>
      </c>
      <c r="F45" s="2993">
        <v>116410</v>
      </c>
      <c r="G45" s="2993">
        <v>3.5</v>
      </c>
      <c r="H45" s="2993" t="s">
        <v>3317</v>
      </c>
      <c r="I45" s="2993" t="s">
        <v>3318</v>
      </c>
      <c r="J45" s="2993">
        <v>55300</v>
      </c>
      <c r="K45" s="2993">
        <v>1108.44</v>
      </c>
      <c r="L45" s="2993">
        <v>4750.4399999999996</v>
      </c>
      <c r="M45" s="2993">
        <v>0.55000000000000004</v>
      </c>
      <c r="N45" s="2993" t="s">
        <v>3303</v>
      </c>
    </row>
    <row r="46" spans="1:14">
      <c r="A46" s="2993" t="s">
        <v>3319</v>
      </c>
      <c r="B46" s="2993" t="s">
        <v>3062</v>
      </c>
      <c r="C46" s="2993" t="s">
        <v>3202</v>
      </c>
      <c r="D46" s="2993" t="s">
        <v>3203</v>
      </c>
      <c r="E46" s="2993">
        <v>24718</v>
      </c>
      <c r="F46" s="2993">
        <v>86513</v>
      </c>
      <c r="G46" s="2993">
        <v>3.5</v>
      </c>
      <c r="H46" s="2993" t="s">
        <v>3320</v>
      </c>
      <c r="I46" s="2993" t="s">
        <v>3318</v>
      </c>
      <c r="J46" s="2993">
        <v>42400</v>
      </c>
      <c r="K46" s="2993">
        <v>1143.57</v>
      </c>
      <c r="L46" s="2993">
        <v>4901</v>
      </c>
      <c r="M46" s="2993">
        <v>0.95</v>
      </c>
      <c r="N46" s="2993" t="s">
        <v>3303</v>
      </c>
    </row>
    <row r="47" spans="1:14">
      <c r="A47" s="2993" t="s">
        <v>3321</v>
      </c>
      <c r="B47" s="2993" t="s">
        <v>3062</v>
      </c>
      <c r="C47" s="2993" t="s">
        <v>3202</v>
      </c>
      <c r="D47" s="2993" t="s">
        <v>3203</v>
      </c>
      <c r="E47" s="2993">
        <v>18153</v>
      </c>
      <c r="F47" s="2993">
        <v>18859</v>
      </c>
      <c r="G47" s="2993">
        <v>1.04</v>
      </c>
      <c r="H47" s="2993" t="s">
        <v>3322</v>
      </c>
      <c r="I47" s="2993" t="s">
        <v>3323</v>
      </c>
      <c r="J47" s="2993">
        <v>3900</v>
      </c>
      <c r="K47" s="2993">
        <v>143.22999999999999</v>
      </c>
      <c r="L47" s="2993">
        <v>2067.98</v>
      </c>
      <c r="M47" s="2993">
        <v>0</v>
      </c>
      <c r="N47" s="2993" t="s">
        <v>3303</v>
      </c>
    </row>
    <row r="48" spans="1:14">
      <c r="A48" s="2993" t="s">
        <v>3324</v>
      </c>
      <c r="B48" s="2993" t="s">
        <v>3062</v>
      </c>
      <c r="C48" s="2993" t="s">
        <v>3202</v>
      </c>
      <c r="D48" s="2993" t="s">
        <v>3266</v>
      </c>
      <c r="E48" s="2993">
        <v>52958</v>
      </c>
      <c r="F48" s="2993">
        <v>121340</v>
      </c>
      <c r="G48" s="2993">
        <v>2.29</v>
      </c>
      <c r="H48" s="2993" t="s">
        <v>3325</v>
      </c>
      <c r="I48" s="2993" t="s">
        <v>3326</v>
      </c>
      <c r="J48" s="2993">
        <v>63600</v>
      </c>
      <c r="K48" s="2993">
        <v>800.63</v>
      </c>
      <c r="L48" s="2993">
        <v>5241.47</v>
      </c>
      <c r="M48" s="2993" t="s">
        <v>1331</v>
      </c>
      <c r="N48" s="2993" t="s">
        <v>3303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92" t="s">
        <v>1662</v>
      </c>
      <c r="B1" s="3092"/>
      <c r="C1" s="3092"/>
      <c r="D1" s="3092"/>
    </row>
    <row r="2" spans="1:4" ht="18">
      <c r="A2" s="3093" t="s">
        <v>1646</v>
      </c>
      <c r="B2" s="3093"/>
      <c r="C2" s="3093"/>
      <c r="D2" s="3093"/>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93" t="s">
        <v>1652</v>
      </c>
      <c r="B6" s="3093"/>
      <c r="C6" s="3093"/>
      <c r="D6" s="3093"/>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94" t="s">
        <v>1655</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1656</v>
      </c>
      <c r="B16" s="3088"/>
      <c r="C16" s="3088"/>
      <c r="D16" s="3088"/>
    </row>
    <row r="17" spans="1:4" ht="144" customHeight="1">
      <c r="A17" s="3088" t="s">
        <v>1657</v>
      </c>
      <c r="B17" s="3088"/>
      <c r="C17" s="3088"/>
      <c r="D17" s="3088"/>
    </row>
    <row r="18" spans="1:4" ht="15.75" customHeight="1">
      <c r="A18" s="3086" t="str">
        <f>IF(项目基本情况!B8="抵押",'结果表（办公）'!K120,"——")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1658</v>
      </c>
      <c r="B22" s="3090"/>
      <c r="C22" s="3090"/>
      <c r="D22" s="3090"/>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00" t="s">
        <v>1669</v>
      </c>
      <c r="B15" s="3095" t="s">
        <v>136</v>
      </c>
      <c r="C15" s="3096"/>
    </row>
    <row r="16" spans="1:7" ht="13.5">
      <c r="A16" s="3101"/>
      <c r="B16" s="3095" t="s">
        <v>69</v>
      </c>
      <c r="C16" s="3096"/>
    </row>
    <row r="17" spans="1:3" ht="13.5">
      <c r="A17" s="3101"/>
      <c r="B17" s="3098" t="s">
        <v>1670</v>
      </c>
      <c r="C17" s="1996" t="s">
        <v>1669</v>
      </c>
    </row>
    <row r="18" spans="1:3" ht="13.5">
      <c r="A18" s="3101"/>
      <c r="B18" s="3098"/>
      <c r="C18" s="1996" t="s">
        <v>1671</v>
      </c>
    </row>
    <row r="19" spans="1:3" ht="13.5">
      <c r="A19" s="3101"/>
      <c r="B19" s="3098"/>
      <c r="C19" s="1996" t="s">
        <v>1672</v>
      </c>
    </row>
    <row r="20" spans="1:3" ht="13.5">
      <c r="A20" s="3102"/>
      <c r="B20" s="3097" t="s">
        <v>1673</v>
      </c>
      <c r="C20" s="3096"/>
    </row>
    <row r="21" spans="1:3" ht="13.5">
      <c r="A21" s="1997" t="s">
        <v>1674</v>
      </c>
      <c r="B21" s="1998"/>
      <c r="C21" s="1999"/>
    </row>
    <row r="22" spans="1:3" ht="13.5">
      <c r="A22" s="3099" t="s">
        <v>1675</v>
      </c>
      <c r="B22" s="3097" t="s">
        <v>1676</v>
      </c>
      <c r="C22" s="3096"/>
    </row>
    <row r="23" spans="1:3" ht="13.5">
      <c r="A23" s="3099"/>
      <c r="B23" s="3097" t="s">
        <v>1677</v>
      </c>
      <c r="C23" s="3096"/>
    </row>
    <row r="24" spans="1:3" ht="13.5">
      <c r="A24" s="3099"/>
      <c r="B24" s="3097" t="s">
        <v>1678</v>
      </c>
      <c r="C24" s="3096"/>
    </row>
    <row r="25" spans="1:3" ht="13.5">
      <c r="A25" s="3099"/>
      <c r="B25" s="3098" t="s">
        <v>1679</v>
      </c>
      <c r="C25" s="1996" t="s">
        <v>1680</v>
      </c>
    </row>
    <row r="26" spans="1:3" ht="13.5">
      <c r="A26" s="3099"/>
      <c r="B26" s="3098"/>
      <c r="C26" s="1996" t="s">
        <v>1681</v>
      </c>
    </row>
    <row r="27" spans="1:3" ht="13.5">
      <c r="A27" s="3099"/>
      <c r="B27" s="3098"/>
      <c r="C27" s="1996" t="s">
        <v>1682</v>
      </c>
    </row>
    <row r="28" spans="1:3" ht="13.5">
      <c r="A28" s="3099"/>
      <c r="B28" s="3098"/>
      <c r="C28" s="1996" t="s">
        <v>1683</v>
      </c>
    </row>
    <row r="29" spans="1:3" ht="13.5">
      <c r="A29" s="3099"/>
      <c r="B29" s="3098"/>
      <c r="C29" s="1996" t="s">
        <v>1684</v>
      </c>
    </row>
    <row r="30" spans="1:3" ht="13.5">
      <c r="A30" s="3099"/>
      <c r="B30" s="3098"/>
      <c r="C30" s="1996" t="s">
        <v>1685</v>
      </c>
    </row>
    <row r="31" spans="1:3" ht="13.5">
      <c r="A31" s="3099"/>
      <c r="B31" s="3098"/>
      <c r="C31" s="1996" t="s">
        <v>1686</v>
      </c>
    </row>
    <row r="32" spans="1:3" ht="13.5">
      <c r="A32" s="3099"/>
      <c r="B32" s="3098"/>
      <c r="C32" s="1996" t="s">
        <v>1687</v>
      </c>
    </row>
    <row r="33" spans="1:3" ht="13.5">
      <c r="A33" s="3099"/>
      <c r="B33" s="3098"/>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43214</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103" t="s">
        <v>846</v>
      </c>
      <c r="B25" s="3103"/>
      <c r="C25" s="3103"/>
      <c r="D25" s="3103"/>
      <c r="E25" s="3103"/>
      <c r="F25" s="3103"/>
      <c r="G25" s="3103"/>
    </row>
    <row r="26" spans="1:7" s="1021" customFormat="1" ht="24" customHeight="1">
      <c r="A26" s="3104" t="s">
        <v>847</v>
      </c>
      <c r="B26" s="3104"/>
      <c r="C26" s="3105"/>
      <c r="D26" s="3106" t="s">
        <v>848</v>
      </c>
      <c r="E26" s="3104"/>
      <c r="F26" s="3104"/>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suton</cp:lastModifiedBy>
  <cp:lastPrinted>2017-03-01T09:15:43Z</cp:lastPrinted>
  <dcterms:created xsi:type="dcterms:W3CDTF">2015-07-13T07:17:23Z</dcterms:created>
  <dcterms:modified xsi:type="dcterms:W3CDTF">2018-04-24T03:37:59Z</dcterms:modified>
</cp:coreProperties>
</file>