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 sheetId="68" state="hidden" r:id="rId19"/>
    <sheet name="假设开发法" sheetId="12" state="hidden" r:id="rId20"/>
    <sheet name="比较法-办公" sheetId="34" r:id="rId21"/>
    <sheet name="收益法-办公" sheetId="15" r:id="rId22"/>
    <sheet name="结果表-车库" sheetId="78" r:id="rId23"/>
    <sheet name="成本法 (元)" sheetId="69" state="hidden" r:id="rId24"/>
    <sheet name="基准地价修正" sheetId="43" state="hidden" r:id="rId25"/>
    <sheet name="比较法-车位" sheetId="35" r:id="rId26"/>
    <sheet name="收益法-车库" sheetId="67"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s>
  <definedNames>
    <definedName name="_xlnm._FilterDatabase" localSheetId="20" hidden="1">'比较法-办公'!$A$1:$L$50</definedName>
    <definedName name="_xlnm._FilterDatabase" localSheetId="32" hidden="1">'比较法-仓储'!$A$1:$L$37</definedName>
    <definedName name="_xlnm._FilterDatabase" localSheetId="25"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25">'比较法-车位'!$A$1:$K$44,'比较法-车位'!$A$47:$M$102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基准地价修正!$A$1:$J$41,基准地价修正!$A$45:$H$88,基准地价修正!$R$1:$V$16</definedName>
    <definedName name="_xlnm.Print_Area" localSheetId="19">假设开发法!$A$1:$K$32</definedName>
    <definedName name="_xlnm.Print_Area" localSheetId="17">'结果表-办公'!$A$1:$I$127</definedName>
    <definedName name="_xlnm.Print_Area" localSheetId="22">'结果表-车库'!$A$1:$I$127</definedName>
    <definedName name="_xlnm.Print_Area" localSheetId="27">'收益法（汇总）'!$A$1:$F$13</definedName>
    <definedName name="_xlnm.Print_Area" localSheetId="21">'收益法-办公'!$A$1:$F$43,'收益法-办公'!$H$3:$M$29,'收益法-办公'!$A$46:$F$71,'收益法-办公'!$I$46:$N$65</definedName>
    <definedName name="_xlnm.Print_Area" localSheetId="26">'收益法-车库'!$A$1:$F$43,'收益法-车库'!$H$3:$M$29,'收益法-车库'!$A$45:$F$71,'收益法-车库'!$I$46:$N$65</definedName>
    <definedName name="_xlnm.Print_Area" localSheetId="13">'数据-汇总表'!$A$1:$P$32</definedName>
    <definedName name="_xlnm.Print_Area" localSheetId="11">'数据-基础表'!$A$1:$L$14</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34" l="1"/>
  <c r="G7" i="34"/>
  <c r="E7" i="34"/>
  <c r="C29" i="35" l="1"/>
  <c r="B29" i="1" l="1"/>
  <c r="D39" i="43"/>
  <c r="B15" i="74"/>
  <c r="A120" i="78"/>
  <c r="A118" i="78"/>
  <c r="E111" i="78"/>
  <c r="A126" i="78" s="1"/>
  <c r="E109" i="78"/>
  <c r="A124" i="78" s="1"/>
  <c r="E107" i="78"/>
  <c r="A122" i="78" s="1"/>
  <c r="H106" i="78"/>
  <c r="H103" i="78" s="1"/>
  <c r="D120" i="78" s="1"/>
  <c r="H105" i="78"/>
  <c r="H104" i="78"/>
  <c r="D101" i="78"/>
  <c r="C101" i="78"/>
  <c r="D93" i="78"/>
  <c r="C91" i="78"/>
  <c r="E90" i="78"/>
  <c r="D89" i="78"/>
  <c r="C89" i="78"/>
  <c r="C87" i="78" s="1"/>
  <c r="D78" i="78"/>
  <c r="H77" i="78"/>
  <c r="D77" i="78"/>
  <c r="C77" i="78" s="1"/>
  <c r="C76" i="78"/>
  <c r="C74" i="78" s="1"/>
  <c r="D68" i="78"/>
  <c r="F59" i="78"/>
  <c r="O55" i="78" s="1"/>
  <c r="E59" i="78"/>
  <c r="N56" i="78"/>
  <c r="M56" i="78"/>
  <c r="K56" i="78"/>
  <c r="J56" i="78"/>
  <c r="F56" i="78"/>
  <c r="O54" i="78" s="1"/>
  <c r="N55" i="78"/>
  <c r="K55" i="78"/>
  <c r="J55" i="78"/>
  <c r="J57" i="78" s="1"/>
  <c r="J59" i="78" s="1"/>
  <c r="J61" i="78" s="1"/>
  <c r="I55" i="78"/>
  <c r="F55" i="78"/>
  <c r="O53" i="78" s="1"/>
  <c r="N54" i="78"/>
  <c r="F54" i="78"/>
  <c r="N53" i="78"/>
  <c r="F53" i="78"/>
  <c r="F52" i="78"/>
  <c r="K49" i="78"/>
  <c r="F48" i="78"/>
  <c r="O52" i="78" s="1"/>
  <c r="E48" i="78"/>
  <c r="N52" i="78" s="1"/>
  <c r="F33" i="78"/>
  <c r="D27" i="78"/>
  <c r="C25" i="78"/>
  <c r="C24" i="78"/>
  <c r="M19" i="78"/>
  <c r="C118" i="78" s="1"/>
  <c r="L19" i="78"/>
  <c r="M18" i="78"/>
  <c r="B118" i="78" s="1"/>
  <c r="L18" i="78"/>
  <c r="D17" i="78"/>
  <c r="C17" i="78"/>
  <c r="L4" i="78"/>
  <c r="K4" i="78"/>
  <c r="A2" i="78"/>
  <c r="H1" i="78"/>
  <c r="I37" i="34"/>
  <c r="E37" i="34"/>
  <c r="G37" i="34"/>
  <c r="C34" i="34"/>
  <c r="Y7" i="1"/>
  <c r="C37" i="34"/>
  <c r="N7" i="1"/>
  <c r="N6" i="1"/>
  <c r="G20" i="6"/>
  <c r="F19" i="6"/>
  <c r="C18" i="78" l="1"/>
  <c r="D18" i="78" s="1"/>
  <c r="C92" i="78"/>
  <c r="C94" i="78"/>
  <c r="K120" i="78"/>
  <c r="D121" i="78"/>
  <c r="H109" i="78"/>
  <c r="D124" i="78" l="1"/>
  <c r="D125" i="78" s="1"/>
  <c r="H110" i="78"/>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s="1"/>
  <c r="C22" i="20"/>
  <c r="B75" i="43" s="1"/>
  <c r="B55" i="43"/>
  <c r="C25" i="40"/>
  <c r="S25" i="40"/>
  <c r="S29" i="39"/>
  <c r="S18" i="36"/>
  <c r="U18" i="36"/>
  <c r="F94" i="40"/>
  <c r="H25" i="40"/>
  <c r="G94" i="40"/>
  <c r="J25" i="40"/>
  <c r="F103" i="39"/>
  <c r="H29" i="39"/>
  <c r="G103" i="39"/>
  <c r="J29" i="39"/>
  <c r="G66" i="36"/>
  <c r="J18" i="36"/>
  <c r="H18" i="35"/>
  <c r="AB18" i="35" s="1"/>
  <c r="J18" i="35"/>
  <c r="AC18" i="35" s="1"/>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U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G41" i="43" s="1"/>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s="1"/>
  <c r="H12" i="35"/>
  <c r="U12" i="35" s="1"/>
  <c r="F12" i="35"/>
  <c r="S12" i="35" s="1"/>
  <c r="Q11" i="35"/>
  <c r="Z11" i="35" s="1"/>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c r="C19" i="34"/>
  <c r="Q17" i="34"/>
  <c r="Z17" i="34"/>
  <c r="C17" i="34"/>
  <c r="Q15" i="34"/>
  <c r="Z15" i="34"/>
  <c r="Q14" i="34"/>
  <c r="Z14" i="34" s="1"/>
  <c r="Q13" i="34"/>
  <c r="Z13" i="34"/>
  <c r="Q12" i="34"/>
  <c r="Z12" i="34"/>
  <c r="J12" i="34"/>
  <c r="W12" i="34" s="1"/>
  <c r="H12" i="34"/>
  <c r="F12" i="34"/>
  <c r="S12" i="34"/>
  <c r="Q11" i="34"/>
  <c r="Z11" i="34" s="1"/>
  <c r="Q10" i="34"/>
  <c r="Z10" i="34"/>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S34" i="35"/>
  <c r="W34" i="35"/>
  <c r="W36" i="35"/>
  <c r="W22" i="35"/>
  <c r="S31" i="35"/>
  <c r="U34" i="35"/>
  <c r="F36" i="34"/>
  <c r="J35" i="34"/>
  <c r="W9" i="34"/>
  <c r="S34" i="34"/>
  <c r="U34" i="34"/>
  <c r="H39" i="33"/>
  <c r="AB39" i="33"/>
  <c r="F26" i="33"/>
  <c r="AA26" i="33"/>
  <c r="S9" i="33"/>
  <c r="U33" i="33"/>
  <c r="U35" i="33"/>
  <c r="S40" i="33"/>
  <c r="W33" i="33"/>
  <c r="W39" i="33"/>
  <c r="H39" i="37"/>
  <c r="AB39" i="37"/>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H33" i="35"/>
  <c r="AB33" i="35" s="1"/>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F19" i="34"/>
  <c r="H17" i="34"/>
  <c r="U17"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42" i="34"/>
  <c r="S42" i="34"/>
  <c r="AC38" i="34"/>
  <c r="AA38" i="34"/>
  <c r="J11" i="33"/>
  <c r="W11" i="33"/>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s="1"/>
  <c r="H13" i="35"/>
  <c r="U13" i="35" s="1"/>
  <c r="J25" i="35"/>
  <c r="W25" i="35"/>
  <c r="F25" i="35"/>
  <c r="S25" i="35"/>
  <c r="H25" i="35"/>
  <c r="AB25" i="35"/>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AA12" i="35"/>
  <c r="W23" i="35"/>
  <c r="W14" i="37"/>
  <c r="AB28" i="37"/>
  <c r="U33" i="37"/>
  <c r="U39" i="37"/>
  <c r="W26" i="37"/>
  <c r="AC8" i="37"/>
  <c r="U26" i="37"/>
  <c r="W47" i="34"/>
  <c r="AB13" i="34"/>
  <c r="AA13" i="33"/>
  <c r="AC31" i="33"/>
  <c r="AC45" i="33"/>
  <c r="W44" i="33"/>
  <c r="U11" i="33"/>
  <c r="U19" i="21"/>
  <c r="W44" i="21"/>
  <c r="U26" i="21"/>
  <c r="AC46" i="21"/>
  <c r="U12" i="21"/>
  <c r="AB38" i="21"/>
  <c r="F43" i="33"/>
  <c r="AA43" i="33"/>
  <c r="W40" i="37"/>
  <c r="G107" i="37"/>
  <c r="H107" i="37"/>
  <c r="I107" i="37"/>
  <c r="J107" i="37"/>
  <c r="K107" i="37"/>
  <c r="L107" i="37"/>
  <c r="M107" i="37"/>
  <c r="H37" i="21"/>
  <c r="U37" i="21"/>
  <c r="S42" i="21"/>
  <c r="H19" i="34"/>
  <c r="AB19" i="34" s="1"/>
  <c r="F36" i="35"/>
  <c r="S36" i="35" s="1"/>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O12" i="1" s="1"/>
  <c r="P12" i="1" s="1"/>
  <c r="S13" i="1"/>
  <c r="AR13" i="1" s="1"/>
  <c r="R13" i="1"/>
  <c r="S11" i="1"/>
  <c r="AQ11" i="1" s="1"/>
  <c r="R11" i="1"/>
  <c r="S9" i="1"/>
  <c r="AR9" i="1" s="1"/>
  <c r="R9" i="1"/>
  <c r="J51" i="67"/>
  <c r="C42" i="1"/>
  <c r="C48" i="69" s="1"/>
  <c r="H100" i="43"/>
  <c r="C30" i="66"/>
  <c r="E26" i="66"/>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8" i="35"/>
  <c r="AB27" i="35"/>
  <c r="U36" i="35"/>
  <c r="U32" i="35"/>
  <c r="AA33" i="35"/>
  <c r="AC30" i="35"/>
  <c r="S32" i="35"/>
  <c r="AA36" i="35"/>
  <c r="W32" i="35"/>
  <c r="S28" i="35"/>
  <c r="U22" i="35"/>
  <c r="S20" i="35"/>
  <c r="AC20" i="35"/>
  <c r="S22" i="35"/>
  <c r="U14" i="35"/>
  <c r="AC10" i="35"/>
  <c r="AA10" i="35"/>
  <c r="AB10" i="35"/>
  <c r="AA11" i="35"/>
  <c r="S8" i="35"/>
  <c r="AC9" i="35"/>
  <c r="W9" i="35"/>
  <c r="AC12" i="35"/>
  <c r="W13" i="35"/>
  <c r="F9" i="35"/>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S23" i="34"/>
  <c r="S13" i="34"/>
  <c r="H10" i="34"/>
  <c r="AB10" i="34" s="1"/>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s="1"/>
  <c r="B3" i="3" s="1"/>
  <c r="E296" i="3" s="1"/>
  <c r="BA13" i="3"/>
  <c r="E10" i="6"/>
  <c r="BA5" i="3"/>
  <c r="E27" i="6" s="1"/>
  <c r="E11" i="6"/>
  <c r="E61" i="39" s="1"/>
  <c r="BL17" i="3"/>
  <c r="AZ17" i="3"/>
  <c r="BL13" i="3"/>
  <c r="E65" i="39"/>
  <c r="G30" i="6"/>
  <c r="G31" i="6" s="1"/>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H102" i="43" s="1"/>
  <c r="D101" i="43"/>
  <c r="D109" i="43" s="1"/>
  <c r="M101" i="43"/>
  <c r="M109" i="43" s="1"/>
  <c r="I101" i="43"/>
  <c r="I109" i="43" s="1"/>
  <c r="E101" i="43"/>
  <c r="E102" i="43" s="1"/>
  <c r="G22" i="43"/>
  <c r="D22" i="43" s="1"/>
  <c r="E32" i="6"/>
  <c r="L19" i="6"/>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c r="T35" i="4"/>
  <c r="A19" i="51"/>
  <c r="B14" i="72"/>
  <c r="C46" i="36"/>
  <c r="D46" i="36" s="1"/>
  <c r="C59" i="34"/>
  <c r="D59" i="34" s="1"/>
  <c r="E59" i="34" s="1"/>
  <c r="F59" i="34" s="1"/>
  <c r="G59" i="34" s="1"/>
  <c r="C52" i="37"/>
  <c r="D52" i="37" s="1"/>
  <c r="A4" i="51"/>
  <c r="B6" i="72" s="1"/>
  <c r="C48" i="35"/>
  <c r="D48" i="35" s="1"/>
  <c r="C4" i="12"/>
  <c r="H55" i="43"/>
  <c r="H56" i="43"/>
  <c r="H72" i="43"/>
  <c r="L20" i="6"/>
  <c r="E62" i="39"/>
  <c r="E56" i="39"/>
  <c r="E51" i="40"/>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49" i="43"/>
  <c r="B52" i="43"/>
  <c r="B56" i="43"/>
  <c r="B63" i="43"/>
  <c r="D23" i="15"/>
  <c r="D22" i="15"/>
  <c r="E4" i="4"/>
  <c r="B5" i="62" s="1"/>
  <c r="B73" i="72" s="1"/>
  <c r="C4" i="4"/>
  <c r="AZ13" i="3"/>
  <c r="M6" i="1"/>
  <c r="O6" i="1" s="1"/>
  <c r="F30" i="68"/>
  <c r="F48" i="68" s="1"/>
  <c r="F30" i="11"/>
  <c r="C48" i="11"/>
  <c r="F28" i="67"/>
  <c r="F31" i="12"/>
  <c r="F52" i="9"/>
  <c r="M18" i="67"/>
  <c r="F32" i="67"/>
  <c r="F60" i="67"/>
  <c r="F30" i="69"/>
  <c r="F48" i="69" s="1"/>
  <c r="F32" i="15"/>
  <c r="F60" i="15"/>
  <c r="M18" i="15"/>
  <c r="F28" i="15"/>
  <c r="E63" i="39"/>
  <c r="T11" i="1"/>
  <c r="D19" i="12"/>
  <c r="C19" i="12" s="1"/>
  <c r="AQ9" i="1"/>
  <c r="AR11" i="1"/>
  <c r="T9" i="1"/>
  <c r="T13" i="1"/>
  <c r="D9" i="68"/>
  <c r="C9" i="68" s="1"/>
  <c r="E7" i="70"/>
  <c r="AA39" i="40"/>
  <c r="S39" i="40"/>
  <c r="S12" i="33"/>
  <c r="AA12" i="33"/>
  <c r="D68" i="9"/>
  <c r="F54" i="9"/>
  <c r="J32" i="39"/>
  <c r="H107" i="39"/>
  <c r="I107" i="39"/>
  <c r="J107" i="39"/>
  <c r="K107" i="39"/>
  <c r="L107" i="39"/>
  <c r="M107" i="39"/>
  <c r="H32" i="39"/>
  <c r="AA32" i="39"/>
  <c r="S32" i="39"/>
  <c r="AB21" i="39"/>
  <c r="U21" i="39"/>
  <c r="AA21" i="39"/>
  <c r="S21" i="39"/>
  <c r="AC21" i="39"/>
  <c r="W21" i="39"/>
  <c r="AA9" i="35"/>
  <c r="S9" i="35"/>
  <c r="AC17" i="37"/>
  <c r="S17" i="37"/>
  <c r="J19" i="37"/>
  <c r="G75" i="37"/>
  <c r="S19" i="37"/>
  <c r="AA19" i="37"/>
  <c r="AA23" i="37"/>
  <c r="J23" i="37"/>
  <c r="G79" i="37"/>
  <c r="J10" i="37"/>
  <c r="I60" i="37"/>
  <c r="G63" i="37"/>
  <c r="H11" i="37"/>
  <c r="AB10" i="37"/>
  <c r="U10" i="37"/>
  <c r="H11" i="34"/>
  <c r="AB11" i="34" s="1"/>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K14" i="1"/>
  <c r="M14" i="1" s="1"/>
  <c r="BL5" i="3"/>
  <c r="E263" i="3"/>
  <c r="E301" i="3"/>
  <c r="E245" i="3"/>
  <c r="E159" i="3"/>
  <c r="E191" i="3"/>
  <c r="E99" i="3"/>
  <c r="E188" i="3"/>
  <c r="E91" i="3"/>
  <c r="E290" i="3"/>
  <c r="E221" i="3"/>
  <c r="E161" i="3"/>
  <c r="E180" i="3"/>
  <c r="E117" i="3"/>
  <c r="I104" i="43"/>
  <c r="I107" i="43"/>
  <c r="I105" i="43"/>
  <c r="D105" i="43"/>
  <c r="D106" i="43"/>
  <c r="D102" i="4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M7" i="1"/>
  <c r="O7" i="1" s="1"/>
  <c r="P7" i="1" s="1"/>
  <c r="H16" i="1"/>
  <c r="AB45" i="21"/>
  <c r="AC33" i="21"/>
  <c r="W33" i="21"/>
  <c r="S33" i="21"/>
  <c r="AA33" i="21"/>
  <c r="W32" i="21"/>
  <c r="AC32" i="21"/>
  <c r="AB9" i="21"/>
  <c r="U9" i="21"/>
  <c r="AA32" i="21"/>
  <c r="S32" i="21"/>
  <c r="W9" i="21"/>
  <c r="AC9" i="21"/>
  <c r="AB32" i="21"/>
  <c r="U32" i="21"/>
  <c r="AA10" i="21"/>
  <c r="S10" i="21"/>
  <c r="C30" i="11"/>
  <c r="E6" i="70"/>
  <c r="U32" i="39"/>
  <c r="AB32" i="39"/>
  <c r="AC32" i="39"/>
  <c r="W32" i="39"/>
  <c r="W19" i="37"/>
  <c r="AC19" i="37"/>
  <c r="W23" i="37"/>
  <c r="AC23" i="37"/>
  <c r="AB11" i="37"/>
  <c r="U11" i="37"/>
  <c r="H63" i="37"/>
  <c r="I63" i="37"/>
  <c r="J63" i="37"/>
  <c r="K63" i="37"/>
  <c r="L63" i="37"/>
  <c r="M63" i="37"/>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AD3" i="71"/>
  <c r="J1" i="73"/>
  <c r="C28" i="67"/>
  <c r="H77" i="43"/>
  <c r="H76" i="43"/>
  <c r="H51" i="43"/>
  <c r="M4" i="43"/>
  <c r="C6" i="43" s="1"/>
  <c r="M5" i="43"/>
  <c r="N12" i="43"/>
  <c r="N11" i="43"/>
  <c r="M10" i="43"/>
  <c r="M2" i="43"/>
  <c r="M7" i="43"/>
  <c r="H70" i="43"/>
  <c r="H54" i="43"/>
  <c r="N9" i="43"/>
  <c r="M8" i="43"/>
  <c r="N10" i="43"/>
  <c r="H48" i="43"/>
  <c r="H74" i="43"/>
  <c r="M6" i="43"/>
  <c r="N7" i="43"/>
  <c r="N4" i="43"/>
  <c r="F59" i="43" s="1"/>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H59" i="34"/>
  <c r="V13" i="71"/>
  <c r="C13" i="71"/>
  <c r="D14" i="71"/>
  <c r="I59" i="34"/>
  <c r="J59" i="34" s="1"/>
  <c r="D11" i="71"/>
  <c r="T13" i="71"/>
  <c r="D12" i="71"/>
  <c r="D13" i="71"/>
  <c r="C19" i="43"/>
  <c r="U13" i="71"/>
  <c r="F42" i="67"/>
  <c r="E10" i="76"/>
  <c r="B12" i="76"/>
  <c r="M27" i="15"/>
  <c r="M22" i="15"/>
  <c r="M26" i="67"/>
  <c r="M9" i="15"/>
  <c r="D3" i="73"/>
  <c r="B10" i="76"/>
  <c r="M8" i="67"/>
  <c r="L48" i="15"/>
  <c r="F43" i="15"/>
  <c r="F9" i="67"/>
  <c r="AO8" i="1"/>
  <c r="F5" i="73"/>
  <c r="E11" i="76"/>
  <c r="D2" i="37"/>
  <c r="F7" i="73"/>
  <c r="F36" i="67"/>
  <c r="F16" i="15"/>
  <c r="M29" i="15"/>
  <c r="F38" i="15"/>
  <c r="M22" i="67"/>
  <c r="J15" i="15"/>
  <c r="L47" i="67"/>
  <c r="F43" i="67"/>
  <c r="F40" i="67"/>
  <c r="F16" i="67"/>
  <c r="M8" i="15"/>
  <c r="M9" i="67"/>
  <c r="F8" i="15"/>
  <c r="D2" i="36"/>
  <c r="F40" i="15"/>
  <c r="F37" i="67"/>
  <c r="M6" i="15"/>
  <c r="F7" i="15"/>
  <c r="AO10" i="1"/>
  <c r="F13" i="15"/>
  <c r="D2" i="21"/>
  <c r="M6" i="67"/>
  <c r="C76" i="67"/>
  <c r="F36" i="15"/>
  <c r="M23" i="15"/>
  <c r="E7" i="76"/>
  <c r="M26" i="15"/>
  <c r="D6" i="73"/>
  <c r="B11" i="76"/>
  <c r="F6" i="73"/>
  <c r="F4" i="73"/>
  <c r="L47" i="15"/>
  <c r="D2" i="35"/>
  <c r="AO11" i="1"/>
  <c r="E2" i="69"/>
  <c r="M23" i="67"/>
  <c r="B13" i="76"/>
  <c r="D7" i="73"/>
  <c r="C76" i="15"/>
  <c r="L48" i="67"/>
  <c r="F3" i="73"/>
  <c r="F9" i="15"/>
  <c r="E13" i="76"/>
  <c r="M28" i="15"/>
  <c r="F26" i="15"/>
  <c r="M24" i="15"/>
  <c r="B9" i="76"/>
  <c r="E8" i="76"/>
  <c r="E9" i="76"/>
  <c r="F38" i="67"/>
  <c r="F13" i="67"/>
  <c r="M28" i="67"/>
  <c r="F20" i="31"/>
  <c r="AO9" i="1"/>
  <c r="D2" i="34"/>
  <c r="B7" i="76"/>
  <c r="F6" i="67"/>
  <c r="F26" i="67"/>
  <c r="F6" i="15"/>
  <c r="F42" i="15"/>
  <c r="D4" i="73"/>
  <c r="F7" i="67"/>
  <c r="E2" i="68"/>
  <c r="F8" i="67"/>
  <c r="J15" i="67"/>
  <c r="C36" i="69"/>
  <c r="B8" i="76"/>
  <c r="M29" i="67"/>
  <c r="D9" i="69"/>
  <c r="E12" i="76"/>
  <c r="M27" i="67"/>
  <c r="AO12" i="1"/>
  <c r="F37" i="15"/>
  <c r="D5" i="73"/>
  <c r="D2" i="33"/>
  <c r="AO13" i="1"/>
  <c r="M24" i="67"/>
  <c r="C40" i="68" l="1"/>
  <c r="C40" i="69"/>
  <c r="D68" i="39"/>
  <c r="C70" i="39"/>
  <c r="C30" i="69"/>
  <c r="C36" i="11"/>
  <c r="C28" i="15"/>
  <c r="J51" i="15"/>
  <c r="F29" i="35"/>
  <c r="S29" i="35" s="1"/>
  <c r="F87" i="35"/>
  <c r="G87" i="35" s="1"/>
  <c r="H87" i="35" s="1"/>
  <c r="I87" i="35" s="1"/>
  <c r="J87" i="35" s="1"/>
  <c r="K87" i="35" s="1"/>
  <c r="L87" i="35" s="1"/>
  <c r="M87" i="35" s="1"/>
  <c r="J29" i="35"/>
  <c r="AC29" i="35" s="1"/>
  <c r="H29" i="35"/>
  <c r="AB20" i="35"/>
  <c r="W18" i="35"/>
  <c r="AB9" i="35"/>
  <c r="S14" i="35"/>
  <c r="S18" i="35"/>
  <c r="W28" i="35"/>
  <c r="U30" i="35"/>
  <c r="U33" i="35"/>
  <c r="U35" i="35"/>
  <c r="S27" i="35"/>
  <c r="AC27" i="35"/>
  <c r="AA16" i="35"/>
  <c r="AB16" i="35"/>
  <c r="W16" i="35"/>
  <c r="AC24" i="35"/>
  <c r="W24" i="35"/>
  <c r="H26" i="35"/>
  <c r="F26" i="35"/>
  <c r="J26" i="35"/>
  <c r="AC11" i="39"/>
  <c r="C9" i="69"/>
  <c r="H106" i="43"/>
  <c r="M104" i="43"/>
  <c r="H109" i="43"/>
  <c r="M105" i="43"/>
  <c r="E107" i="43"/>
  <c r="H105" i="43"/>
  <c r="H107" i="43"/>
  <c r="M107" i="43"/>
  <c r="E105" i="43"/>
  <c r="E104" i="43"/>
  <c r="E109" i="43"/>
  <c r="H104" i="43"/>
  <c r="H103" i="43"/>
  <c r="M103" i="43"/>
  <c r="M106" i="43"/>
  <c r="M102" i="43"/>
  <c r="E103" i="43"/>
  <c r="E106" i="43"/>
  <c r="H62" i="43"/>
  <c r="H65" i="43"/>
  <c r="H63" i="43"/>
  <c r="H67" i="43"/>
  <c r="H60" i="43"/>
  <c r="H66" i="43"/>
  <c r="H64" i="43"/>
  <c r="H59" i="43"/>
  <c r="H61" i="43"/>
  <c r="E10" i="43"/>
  <c r="E8" i="43"/>
  <c r="E11" i="43"/>
  <c r="E9" i="43"/>
  <c r="H50" i="43"/>
  <c r="G17" i="43"/>
  <c r="C16" i="43" s="1"/>
  <c r="C5" i="43" s="1"/>
  <c r="P74" i="67"/>
  <c r="D5" i="43"/>
  <c r="K5" i="4"/>
  <c r="B47" i="48" s="1"/>
  <c r="F112" i="34"/>
  <c r="G112" i="34" s="1"/>
  <c r="H112" i="34" s="1"/>
  <c r="I112" i="34" s="1"/>
  <c r="J112" i="34" s="1"/>
  <c r="K112" i="34" s="1"/>
  <c r="L112" i="34" s="1"/>
  <c r="M112" i="34" s="1"/>
  <c r="F37" i="34"/>
  <c r="H37" i="34"/>
  <c r="J37" i="34"/>
  <c r="F78" i="34"/>
  <c r="G78" i="34" s="1"/>
  <c r="F15" i="34"/>
  <c r="AA15" i="34" s="1"/>
  <c r="H15" i="34"/>
  <c r="J15" i="34"/>
  <c r="F90" i="34"/>
  <c r="G90" i="34" s="1"/>
  <c r="H90" i="34" s="1"/>
  <c r="I90" i="34" s="1"/>
  <c r="J90" i="34" s="1"/>
  <c r="K90" i="34" s="1"/>
  <c r="L90" i="34" s="1"/>
  <c r="M90" i="34" s="1"/>
  <c r="H27" i="34"/>
  <c r="U21" i="34"/>
  <c r="AB23" i="34"/>
  <c r="S21" i="34"/>
  <c r="S15" i="34"/>
  <c r="AA41" i="34"/>
  <c r="AC36" i="34"/>
  <c r="S35" i="34"/>
  <c r="C94" i="9"/>
  <c r="C92" i="9"/>
  <c r="C48" i="68"/>
  <c r="C31" i="12"/>
  <c r="C24" i="12"/>
  <c r="C30" i="68"/>
  <c r="C77" i="9"/>
  <c r="C74" i="9" s="1"/>
  <c r="C13" i="12"/>
  <c r="C21" i="68"/>
  <c r="C21" i="69"/>
  <c r="D23" i="67"/>
  <c r="P61" i="15"/>
  <c r="U10" i="34"/>
  <c r="F10" i="34"/>
  <c r="S9" i="34"/>
  <c r="AC10" i="34"/>
  <c r="AC28" i="34"/>
  <c r="W31" i="34"/>
  <c r="S28" i="34"/>
  <c r="E2" i="70"/>
  <c r="C23" i="40"/>
  <c r="C15" i="40"/>
  <c r="B67" i="43"/>
  <c r="B60" i="43"/>
  <c r="B65" i="43"/>
  <c r="C21" i="39"/>
  <c r="C25" i="39"/>
  <c r="C29" i="39"/>
  <c r="B66" i="43"/>
  <c r="T8" i="1"/>
  <c r="E89" i="3"/>
  <c r="E157" i="3"/>
  <c r="E122" i="3"/>
  <c r="E181" i="3"/>
  <c r="E269" i="3"/>
  <c r="E228" i="3"/>
  <c r="E148" i="3"/>
  <c r="E236" i="3"/>
  <c r="E156" i="3"/>
  <c r="E136" i="3"/>
  <c r="E196" i="3"/>
  <c r="E262" i="3"/>
  <c r="E24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AZ5" i="3"/>
  <c r="E3" i="6" s="1"/>
  <c r="Q16" i="1"/>
  <c r="L104" i="43"/>
  <c r="L105" i="43"/>
  <c r="L102" i="43"/>
  <c r="D107" i="43"/>
  <c r="D104" i="43"/>
  <c r="D103" i="43"/>
  <c r="I103" i="43"/>
  <c r="I106" i="43"/>
  <c r="I102" i="43"/>
  <c r="E16" i="6"/>
  <c r="E59" i="40"/>
  <c r="AQ13" i="1"/>
  <c r="T10" i="1"/>
  <c r="AY6" i="3"/>
  <c r="E66" i="39"/>
  <c r="P6" i="1"/>
  <c r="K21" i="6"/>
  <c r="M21" i="6" s="1"/>
  <c r="I21" i="6" s="1"/>
  <c r="K22" i="6"/>
  <c r="M22" i="6" s="1"/>
  <c r="I22" i="6" s="1"/>
  <c r="K25" i="6"/>
  <c r="M25" i="6" s="1"/>
  <c r="I25" i="6" s="1"/>
  <c r="K23" i="6"/>
  <c r="M23" i="6" s="1"/>
  <c r="I23" i="6" s="1"/>
  <c r="K20" i="6"/>
  <c r="K24" i="6"/>
  <c r="M24" i="6" s="1"/>
  <c r="I24" i="6" s="1"/>
  <c r="K26" i="6"/>
  <c r="M26" i="6" s="1"/>
  <c r="I26" i="6" s="1"/>
  <c r="K19" i="6"/>
  <c r="S6" i="1" s="1"/>
  <c r="AR6" i="1" s="1"/>
  <c r="O14" i="1"/>
  <c r="P14" i="1" s="1"/>
  <c r="O9" i="1"/>
  <c r="P9" i="1" s="1"/>
  <c r="F30" i="6"/>
  <c r="F31" i="6" s="1"/>
  <c r="E29" i="6"/>
  <c r="O8" i="1"/>
  <c r="M16" i="1"/>
  <c r="D113" i="43"/>
  <c r="C34" i="68"/>
  <c r="C35" i="68" s="1"/>
  <c r="E56" i="40"/>
  <c r="K59" i="34"/>
  <c r="L59" i="34" s="1"/>
  <c r="M59" i="34" s="1"/>
  <c r="N59" i="34" s="1"/>
  <c r="O59" i="34" s="1"/>
  <c r="F7" i="34"/>
  <c r="J7" i="34"/>
  <c r="H7" i="34"/>
  <c r="E52" i="37"/>
  <c r="F52" i="37" s="1"/>
  <c r="G52" i="37" s="1"/>
  <c r="H52" i="37" s="1"/>
  <c r="I52" i="37" s="1"/>
  <c r="J52" i="37" s="1"/>
  <c r="K52" i="37" s="1"/>
  <c r="L52" i="37" s="1"/>
  <c r="M52" i="37" s="1"/>
  <c r="N52" i="37" s="1"/>
  <c r="O52" i="37" s="1"/>
  <c r="F7" i="37"/>
  <c r="H7" i="37"/>
  <c r="J7" i="37"/>
  <c r="E46" i="36"/>
  <c r="F46" i="36" s="1"/>
  <c r="G46" i="36" s="1"/>
  <c r="H46" i="36" s="1"/>
  <c r="I46" i="36" s="1"/>
  <c r="J46" i="36" s="1"/>
  <c r="K46" i="36" s="1"/>
  <c r="L46" i="36" s="1"/>
  <c r="M46" i="36" s="1"/>
  <c r="N46" i="36" s="1"/>
  <c r="O46" i="36" s="1"/>
  <c r="H7" i="36"/>
  <c r="J7" i="36"/>
  <c r="F7" i="36"/>
  <c r="D58" i="21"/>
  <c r="E58" i="21" s="1"/>
  <c r="F58" i="21" s="1"/>
  <c r="G58" i="21" s="1"/>
  <c r="H58" i="21" s="1"/>
  <c r="I58" i="21" s="1"/>
  <c r="J58" i="21" s="1"/>
  <c r="K58" i="21" s="1"/>
  <c r="L58" i="21" s="1"/>
  <c r="M58" i="21" s="1"/>
  <c r="N58" i="21" s="1"/>
  <c r="O58" i="21" s="1"/>
  <c r="E48" i="35"/>
  <c r="F48" i="35" s="1"/>
  <c r="G48" i="35" s="1"/>
  <c r="H48" i="35" s="1"/>
  <c r="I48" i="35" s="1"/>
  <c r="J48" i="35" s="1"/>
  <c r="K48" i="35" s="1"/>
  <c r="L48" i="35" s="1"/>
  <c r="M48" i="35" s="1"/>
  <c r="N48" i="35" s="1"/>
  <c r="O48" i="35" s="1"/>
  <c r="F7" i="35"/>
  <c r="C65" i="40"/>
  <c r="D63" i="40"/>
  <c r="D58" i="33"/>
  <c r="E58" i="33" s="1"/>
  <c r="F58" i="33" s="1"/>
  <c r="G58" i="33" s="1"/>
  <c r="H58" i="33" s="1"/>
  <c r="I58" i="33" s="1"/>
  <c r="J58" i="33" s="1"/>
  <c r="K58" i="33" s="1"/>
  <c r="L58" i="33" s="1"/>
  <c r="M58" i="33" s="1"/>
  <c r="N58" i="33" s="1"/>
  <c r="O58" i="33" s="1"/>
  <c r="F7" i="33"/>
  <c r="G16" i="1"/>
  <c r="J10" i="39"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B8" i="70"/>
  <c r="F66" i="15"/>
  <c r="Q71" i="67"/>
  <c r="F64" i="15"/>
  <c r="F70" i="67"/>
  <c r="C27" i="67"/>
  <c r="F71" i="67"/>
  <c r="C27" i="15"/>
  <c r="F65" i="15"/>
  <c r="B9" i="70"/>
  <c r="N59" i="67"/>
  <c r="L58" i="67"/>
  <c r="M59" i="67"/>
  <c r="L59" i="67" s="1"/>
  <c r="B13" i="70"/>
  <c r="M7" i="67"/>
  <c r="J6" i="67" s="1"/>
  <c r="F50" i="67"/>
  <c r="F59" i="67" s="1"/>
  <c r="F68" i="67"/>
  <c r="F64" i="67"/>
  <c r="F68" i="15"/>
  <c r="C14" i="67"/>
  <c r="C34" i="69"/>
  <c r="C14" i="15"/>
  <c r="C16" i="67"/>
  <c r="C17" i="15"/>
  <c r="G1" i="73"/>
  <c r="C17" i="67"/>
  <c r="C16" i="15"/>
  <c r="C38" i="68" l="1"/>
  <c r="H7" i="21"/>
  <c r="J7" i="21"/>
  <c r="D70" i="39"/>
  <c r="E68" i="39"/>
  <c r="AA29" i="35"/>
  <c r="W29" i="35"/>
  <c r="AB29" i="35"/>
  <c r="U29" i="35"/>
  <c r="AA26" i="35"/>
  <c r="S26" i="35"/>
  <c r="AC26" i="35"/>
  <c r="W26" i="35"/>
  <c r="AB26" i="35"/>
  <c r="U26" i="35"/>
  <c r="C35" i="69"/>
  <c r="AC37" i="34"/>
  <c r="W37" i="34"/>
  <c r="AA37" i="34"/>
  <c r="S37" i="34"/>
  <c r="U37" i="34"/>
  <c r="AB37" i="34"/>
  <c r="AC15" i="34"/>
  <c r="W15" i="34"/>
  <c r="AB15" i="34"/>
  <c r="U15" i="34"/>
  <c r="AB27" i="34"/>
  <c r="U27" i="34"/>
  <c r="AA10" i="34"/>
  <c r="S10" i="34"/>
  <c r="C38" i="69"/>
  <c r="M20" i="6"/>
  <c r="I20" i="6" s="1"/>
  <c r="S7" i="1"/>
  <c r="T6" i="1"/>
  <c r="AQ6" i="1"/>
  <c r="S16" i="1"/>
  <c r="J10" i="40"/>
  <c r="O16" i="1"/>
  <c r="E6" i="3"/>
  <c r="AC6" i="3"/>
  <c r="C18" i="15"/>
  <c r="C15" i="15"/>
  <c r="F28" i="12"/>
  <c r="C29" i="12" s="1"/>
  <c r="D28" i="12" s="1"/>
  <c r="F27" i="68"/>
  <c r="F27" i="11"/>
  <c r="D3" i="21"/>
  <c r="D19" i="11"/>
  <c r="C19" i="11" s="1"/>
  <c r="C20" i="11" s="1"/>
  <c r="C28" i="11" s="1"/>
  <c r="C27" i="11" s="1"/>
  <c r="C17" i="4"/>
  <c r="B4" i="52" s="1"/>
  <c r="B43" i="72" s="1"/>
  <c r="D37" i="11"/>
  <c r="C37" i="11" s="1"/>
  <c r="D14" i="12"/>
  <c r="M18" i="9"/>
  <c r="B118" i="9" s="1"/>
  <c r="B14" i="74" s="1"/>
  <c r="B1" i="74" s="1"/>
  <c r="C7" i="74" s="1"/>
  <c r="D3" i="34"/>
  <c r="D3" i="33"/>
  <c r="E6" i="6"/>
  <c r="L18" i="9"/>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463" i="3"/>
  <c r="AY420" i="3"/>
  <c r="AY401" i="3"/>
  <c r="AY549" i="3"/>
  <c r="AY544" i="3"/>
  <c r="AY533"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65" i="3"/>
  <c r="AY452" i="3"/>
  <c r="AY433" i="3"/>
  <c r="AY513" i="3"/>
  <c r="BK6" i="3"/>
  <c r="AY569" i="3"/>
  <c r="AY541" i="3"/>
  <c r="AY555" i="3"/>
  <c r="AY105" i="3"/>
  <c r="AY89" i="3"/>
  <c r="AY100" i="3"/>
  <c r="AY85"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68" i="3"/>
  <c r="AY25" i="3"/>
  <c r="AY178" i="3"/>
  <c r="AY157" i="3"/>
  <c r="AY117" i="3"/>
  <c r="AY271" i="3"/>
  <c r="AY254" i="3"/>
  <c r="AY211" i="3"/>
  <c r="AY365" i="3"/>
  <c r="BI6" i="3"/>
  <c r="AY57" i="3"/>
  <c r="AY186" i="3"/>
  <c r="AY130" i="3"/>
  <c r="AY243" i="3"/>
  <c r="AY393" i="3"/>
  <c r="AY325" i="3"/>
  <c r="AY308" i="3"/>
  <c r="AY464"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67" i="3"/>
  <c r="AY354" i="3"/>
  <c r="AY323" i="3"/>
  <c r="AY338" i="3"/>
  <c r="AY306" i="3"/>
  <c r="AY490" i="3"/>
  <c r="AY459" i="3"/>
  <c r="AY448" i="3"/>
  <c r="AY416" i="3"/>
  <c r="AY429" i="3"/>
  <c r="AY550" i="3"/>
  <c r="BD6" i="3"/>
  <c r="BC6" i="3"/>
  <c r="AY511" i="3"/>
  <c r="AY504" i="3"/>
  <c r="AY586" i="3"/>
  <c r="AY498" i="3"/>
  <c r="AY53" i="3"/>
  <c r="AY36" i="3"/>
  <c r="AY182" i="3"/>
  <c r="AY146" i="3"/>
  <c r="AY126" i="3"/>
  <c r="AY302" i="3"/>
  <c r="AY239" i="3"/>
  <c r="AY222" i="3"/>
  <c r="AY389" i="3"/>
  <c r="BS6" i="3"/>
  <c r="AY93" i="3"/>
  <c r="AY40" i="3"/>
  <c r="AY150" i="3"/>
  <c r="AY279" i="3"/>
  <c r="AY226" i="3"/>
  <c r="AY356" i="3"/>
  <c r="AY340" i="3"/>
  <c r="AY467"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51" i="3"/>
  <c r="AY339" i="3"/>
  <c r="AY307" i="3"/>
  <c r="AY322" i="3"/>
  <c r="AY477" i="3"/>
  <c r="AY474" i="3"/>
  <c r="AY443" i="3"/>
  <c r="AY432" i="3"/>
  <c r="AY400" i="3"/>
  <c r="AY413" i="3"/>
  <c r="AY521" i="3"/>
  <c r="AY15" i="3"/>
  <c r="AY566" i="3"/>
  <c r="AY583" i="3"/>
  <c r="BT6" i="3"/>
  <c r="AY567" i="3"/>
  <c r="N16" i="1"/>
  <c r="C34" i="11"/>
  <c r="L16" i="1"/>
  <c r="P8" i="1"/>
  <c r="S26" i="6"/>
  <c r="H26" i="6"/>
  <c r="S20" i="6"/>
  <c r="H20" i="6"/>
  <c r="H25" i="6"/>
  <c r="S25" i="6"/>
  <c r="H21" i="6"/>
  <c r="S21" i="6"/>
  <c r="K15" i="1"/>
  <c r="K16" i="1" s="1"/>
  <c r="D29" i="6"/>
  <c r="E30" i="6"/>
  <c r="E31" i="6" s="1"/>
  <c r="M19" i="6"/>
  <c r="K27" i="6"/>
  <c r="S24" i="6"/>
  <c r="H24" i="6"/>
  <c r="S23" i="6"/>
  <c r="H23" i="6"/>
  <c r="S22" i="6"/>
  <c r="H22" i="6"/>
  <c r="P16" i="1"/>
  <c r="C11" i="12" s="1"/>
  <c r="F10" i="40"/>
  <c r="AA10" i="40" s="1"/>
  <c r="H10" i="39"/>
  <c r="U10" i="39" s="1"/>
  <c r="H10" i="40"/>
  <c r="U10" i="40" s="1"/>
  <c r="F10" i="39"/>
  <c r="S10" i="39" s="1"/>
  <c r="H7" i="33"/>
  <c r="J7" i="33"/>
  <c r="E63" i="40"/>
  <c r="D65" i="40"/>
  <c r="H7" i="35"/>
  <c r="J7" i="35"/>
  <c r="F7" i="21"/>
  <c r="W7" i="36"/>
  <c r="AC7" i="36"/>
  <c r="V36" i="36" s="1"/>
  <c r="I36" i="36" s="1"/>
  <c r="U7" i="37"/>
  <c r="AB7" i="37"/>
  <c r="T42" i="37" s="1"/>
  <c r="G42" i="37" s="1"/>
  <c r="AB7" i="34"/>
  <c r="T49" i="34" s="1"/>
  <c r="G49" i="34" s="1"/>
  <c r="U7" i="34"/>
  <c r="AA7" i="34"/>
  <c r="R49" i="34" s="1"/>
  <c r="S7" i="34"/>
  <c r="S7" i="33"/>
  <c r="AA7" i="33"/>
  <c r="R48" i="33" s="1"/>
  <c r="AA7" i="35"/>
  <c r="R38" i="35" s="1"/>
  <c r="S7" i="35"/>
  <c r="AB7" i="21"/>
  <c r="T48" i="21" s="1"/>
  <c r="G48" i="21" s="1"/>
  <c r="U7" i="21"/>
  <c r="AC7" i="21"/>
  <c r="V48" i="21" s="1"/>
  <c r="I48" i="21" s="1"/>
  <c r="W7" i="21"/>
  <c r="AA7" i="36"/>
  <c r="R36" i="36" s="1"/>
  <c r="S7" i="36"/>
  <c r="U7" i="36"/>
  <c r="AB7" i="36"/>
  <c r="T36" i="36" s="1"/>
  <c r="G36" i="36" s="1"/>
  <c r="W7" i="37"/>
  <c r="AC7" i="37"/>
  <c r="V42" i="37" s="1"/>
  <c r="I42" i="37" s="1"/>
  <c r="S7" i="37"/>
  <c r="AA7" i="37"/>
  <c r="R42" i="37" s="1"/>
  <c r="W7" i="34"/>
  <c r="AC7" i="34"/>
  <c r="V49" i="34" s="1"/>
  <c r="I49" i="34" s="1"/>
  <c r="W10" i="39"/>
  <c r="AC10" i="39"/>
  <c r="W10" i="40"/>
  <c r="AC10" i="40"/>
  <c r="D7" i="71"/>
  <c r="C6" i="71"/>
  <c r="M17" i="67"/>
  <c r="M17" i="15"/>
  <c r="F59" i="15"/>
  <c r="P24" i="43"/>
  <c r="B66" i="40" s="1"/>
  <c r="P21" i="43"/>
  <c r="C49" i="67"/>
  <c r="P25" i="43"/>
  <c r="P23" i="43"/>
  <c r="B71" i="39" s="1"/>
  <c r="C49" i="15"/>
  <c r="C15" i="67"/>
  <c r="C18" i="67"/>
  <c r="B40" i="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AE7" i="1"/>
  <c r="F27" i="69"/>
  <c r="F68" i="39" l="1"/>
  <c r="E70" i="39"/>
  <c r="E41" i="43"/>
  <c r="C41" i="43" s="1"/>
  <c r="C20" i="43"/>
  <c r="C19" i="15"/>
  <c r="C20" i="15" s="1"/>
  <c r="C26" i="15" s="1"/>
  <c r="T7" i="1"/>
  <c r="T16" i="1" s="1"/>
  <c r="AQ7" i="1"/>
  <c r="AR7" i="1"/>
  <c r="AB10" i="39"/>
  <c r="AB10" i="40"/>
  <c r="C29" i="11"/>
  <c r="D27" i="11" s="1"/>
  <c r="C47" i="11"/>
  <c r="D45" i="11" s="1"/>
  <c r="F45" i="68"/>
  <c r="C47" i="68"/>
  <c r="D45" i="68" s="1"/>
  <c r="C29" i="68"/>
  <c r="D27" i="68" s="1"/>
  <c r="F45" i="69"/>
  <c r="C47" i="69"/>
  <c r="D45" i="69" s="1"/>
  <c r="C29" i="69"/>
  <c r="D27" i="69" s="1"/>
  <c r="S10" i="40"/>
  <c r="D10" i="11"/>
  <c r="C10" i="11" s="1"/>
  <c r="D20" i="12"/>
  <c r="C20" i="12" s="1"/>
  <c r="D10" i="68"/>
  <c r="D17" i="12"/>
  <c r="C17" i="12" s="1"/>
  <c r="C14" i="12"/>
  <c r="D19" i="6"/>
  <c r="D26" i="6"/>
  <c r="R26" i="6" s="1"/>
  <c r="C18" i="4"/>
  <c r="D8" i="6"/>
  <c r="D23" i="6"/>
  <c r="R23" i="6" s="1"/>
  <c r="D14" i="6"/>
  <c r="D6" i="6"/>
  <c r="D9" i="6"/>
  <c r="D10" i="6"/>
  <c r="L19" i="9"/>
  <c r="E61" i="40"/>
  <c r="M19" i="9"/>
  <c r="C118" i="9" s="1"/>
  <c r="C14" i="74" s="1"/>
  <c r="B2" i="74" s="1"/>
  <c r="D7" i="74" s="1"/>
  <c r="D25" i="6"/>
  <c r="R25" i="6" s="1"/>
  <c r="D15" i="6"/>
  <c r="D22" i="6"/>
  <c r="R22" i="6" s="1"/>
  <c r="D21" i="6"/>
  <c r="R21" i="6" s="1"/>
  <c r="D24" i="6"/>
  <c r="R24" i="6" s="1"/>
  <c r="D20" i="6"/>
  <c r="R20" i="6" s="1"/>
  <c r="R7" i="1" s="1"/>
  <c r="D5" i="6"/>
  <c r="D12" i="6"/>
  <c r="D11" i="6"/>
  <c r="D13" i="6"/>
  <c r="D28" i="6"/>
  <c r="D30" i="6" s="1"/>
  <c r="AA10" i="39"/>
  <c r="C15" i="12"/>
  <c r="C12" i="12"/>
  <c r="M27" i="6"/>
  <c r="I19" i="6"/>
  <c r="C38" i="11"/>
  <c r="C35" i="11"/>
  <c r="F50" i="11"/>
  <c r="F50" i="68"/>
  <c r="F50" i="69"/>
  <c r="R43" i="37"/>
  <c r="E42" i="37"/>
  <c r="I47" i="37"/>
  <c r="J47" i="37" s="1"/>
  <c r="I46" i="37"/>
  <c r="J46" i="37" s="1"/>
  <c r="G41" i="36"/>
  <c r="H41" i="36" s="1"/>
  <c r="G40" i="36"/>
  <c r="H40" i="36" s="1"/>
  <c r="R50" i="34"/>
  <c r="E49" i="34"/>
  <c r="I54" i="34" s="1"/>
  <c r="J54" i="34" s="1"/>
  <c r="G53" i="34"/>
  <c r="H53" i="34" s="1"/>
  <c r="G54" i="34"/>
  <c r="H54" i="34" s="1"/>
  <c r="G46" i="37"/>
  <c r="H46" i="37" s="1"/>
  <c r="G47" i="37"/>
  <c r="H47" i="37" s="1"/>
  <c r="I40" i="36"/>
  <c r="J40" i="36" s="1"/>
  <c r="S7" i="21"/>
  <c r="AA7" i="21"/>
  <c r="R48" i="21" s="1"/>
  <c r="AB7" i="35"/>
  <c r="T38" i="35" s="1"/>
  <c r="G38" i="35" s="1"/>
  <c r="U7" i="35"/>
  <c r="E65" i="40"/>
  <c r="F63" i="40"/>
  <c r="AB7" i="33"/>
  <c r="T48" i="33" s="1"/>
  <c r="G48" i="33" s="1"/>
  <c r="U7" i="33"/>
  <c r="I53" i="34"/>
  <c r="J53" i="34" s="1"/>
  <c r="R37" i="36"/>
  <c r="E36" i="36"/>
  <c r="I52" i="21"/>
  <c r="J52" i="21" s="1"/>
  <c r="G52" i="21"/>
  <c r="H52" i="21" s="1"/>
  <c r="G53" i="21"/>
  <c r="H53" i="21" s="1"/>
  <c r="E38" i="35"/>
  <c r="R49" i="33"/>
  <c r="E48" i="33"/>
  <c r="AC7" i="35"/>
  <c r="V38" i="35" s="1"/>
  <c r="I38" i="35" s="1"/>
  <c r="W7" i="35"/>
  <c r="W7" i="33"/>
  <c r="AC7" i="33"/>
  <c r="V48" i="33" s="1"/>
  <c r="I48" i="33" s="1"/>
  <c r="D6" i="71"/>
  <c r="C5" i="71"/>
  <c r="C19" i="67"/>
  <c r="C20" i="67" s="1"/>
  <c r="C26" i="67" s="1"/>
  <c r="J26" i="67"/>
  <c r="J24" i="67"/>
  <c r="J24" i="15"/>
  <c r="C53" i="67"/>
  <c r="C48" i="67" s="1"/>
  <c r="C10" i="67"/>
  <c r="C5" i="67" s="1"/>
  <c r="C53" i="15"/>
  <c r="C48" i="15" s="1"/>
  <c r="C10" i="15"/>
  <c r="C5" i="15" s="1"/>
  <c r="F25" i="12"/>
  <c r="F22" i="69"/>
  <c r="F41" i="69" s="1"/>
  <c r="F24" i="67"/>
  <c r="C24" i="67" s="1"/>
  <c r="F22" i="11"/>
  <c r="F22" i="68"/>
  <c r="F24" i="15"/>
  <c r="C24" i="15" s="1"/>
  <c r="F35" i="67"/>
  <c r="F41" i="67"/>
  <c r="D10" i="69"/>
  <c r="M21" i="67"/>
  <c r="F41" i="15"/>
  <c r="F70" i="39" l="1"/>
  <c r="G68" i="39"/>
  <c r="R39" i="35"/>
  <c r="C38" i="35" s="1"/>
  <c r="F69" i="67"/>
  <c r="F69" i="15"/>
  <c r="J29" i="67"/>
  <c r="C18" i="12"/>
  <c r="C39" i="43"/>
  <c r="C6" i="69" s="1"/>
  <c r="C38" i="43"/>
  <c r="T12" i="43"/>
  <c r="V12" i="43" s="1"/>
  <c r="C36" i="43"/>
  <c r="T15" i="43"/>
  <c r="V15" i="43" s="1"/>
  <c r="C34" i="43"/>
  <c r="T7" i="43"/>
  <c r="V7" i="43" s="1"/>
  <c r="T16" i="43"/>
  <c r="V16" i="43" s="1"/>
  <c r="T8" i="43"/>
  <c r="V8" i="43" s="1"/>
  <c r="T5" i="43"/>
  <c r="V5" i="43" s="1"/>
  <c r="C35" i="43"/>
  <c r="C37" i="43"/>
  <c r="C33" i="43"/>
  <c r="T14" i="43"/>
  <c r="V14" i="43" s="1"/>
  <c r="T2" i="43"/>
  <c r="V2" i="43" s="1"/>
  <c r="T10" i="43"/>
  <c r="V10" i="43" s="1"/>
  <c r="T6" i="43"/>
  <c r="V6" i="43" s="1"/>
  <c r="T9" i="43"/>
  <c r="V9" i="43" s="1"/>
  <c r="T3" i="43"/>
  <c r="V3" i="43" s="1"/>
  <c r="T13" i="43"/>
  <c r="V13" i="43" s="1"/>
  <c r="C29" i="43"/>
  <c r="T4" i="43"/>
  <c r="V4" i="43" s="1"/>
  <c r="T11" i="43"/>
  <c r="V11" i="43" s="1"/>
  <c r="J20" i="67"/>
  <c r="F63" i="67"/>
  <c r="C62" i="67" s="1"/>
  <c r="C34" i="67"/>
  <c r="C33" i="11"/>
  <c r="C39" i="11" s="1"/>
  <c r="C46" i="11" s="1"/>
  <c r="C45" i="11" s="1"/>
  <c r="C16" i="12"/>
  <c r="D16" i="6"/>
  <c r="D27" i="6"/>
  <c r="D31" i="6" s="1"/>
  <c r="A7" i="51"/>
  <c r="B7" i="72" s="1"/>
  <c r="C4" i="52"/>
  <c r="B45" i="72" s="1"/>
  <c r="A10" i="51"/>
  <c r="B9" i="72" s="1"/>
  <c r="C10" i="68"/>
  <c r="D19" i="68"/>
  <c r="C10" i="69"/>
  <c r="C8" i="69" s="1"/>
  <c r="C8" i="68" s="1"/>
  <c r="C5" i="68" s="1"/>
  <c r="D19" i="69"/>
  <c r="S19" i="6"/>
  <c r="S27" i="6" s="1"/>
  <c r="I27" i="6"/>
  <c r="H19" i="6"/>
  <c r="C39" i="35"/>
  <c r="B2" i="35" s="1"/>
  <c r="I52" i="33"/>
  <c r="J52" i="33" s="1"/>
  <c r="I53" i="33"/>
  <c r="J53" i="33" s="1"/>
  <c r="E52" i="33"/>
  <c r="F52" i="33" s="1"/>
  <c r="E53" i="33"/>
  <c r="F53" i="33" s="1"/>
  <c r="E43" i="35"/>
  <c r="F43" i="35" s="1"/>
  <c r="E42" i="35"/>
  <c r="F42" i="35" s="1"/>
  <c r="E40" i="36"/>
  <c r="F40" i="36" s="1"/>
  <c r="E41" i="36"/>
  <c r="F41" i="36" s="1"/>
  <c r="G63" i="40"/>
  <c r="F65" i="40"/>
  <c r="R49" i="21"/>
  <c r="E48" i="21"/>
  <c r="I41" i="36"/>
  <c r="J41" i="36" s="1"/>
  <c r="E54" i="34"/>
  <c r="F54" i="34" s="1"/>
  <c r="E53" i="34"/>
  <c r="F53" i="34" s="1"/>
  <c r="E47" i="37"/>
  <c r="F47" i="37" s="1"/>
  <c r="E46" i="37"/>
  <c r="F46" i="37" s="1"/>
  <c r="I42" i="35"/>
  <c r="J42" i="35" s="1"/>
  <c r="I43" i="35"/>
  <c r="J43" i="35" s="1"/>
  <c r="C49" i="33"/>
  <c r="B2" i="33" s="1"/>
  <c r="B3" i="33" s="1"/>
  <c r="C48" i="33"/>
  <c r="C37" i="36"/>
  <c r="B2" i="36" s="1"/>
  <c r="B3" i="36" s="1"/>
  <c r="C36" i="36"/>
  <c r="G52" i="33"/>
  <c r="H52" i="33" s="1"/>
  <c r="G53" i="33"/>
  <c r="H53" i="33" s="1"/>
  <c r="G43" i="35"/>
  <c r="H43" i="35" s="1"/>
  <c r="G42" i="35"/>
  <c r="H42" i="35" s="1"/>
  <c r="C49" i="34"/>
  <c r="C50" i="34"/>
  <c r="B2" i="34" s="1"/>
  <c r="C43" i="37"/>
  <c r="B2" i="37" s="1"/>
  <c r="B3" i="37" s="1"/>
  <c r="C42" i="37"/>
  <c r="D5" i="71"/>
  <c r="M20" i="43"/>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9" i="9"/>
  <c r="G70" i="39" l="1"/>
  <c r="H68" i="39"/>
  <c r="C42" i="11"/>
  <c r="C21" i="12"/>
  <c r="C22" i="12" s="1"/>
  <c r="C7" i="69"/>
  <c r="C5" i="69" s="1"/>
  <c r="C23" i="69" s="1"/>
  <c r="E37" i="43"/>
  <c r="G37" i="43"/>
  <c r="I37" i="43" s="1"/>
  <c r="G34" i="43"/>
  <c r="I34" i="43" s="1"/>
  <c r="E34" i="43"/>
  <c r="E36" i="43"/>
  <c r="G36" i="43"/>
  <c r="I36" i="43" s="1"/>
  <c r="E38" i="43"/>
  <c r="G38" i="43"/>
  <c r="I38" i="43" s="1"/>
  <c r="C30" i="43"/>
  <c r="E30" i="43" s="1"/>
  <c r="E29" i="43"/>
  <c r="G33" i="43"/>
  <c r="I33" i="43" s="1"/>
  <c r="E33" i="43"/>
  <c r="E35" i="43"/>
  <c r="G35" i="43"/>
  <c r="I35" i="43" s="1"/>
  <c r="E39" i="43"/>
  <c r="G39" i="43"/>
  <c r="I39" i="43" s="1"/>
  <c r="B3" i="35"/>
  <c r="C102" i="9"/>
  <c r="C21" i="9"/>
  <c r="B3" i="34"/>
  <c r="C43" i="11"/>
  <c r="C19" i="68"/>
  <c r="D37" i="68"/>
  <c r="C37" i="68" s="1"/>
  <c r="C33" i="68" s="1"/>
  <c r="I6" i="6"/>
  <c r="I5" i="6"/>
  <c r="C19" i="69"/>
  <c r="C24" i="69" s="1"/>
  <c r="D37" i="69"/>
  <c r="C37" i="69" s="1"/>
  <c r="C33" i="69" s="1"/>
  <c r="H27" i="6"/>
  <c r="R19" i="6"/>
  <c r="C49" i="21"/>
  <c r="B2" i="21" s="1"/>
  <c r="B3" i="21" s="1"/>
  <c r="C48" i="21"/>
  <c r="G65" i="40"/>
  <c r="H63" i="40"/>
  <c r="E52" i="21"/>
  <c r="F52" i="21" s="1"/>
  <c r="E53" i="21"/>
  <c r="F53" i="21" s="1"/>
  <c r="I53" i="21"/>
  <c r="J53" i="21" s="1"/>
  <c r="J14" i="15"/>
  <c r="C57" i="15"/>
  <c r="C36" i="15"/>
  <c r="C33" i="15"/>
  <c r="C13" i="15"/>
  <c r="Q49" i="15"/>
  <c r="J19" i="15"/>
  <c r="J59" i="15"/>
  <c r="J60" i="15" s="1"/>
  <c r="C22" i="11"/>
  <c r="C31" i="11" s="1"/>
  <c r="C36" i="67"/>
  <c r="C33" i="67"/>
  <c r="C31" i="67" s="1"/>
  <c r="J14" i="67"/>
  <c r="C13" i="67"/>
  <c r="J19" i="67"/>
  <c r="J17" i="67" s="1"/>
  <c r="C57" i="67"/>
  <c r="Q49" i="67"/>
  <c r="J59" i="67"/>
  <c r="J60" i="67" s="1"/>
  <c r="C20" i="9"/>
  <c r="H70" i="39" l="1"/>
  <c r="I68" i="39"/>
  <c r="C41" i="11"/>
  <c r="C49" i="11" s="1"/>
  <c r="C51" i="11" s="1"/>
  <c r="C52" i="11" s="1"/>
  <c r="B2" i="11" s="1"/>
  <c r="B3" i="11" s="1"/>
  <c r="C30" i="12"/>
  <c r="C28" i="12" s="1"/>
  <c r="C27" i="12"/>
  <c r="C25" i="12" s="1"/>
  <c r="C26" i="43"/>
  <c r="B2" i="43" s="1"/>
  <c r="C27" i="43"/>
  <c r="C103" i="9"/>
  <c r="C20" i="69"/>
  <c r="C25" i="69" s="1"/>
  <c r="C22" i="69" s="1"/>
  <c r="R27" i="6"/>
  <c r="R6" i="1"/>
  <c r="C39" i="69"/>
  <c r="C43" i="69" s="1"/>
  <c r="C42" i="69"/>
  <c r="C20" i="68"/>
  <c r="C25" i="68" s="1"/>
  <c r="C24" i="68"/>
  <c r="C39" i="68"/>
  <c r="C42" i="68"/>
  <c r="I63" i="40"/>
  <c r="H65" i="40"/>
  <c r="Q48" i="15"/>
  <c r="J13" i="67"/>
  <c r="J23" i="67" s="1"/>
  <c r="J22" i="67"/>
  <c r="C61" i="67"/>
  <c r="C59" i="67" s="1"/>
  <c r="C64" i="67"/>
  <c r="C64" i="15"/>
  <c r="C61" i="15"/>
  <c r="Q48" i="67"/>
  <c r="C56" i="67"/>
  <c r="C65" i="67" s="1"/>
  <c r="C75" i="67"/>
  <c r="Q70" i="67"/>
  <c r="C37" i="67"/>
  <c r="C30" i="67" s="1"/>
  <c r="C39" i="67" s="1"/>
  <c r="C56" i="15"/>
  <c r="C65" i="15" s="1"/>
  <c r="Q70" i="15"/>
  <c r="C37" i="15"/>
  <c r="C75" i="15"/>
  <c r="J22" i="15"/>
  <c r="J13" i="15"/>
  <c r="J23" i="15" s="1"/>
  <c r="F35" i="15"/>
  <c r="M21" i="15"/>
  <c r="B6" i="76"/>
  <c r="E6" i="76"/>
  <c r="L51" i="67"/>
  <c r="I70" i="39" l="1"/>
  <c r="J68" i="39"/>
  <c r="C28" i="69"/>
  <c r="C27" i="69" s="1"/>
  <c r="C31" i="69" s="1"/>
  <c r="C32" i="12"/>
  <c r="B2" i="12" s="1"/>
  <c r="B3" i="12" s="1"/>
  <c r="E2" i="76"/>
  <c r="B2" i="76"/>
  <c r="B3" i="43"/>
  <c r="C41" i="69"/>
  <c r="C22" i="68"/>
  <c r="J20" i="15"/>
  <c r="J17" i="15" s="1"/>
  <c r="J16" i="15" s="1"/>
  <c r="J25" i="15" s="1"/>
  <c r="J26" i="15" s="1"/>
  <c r="J29" i="15" s="1"/>
  <c r="F63" i="15"/>
  <c r="C62" i="15" s="1"/>
  <c r="C59" i="15" s="1"/>
  <c r="C58" i="15" s="1"/>
  <c r="C67" i="15" s="1"/>
  <c r="C68" i="15" s="1"/>
  <c r="C71" i="15" s="1"/>
  <c r="C34" i="15"/>
  <c r="C31" i="15" s="1"/>
  <c r="C30" i="15" s="1"/>
  <c r="C39" i="15" s="1"/>
  <c r="R16" i="1"/>
  <c r="C46" i="69"/>
  <c r="C45" i="69" s="1"/>
  <c r="C46" i="68"/>
  <c r="C45" i="68" s="1"/>
  <c r="C43" i="68"/>
  <c r="C41" i="68" s="1"/>
  <c r="C28" i="68"/>
  <c r="C27" i="68" s="1"/>
  <c r="J63" i="40"/>
  <c r="I65" i="40"/>
  <c r="C56" i="11"/>
  <c r="C57" i="11" s="1"/>
  <c r="J16" i="67"/>
  <c r="J25" i="67" s="1"/>
  <c r="C80" i="67"/>
  <c r="C79" i="67" s="1"/>
  <c r="C58" i="67"/>
  <c r="C67" i="67" s="1"/>
  <c r="C68" i="67" s="1"/>
  <c r="Q69" i="67"/>
  <c r="Q68" i="67" s="1"/>
  <c r="C40" i="67"/>
  <c r="L51" i="15"/>
  <c r="J70" i="39" l="1"/>
  <c r="K68" i="39"/>
  <c r="B3" i="76"/>
  <c r="C31" i="68"/>
  <c r="C49" i="69"/>
  <c r="C51" i="69" s="1"/>
  <c r="C52" i="69" s="1"/>
  <c r="B2" i="69" s="1"/>
  <c r="C49" i="68"/>
  <c r="C51" i="68" s="1"/>
  <c r="C40" i="15"/>
  <c r="C43" i="15" s="1"/>
  <c r="C80" i="15"/>
  <c r="C79" i="15" s="1"/>
  <c r="Q69" i="15"/>
  <c r="Q68" i="15" s="1"/>
  <c r="J65" i="40"/>
  <c r="K63" i="40"/>
  <c r="Q67" i="15"/>
  <c r="L57" i="15"/>
  <c r="L60" i="15" s="1"/>
  <c r="L46" i="15" s="1"/>
  <c r="Q67" i="67"/>
  <c r="L57" i="67"/>
  <c r="L60" i="67" s="1"/>
  <c r="L46" i="67" s="1"/>
  <c r="D2" i="67" s="1"/>
  <c r="C45" i="67"/>
  <c r="C46" i="67" s="1"/>
  <c r="C71" i="67"/>
  <c r="C43" i="67"/>
  <c r="Q47" i="67"/>
  <c r="Q53" i="67" s="1"/>
  <c r="Q56" i="67"/>
  <c r="Q65" i="67"/>
  <c r="C83" i="67"/>
  <c r="C82" i="67" s="1"/>
  <c r="C19" i="78"/>
  <c r="K70" i="39" l="1"/>
  <c r="L68" i="39"/>
  <c r="C21" i="78"/>
  <c r="C102" i="78"/>
  <c r="C52" i="68"/>
  <c r="B2" i="68" s="1"/>
  <c r="B3" i="68" s="1"/>
  <c r="B2" i="15"/>
  <c r="C83" i="15"/>
  <c r="C82" i="15" s="1"/>
  <c r="Q56" i="15"/>
  <c r="C46" i="15"/>
  <c r="Q47" i="15"/>
  <c r="Q53" i="15" s="1"/>
  <c r="Q65" i="15"/>
  <c r="C57" i="69"/>
  <c r="C56" i="69" s="1"/>
  <c r="K65" i="40"/>
  <c r="L63" i="40"/>
  <c r="Q66" i="15"/>
  <c r="Q57" i="15"/>
  <c r="Q66" i="67"/>
  <c r="Q75" i="67" s="1"/>
  <c r="Q57" i="67"/>
  <c r="Q62" i="67" s="1"/>
  <c r="B2" i="67"/>
  <c r="B3" i="67"/>
  <c r="AO6" i="1"/>
  <c r="B3" i="69"/>
  <c r="D19" i="78"/>
  <c r="D34" i="78"/>
  <c r="D35" i="78"/>
  <c r="AO7" i="1"/>
  <c r="D19" i="9"/>
  <c r="L70" i="39" l="1"/>
  <c r="M68" i="39"/>
  <c r="D21" i="78"/>
  <c r="D102" i="78"/>
  <c r="D22" i="78"/>
  <c r="G19" i="78"/>
  <c r="G21" i="78" s="1"/>
  <c r="G19" i="9"/>
  <c r="G21" i="9" s="1"/>
  <c r="D22" i="9"/>
  <c r="D102" i="9"/>
  <c r="D21" i="9"/>
  <c r="C57" i="68"/>
  <c r="C56" i="68" s="1"/>
  <c r="B7" i="70"/>
  <c r="B6" i="70"/>
  <c r="B3" i="15"/>
  <c r="Q62" i="15"/>
  <c r="Q75" i="15"/>
  <c r="L65" i="40"/>
  <c r="M63" i="40"/>
  <c r="D20" i="9"/>
  <c r="C20" i="78"/>
  <c r="D34" i="9"/>
  <c r="D35" i="9"/>
  <c r="D20" i="78"/>
  <c r="M70" i="39" l="1"/>
  <c r="N68" i="39"/>
  <c r="C103" i="78"/>
  <c r="D103" i="78"/>
  <c r="G20" i="78"/>
  <c r="C32" i="78" s="1"/>
  <c r="D103" i="9"/>
  <c r="G20" i="9"/>
  <c r="C32" i="9" s="1"/>
  <c r="B2" i="70"/>
  <c r="B3" i="70" s="1"/>
  <c r="M65" i="40"/>
  <c r="N63" i="40"/>
  <c r="O68" i="39" l="1"/>
  <c r="O70" i="39" s="1"/>
  <c r="N70" i="39"/>
  <c r="F7" i="39" s="1"/>
  <c r="C35" i="78"/>
  <c r="C34" i="78" s="1"/>
  <c r="C35" i="9"/>
  <c r="C34" i="9" s="1"/>
  <c r="N65" i="40"/>
  <c r="O63" i="40"/>
  <c r="O65" i="40" s="1"/>
  <c r="AA7" i="39" l="1"/>
  <c r="R47" i="39" s="1"/>
  <c r="S7" i="39"/>
  <c r="H7" i="39"/>
  <c r="J7" i="39"/>
  <c r="F7" i="40"/>
  <c r="J7" i="40"/>
  <c r="H7" i="40"/>
  <c r="AC7" i="39" l="1"/>
  <c r="V47" i="39" s="1"/>
  <c r="I47" i="39" s="1"/>
  <c r="W7" i="39"/>
  <c r="AB7" i="39"/>
  <c r="T47" i="39" s="1"/>
  <c r="G47" i="39" s="1"/>
  <c r="U7" i="39"/>
  <c r="E47" i="39"/>
  <c r="AC7" i="40"/>
  <c r="V42" i="40" s="1"/>
  <c r="I42" i="40" s="1"/>
  <c r="W7" i="40"/>
  <c r="U7" i="40"/>
  <c r="AB7" i="40"/>
  <c r="T42" i="40" s="1"/>
  <c r="G42" i="40" s="1"/>
  <c r="AA7" i="40"/>
  <c r="R42" i="40" s="1"/>
  <c r="S7" i="40"/>
  <c r="E51" i="39" l="1"/>
  <c r="F51" i="39" s="1"/>
  <c r="E52" i="39"/>
  <c r="F52" i="39" s="1"/>
  <c r="I52" i="39"/>
  <c r="J52" i="39" s="1"/>
  <c r="I51" i="39"/>
  <c r="J51" i="39" s="1"/>
  <c r="R48" i="39"/>
  <c r="G52" i="39"/>
  <c r="H52" i="39" s="1"/>
  <c r="G51" i="39"/>
  <c r="H51" i="39" s="1"/>
  <c r="R43" i="40"/>
  <c r="E42" i="40"/>
  <c r="I46" i="40"/>
  <c r="J46" i="40" s="1"/>
  <c r="I47" i="40"/>
  <c r="J47" i="40" s="1"/>
  <c r="G47" i="40"/>
  <c r="H47" i="40" s="1"/>
  <c r="G46" i="40"/>
  <c r="H46" i="40" s="1"/>
  <c r="C48" i="39" l="1"/>
  <c r="C47" i="39"/>
  <c r="C42" i="40"/>
  <c r="C43" i="40"/>
  <c r="E47" i="40"/>
  <c r="F47" i="40" s="1"/>
  <c r="E46" i="40"/>
  <c r="F46" i="40" s="1"/>
  <c r="B60" i="39" l="1"/>
  <c r="F60" i="39" s="1"/>
  <c r="B57" i="39"/>
  <c r="F57" i="39" s="1"/>
  <c r="B59" i="39"/>
  <c r="F59" i="39" s="1"/>
  <c r="B56" i="39"/>
  <c r="F56" i="39" s="1"/>
  <c r="B64" i="39"/>
  <c r="F64" i="39" s="1"/>
  <c r="B65" i="39"/>
  <c r="F65" i="39" s="1"/>
  <c r="B62" i="39"/>
  <c r="F62" i="39" s="1"/>
  <c r="B61" i="39"/>
  <c r="F61" i="39" s="1"/>
  <c r="B58" i="39"/>
  <c r="F58" i="39" s="1"/>
  <c r="B63" i="39"/>
  <c r="F63" i="3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18" i="9"/>
  <c r="F119" i="9" s="1"/>
  <c r="F5" i="52" s="1"/>
  <c r="B53" i="72" s="1"/>
  <c r="D118" i="9"/>
  <c r="H118" i="9"/>
  <c r="I118" i="9" s="1"/>
  <c r="F66" i="39" l="1"/>
  <c r="B2" i="39" s="1"/>
  <c r="B3" i="39" s="1"/>
  <c r="H101" i="9"/>
  <c r="H107" i="9" s="1"/>
  <c r="D122" i="9" s="1"/>
  <c r="I4" i="52"/>
  <c r="C105" i="9"/>
  <c r="D119" i="9"/>
  <c r="D5" i="52" s="1"/>
  <c r="B49" i="72" s="1"/>
  <c r="D4" i="52"/>
  <c r="B47" i="72" s="1"/>
  <c r="C104" i="9"/>
  <c r="D14" i="74"/>
  <c r="H4" i="52"/>
  <c r="H119" i="9"/>
  <c r="H5" i="52" s="1"/>
  <c r="H102" i="9"/>
  <c r="D7" i="53" s="1"/>
  <c r="B21" i="72" s="1"/>
  <c r="D5" i="53"/>
  <c r="F4" i="52"/>
  <c r="B51" i="72" s="1"/>
  <c r="G118" i="9"/>
  <c r="G4" i="52" s="1"/>
  <c r="B52" i="72" s="1"/>
  <c r="M48" i="9" l="1"/>
  <c r="D45" i="9"/>
  <c r="D52" i="9" s="1"/>
  <c r="M49" i="9"/>
  <c r="L67" i="9" s="1"/>
  <c r="M67" i="9" s="1"/>
  <c r="D13" i="53"/>
  <c r="B30" i="72" s="1"/>
  <c r="H108" i="9"/>
  <c r="D15" i="53" s="1"/>
  <c r="B31" i="72" s="1"/>
  <c r="F14" i="74"/>
  <c r="E14" i="74"/>
  <c r="C93" i="9"/>
  <c r="C86" i="9" s="1"/>
  <c r="D6" i="53"/>
  <c r="B22" i="72" s="1"/>
  <c r="B20" i="72"/>
  <c r="E118" i="9"/>
  <c r="E4" i="52" s="1"/>
  <c r="B48" i="72" s="1"/>
  <c r="D8" i="52"/>
  <c r="D123" i="9"/>
  <c r="D9" i="52" s="1"/>
  <c r="G14" i="74"/>
  <c r="D14" i="53" l="1"/>
  <c r="B32" i="72" s="1"/>
  <c r="C85" i="9"/>
  <c r="C95" i="9" s="1"/>
  <c r="C96" i="9" s="1"/>
  <c r="E96" i="9" s="1"/>
  <c r="E97" i="9" s="1"/>
  <c r="L68" i="9"/>
  <c r="M68" i="9" s="1"/>
  <c r="L66" i="9"/>
  <c r="M66" i="9" s="1"/>
  <c r="L65" i="9"/>
  <c r="M65" i="9" s="1"/>
  <c r="L63" i="9"/>
  <c r="M63" i="9" s="1"/>
  <c r="L64" i="9"/>
  <c r="M64" i="9" s="1"/>
  <c r="C72" i="9"/>
  <c r="D53" i="9"/>
  <c r="D55" i="9"/>
  <c r="M53" i="9" s="1"/>
  <c r="C64" i="9"/>
  <c r="C63" i="9" s="1"/>
  <c r="C67" i="9" s="1"/>
  <c r="C68" i="9" s="1"/>
  <c r="D54" i="9" s="1"/>
  <c r="D48" i="9" s="1"/>
  <c r="M52" i="9" s="1"/>
  <c r="C78" i="9"/>
  <c r="C73" i="9" s="1"/>
  <c r="C79" i="9" s="1"/>
  <c r="D59" i="9" l="1"/>
  <c r="M55" i="9" s="1"/>
  <c r="M69" i="9"/>
  <c r="N69" i="9" s="1"/>
  <c r="C97" i="9"/>
  <c r="C80" i="9"/>
  <c r="E80" i="9" s="1"/>
  <c r="E81" i="9" s="1"/>
  <c r="C81" i="9" l="1"/>
  <c r="D58" i="9" s="1"/>
  <c r="D56" i="9" s="1"/>
  <c r="M54" i="9" s="1"/>
  <c r="N57" i="9" s="1"/>
  <c r="P57" i="9" s="1"/>
  <c r="N58" i="9" l="1"/>
  <c r="N59" i="9"/>
  <c r="H111" i="9" l="1"/>
  <c r="N60" i="9"/>
  <c r="N61" i="9"/>
  <c r="H112" i="9" s="1"/>
  <c r="D21" i="53" s="1"/>
  <c r="B39" i="72" s="1"/>
  <c r="D126" i="9" l="1"/>
  <c r="D19" i="53"/>
  <c r="D118" i="78"/>
  <c r="D119" i="78" s="1"/>
  <c r="F118" i="78"/>
  <c r="F119" i="78" s="1"/>
  <c r="H118" i="78"/>
  <c r="C104" i="78" s="1"/>
  <c r="D20" i="53" l="1"/>
  <c r="B40" i="72" s="1"/>
  <c r="B38" i="72"/>
  <c r="I14" i="74"/>
  <c r="J14" i="74" s="1"/>
  <c r="D127" i="9"/>
  <c r="D13" i="52" s="1"/>
  <c r="D12" i="52"/>
  <c r="H101" i="78"/>
  <c r="I118" i="78"/>
  <c r="C105" i="78" s="1"/>
  <c r="G118" i="78"/>
  <c r="H119" i="78"/>
  <c r="E118" i="78" l="1"/>
  <c r="H107" i="78"/>
  <c r="H108" i="78" s="1"/>
  <c r="D15" i="74"/>
  <c r="G15" i="74" s="1"/>
  <c r="B6" i="74" s="1"/>
  <c r="D45" i="78"/>
  <c r="D53" i="78" s="1"/>
  <c r="M48" i="78"/>
  <c r="H102" i="78"/>
  <c r="C72" i="78" l="1"/>
  <c r="D122" i="78"/>
  <c r="D123" i="78" s="1"/>
  <c r="C85" i="78"/>
  <c r="D52" i="78"/>
  <c r="C93" i="78"/>
  <c r="C86" i="78" s="1"/>
  <c r="C6" i="74"/>
  <c r="D6" i="74"/>
  <c r="D55" i="78"/>
  <c r="M53" i="78" s="1"/>
  <c r="C64" i="78"/>
  <c r="C63" i="78" s="1"/>
  <c r="C67" i="78" s="1"/>
  <c r="C68" i="78" s="1"/>
  <c r="D54" i="78" s="1"/>
  <c r="D48" i="78" s="1"/>
  <c r="M52" i="78" s="1"/>
  <c r="C78" i="78"/>
  <c r="C73" i="78" s="1"/>
  <c r="M49" i="78"/>
  <c r="F15" i="74"/>
  <c r="E15" i="74"/>
  <c r="B5" i="74"/>
  <c r="C79" i="78" l="1"/>
  <c r="C80" i="78" s="1"/>
  <c r="E80" i="78" s="1"/>
  <c r="E81" i="78" s="1"/>
  <c r="D59" i="78"/>
  <c r="M55" i="78" s="1"/>
  <c r="C95" i="78"/>
  <c r="C96" i="78" s="1"/>
  <c r="E96" i="78" s="1"/>
  <c r="E97" i="78" s="1"/>
  <c r="L63" i="78"/>
  <c r="M63" i="78" s="1"/>
  <c r="L68" i="78"/>
  <c r="M68" i="78" s="1"/>
  <c r="L65" i="78"/>
  <c r="M65" i="78" s="1"/>
  <c r="L67" i="78"/>
  <c r="M67" i="78" s="1"/>
  <c r="L66" i="78"/>
  <c r="M66" i="78" s="1"/>
  <c r="L64" i="78"/>
  <c r="M64" i="78" s="1"/>
  <c r="D5" i="74"/>
  <c r="C5" i="74"/>
  <c r="C97" i="78" l="1"/>
  <c r="C81" i="78"/>
  <c r="D58" i="78" s="1"/>
  <c r="D56" i="78" s="1"/>
  <c r="M54" i="78" s="1"/>
  <c r="N57" i="78" s="1"/>
  <c r="P57" i="78" s="1"/>
  <c r="M69" i="78"/>
  <c r="N69" i="78" s="1"/>
  <c r="N59" i="78" l="1"/>
  <c r="N58" i="78"/>
  <c r="N61" i="78" l="1"/>
  <c r="H112" i="78" s="1"/>
  <c r="I15" i="74"/>
  <c r="N60" i="78"/>
  <c r="H111" i="78"/>
  <c r="D126" i="78" s="1"/>
  <c r="D127" i="78" s="1"/>
  <c r="B8" i="74" l="1"/>
  <c r="D8" i="74" s="1"/>
  <c r="J15" i="74"/>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<sst xmlns="http://schemas.openxmlformats.org/spreadsheetml/2006/main" count="7755" uniqueCount="3135">
  <si>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</si>
  <si>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</si>
  <si>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</si>
  <si>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</si>
  <si>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</si>
  <si>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</si>
  <si>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</si>
  <si>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</si>
  <si>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</si>
  <si>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</si>
  <si>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</si>
  <si>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</si>
  <si>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</si>
  <si>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</si>
  <si>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</si>
  <si>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</si>
  <si>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</si>
  <si>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</si>
  <si>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</si>
  <si>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</si>
  <si>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</si>
  <si>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</si>
  <si>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</si>
  <si>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</si>
  <si>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</si>
  <si>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</si>
  <si>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</si>
  <si>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</si>
  <si>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</si>
  <si>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</si>
  <si>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</si>
  <si>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</si>
  <si>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</si>
  <si>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</si>
  <si>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</si>
  <si>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</si>
  <si>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</si>
  <si>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</si>
  <si>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</si>
  <si>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</si>
  <si>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</si>
  <si>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</si>
  <si>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</si>
  <si>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</si>
  <si>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</si>
  <si>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</si>
  <si>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</si>
  <si>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</si>
  <si>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</si>
  <si>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</si>
  <si>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</si>
  <si>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</si>
  <si>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</si>
  <si>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</si>
  <si>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</si>
  <si>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</si>
  <si>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</si>
  <si>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</si>
  <si>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</si>
  <si>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</si>
  <si>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</si>
  <si>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</si>
  <si>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</si>
  <si>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</si>
  <si>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</si>
  <si>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</si>
  <si>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</si>
  <si>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</si>
  <si>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</si>
  <si>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</si>
  <si>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</si>
  <si>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</si>
  <si>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</si>
  <si>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</si>
  <si>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</si>
  <si>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</si>
  <si>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</si>
  <si>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</si>
  <si>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</si>
  <si>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</si>
  <si>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</si>
  <si>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</si>
  <si>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</si>
  <si>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</si>
  <si>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</si>
  <si>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</si>
  <si>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</si>
  <si>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</si>
  <si>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</si>
  <si>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</si>
  <si>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</si>
  <si>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</si>
  <si>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</si>
  <si>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</si>
  <si>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</si>
  <si>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</si>
  <si>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</si>
  <si>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</si>
  <si>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</si>
  <si>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</si>
  <si>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</si>
  <si>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</si>
  <si>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</si>
  <si>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</si>
  <si>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</si>
  <si>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</si>
  <si>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</si>
  <si>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</si>
  <si>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</si>
  <si>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</si>
  <si>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</si>
  <si>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</si>
  <si>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</si>
  <si>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</si>
  <si>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</si>
  <si>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</si>
  <si>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</si>
  <si>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</si>
  <si>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</si>
  <si>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</si>
  <si>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</si>
  <si>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</si>
  <si>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</si>
  <si>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</si>
  <si>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</si>
  <si>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</si>
  <si>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</si>
  <si>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</si>
  <si>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</si>
  <si>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</si>
  <si>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</si>
  <si>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</si>
  <si>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</si>
  <si>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</si>
  <si>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</si>
  <si>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</si>
  <si>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</si>
  <si>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</si>
  <si>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</si>
  <si>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</si>
  <si>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</si>
  <si>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</si>
  <si>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</si>
  <si>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</si>
  <si>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</si>
  <si>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</si>
  <si>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</si>
  <si>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</si>
  <si>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</si>
  <si>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</si>
  <si>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</si>
  <si>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</si>
  <si>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</si>
  <si>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</si>
  <si>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</si>
  <si>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</si>
  <si>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</si>
  <si>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</si>
  <si>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</si>
  <si>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</si>
  <si>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</si>
  <si>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</si>
  <si>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</si>
  <si>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</si>
  <si>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</si>
  <si>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</si>
  <si>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</si>
  <si>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</si>
  <si>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</si>
  <si>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</si>
  <si>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</si>
  <si>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</si>
  <si>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</si>
  <si>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</si>
  <si>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</si>
  <si>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</si>
  <si>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</si>
  <si>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</si>
  <si>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</si>
  <si>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</si>
  <si>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</si>
  <si>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</si>
  <si>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</si>
  <si>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</si>
  <si>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</si>
  <si>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</si>
  <si>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</si>
  <si>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</si>
  <si>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</si>
  <si>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</si>
  <si>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</si>
  <si>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</si>
  <si>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</si>
  <si>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</si>
  <si>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</si>
  <si>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</si>
  <si>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</si>
  <si>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</si>
  <si>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</si>
  <si>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</si>
  <si>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</si>
  <si>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</si>
  <si>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</si>
  <si>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</si>
  <si>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</si>
  <si>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</si>
  <si>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</si>
  <si>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</si>
  <si>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</si>
  <si>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</si>
  <si>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</si>
  <si>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</si>
  <si>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</si>
  <si>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</si>
  <si>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</si>
  <si>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</si>
  <si>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</si>
  <si>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</si>
  <si>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</si>
  <si>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</si>
  <si>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</si>
  <si>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</si>
  <si>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</si>
  <si>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</si>
  <si>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</si>
  <si>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</si>
  <si>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</si>
  <si>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</si>
  <si>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</si>
  <si>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</si>
  <si>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</si>
  <si>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</si>
  <si>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</si>
  <si>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</si>
  <si>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</si>
  <si>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</si>
  <si>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</si>
  <si>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</si>
  <si>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</si>
  <si>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</si>
  <si>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</si>
  <si>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</si>
  <si>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</si>
  <si>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</si>
  <si>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</si>
  <si>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</si>
  <si>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</si>
  <si>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</si>
  <si>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</si>
  <si>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</si>
  <si>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</si>
  <si>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</si>
  <si>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</si>
  <si>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</si>
  <si>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</si>
  <si>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</si>
  <si>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</si>
  <si>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</si>
  <si>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</si>
  <si>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</si>
  <si>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</si>
  <si>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</si>
  <si>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</si>
  <si>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</si>
  <si>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</si>
  <si>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</si>
  <si>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</si>
  <si>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</si>
  <si>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</si>
  <si>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</si>
  <si>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</si>
  <si>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</si>
  <si>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</si>
  <si>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</si>
  <si>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</si>
  <si>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</si>
  <si>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</si>
  <si>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</si>
  <si>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</si>
  <si>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</si>
  <si>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</si>
  <si>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</si>
  <si>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</si>
  <si>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</si>
  <si>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</si>
  <si>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</si>
  <si>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</si>
  <si>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</si>
  <si>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</si>
  <si>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</si>
  <si>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</si>
  <si>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</si>
  <si>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</si>
  <si>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</si>
  <si>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</si>
  <si>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</si>
  <si>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</si>
  <si>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</si>
  <si>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</si>
  <si>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</si>
  <si>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</si>
  <si>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</si>
  <si>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</si>
  <si>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</si>
  <si>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</si>
  <si>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</si>
  <si>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</si>
  <si>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</si>
  <si>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</si>
  <si>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</si>
  <si>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</si>
  <si>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</si>
  <si>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</si>
  <si>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</si>
  <si>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</si>
  <si>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</si>
  <si>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</si>
  <si>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</si>
  <si>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</si>
  <si>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</si>
  <si>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</si>
  <si>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</si>
  <si>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</si>
  <si>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</si>
  <si>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</si>
  <si>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</si>
  <si>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</si>
  <si>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</si>
  <si>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</si>
  <si>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</si>
  <si>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</si>
  <si>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</si>
  <si>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</si>
  <si>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</si>
  <si>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</si>
  <si>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</si>
  <si>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</si>
  <si>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</si>
  <si>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</si>
  <si>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</si>
  <si>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</si>
  <si>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</si>
  <si>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</si>
  <si>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</si>
  <si>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</si>
  <si>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</si>
  <si>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</si>
  <si>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</si>
  <si>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</si>
  <si>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</si>
  <si>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</si>
  <si>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</si>
  <si>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</si>
  <si>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</si>
  <si>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</si>
  <si>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</si>
  <si>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</si>
  <si>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</si>
  <si>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</si>
  <si>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</si>
  <si>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</si>
  <si>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</si>
  <si>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</si>
  <si>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</si>
  <si>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</si>
  <si>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</si>
  <si>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</si>
  <si>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</si>
  <si>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</si>
  <si>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</si>
  <si>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</si>
  <si>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</si>
  <si>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</si>
  <si>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</si>
  <si>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</si>
  <si>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</si>
  <si>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</si>
  <si>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</si>
  <si>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</si>
  <si>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</si>
  <si>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</si>
  <si>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</si>
  <si>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</si>
  <si>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</si>
  <si>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</si>
  <si>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</si>
  <si>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</si>
  <si>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</si>
  <si>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</si>
  <si>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</si>
  <si>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</si>
  <si>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</si>
  <si>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</si>
  <si>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</si>
  <si>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</si>
  <si>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</si>
  <si>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</si>
  <si>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</si>
  <si>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</si>
  <si>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</si>
  <si>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</si>
  <si>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</si>
  <si>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</si>
  <si>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</si>
  <si>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</si>
  <si>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</si>
  <si>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</si>
  <si>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</si>
  <si>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</si>
  <si>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</si>
  <si>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</si>
  <si>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</si>
  <si>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</si>
  <si>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</si>
  <si>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</si>
  <si>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</si>
  <si>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</si>
  <si>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</si>
  <si>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</si>
  <si>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</si>
  <si>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</si>
  <si>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</si>
  <si>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</si>
  <si>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</si>
  <si>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</si>
  <si>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</si>
  <si>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</si>
  <si>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</si>
  <si>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</si>
  <si>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</si>
  <si>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</si>
  <si>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</si>
  <si>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</si>
  <si>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</si>
  <si>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</si>
  <si>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</si>
  <si>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</si>
  <si>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</si>
  <si>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</si>
  <si>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</si>
  <si>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</si>
  <si>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</si>
  <si>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</si>
  <si>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</si>
  <si>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</si>
  <si>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</si>
  <si>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</si>
  <si>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</si>
  <si>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</si>
  <si>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</si>
  <si>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</si>
  <si>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</si>
  <si>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</si>
  <si>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</si>
  <si>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</si>
  <si>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</si>
  <si>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</si>
  <si>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</si>
  <si>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</si>
  <si>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</si>
  <si>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</si>
  <si>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</si>
  <si>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</si>
  <si>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</si>
  <si>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</si>
  <si>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</si>
  <si>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</si>
  <si>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</si>
  <si>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</si>
  <si>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</si>
  <si>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</si>
  <si>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</si>
  <si>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</si>
  <si>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</si>
  <si>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</si>
  <si>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</si>
  <si>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</si>
  <si>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</si>
  <si>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</si>
  <si>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</si>
  <si>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</si>
  <si>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</si>
  <si>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</si>
  <si>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</si>
  <si>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</si>
  <si>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</si>
  <si>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</si>
  <si>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</si>
  <si>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</si>
  <si>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</si>
  <si>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</si>
  <si>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</si>
  <si>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</si>
  <si>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</si>
  <si>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</si>
  <si>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</si>
  <si>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</si>
  <si>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</si>
  <si>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</si>
  <si>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</si>
  <si>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</si>
  <si>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</si>
  <si>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</si>
  <si>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</si>
  <si>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</si>
  <si>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</si>
  <si>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</si>
  <si>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</si>
  <si>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</si>
  <si>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</si>
  <si>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</si>
  <si>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</si>
  <si>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</si>
  <si>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</si>
  <si>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</si>
  <si>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</si>
  <si>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</si>
  <si>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</si>
  <si>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</si>
  <si>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</si>
  <si>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</si>
  <si>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</si>
  <si>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</si>
  <si>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</si>
  <si>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</si>
  <si>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</si>
  <si>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</si>
  <si>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</si>
  <si>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</si>
  <si>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</si>
  <si>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</si>
  <si>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</si>
  <si>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</si>
  <si>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</si>
  <si>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</si>
  <si>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</si>
  <si>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</si>
  <si>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</si>
  <si>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</si>
  <si>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</si>
  <si>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</si>
  <si>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</si>
  <si>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</si>
  <si>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</si>
  <si>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</si>
  <si>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</si>
  <si>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</si>
  <si>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</si>
  <si>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</si>
  <si>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</si>
  <si>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</si>
  <si>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</si>
  <si>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</si>
  <si>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</si>
  <si>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</si>
  <si>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</si>
  <si>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</si>
  <si>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</si>
  <si>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</si>
  <si>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</si>
  <si>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</si>
  <si>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</si>
  <si>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</si>
  <si>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</si>
  <si>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</si>
  <si>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</si>
  <si>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</si>
  <si>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</si>
  <si>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</si>
  <si>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</si>
  <si>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</si>
  <si>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</si>
  <si>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</si>
  <si>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</si>
  <si>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</si>
  <si>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</si>
  <si>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</si>
  <si>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</si>
  <si>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</si>
  <si>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</si>
  <si>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</si>
  <si>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</si>
  <si>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</si>
  <si>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</si>
  <si>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</si>
  <si>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</si>
  <si>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</si>
  <si>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</si>
  <si>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</si>
  <si>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</si>
  <si>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</si>
  <si>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</si>
  <si>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</si>
  <si>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</si>
  <si>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</si>
  <si>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</si>
  <si>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</si>
  <si>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</si>
  <si>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</si>
  <si>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</si>
  <si>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</si>
  <si>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</si>
  <si>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</si>
  <si>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</si>
  <si>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</si>
  <si>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</si>
  <si>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</si>
  <si>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</si>
  <si>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</si>
  <si>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</si>
  <si>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</si>
  <si>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</si>
  <si>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</si>
  <si>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</si>
  <si>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</si>
  <si>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</si>
  <si>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</si>
  <si>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</si>
  <si>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</si>
  <si>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</si>
  <si>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</si>
  <si>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</si>
  <si>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</si>
  <si>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</si>
  <si>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</si>
  <si>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</si>
  <si>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</si>
  <si>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</si>
  <si>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</si>
  <si>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</si>
  <si>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</si>
  <si>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</si>
  <si>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</si>
  <si>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</si>
  <si>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</si>
  <si>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</si>
  <si>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</si>
  <si>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</si>
  <si>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</si>
  <si>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</si>
  <si>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</si>
  <si>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</si>
  <si>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</si>
  <si>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</si>
  <si>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</si>
  <si>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</si>
  <si>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</si>
  <si>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</si>
  <si>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</si>
  <si>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</si>
  <si>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</si>
  <si>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</si>
  <si>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</si>
  <si>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</si>
  <si>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</si>
  <si>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</si>
  <si>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</si>
  <si>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</si>
  <si>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</si>
  <si>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</si>
  <si>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</si>
  <si>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</si>
  <si>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</si>
  <si>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</si>
  <si>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</si>
  <si>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</si>
  <si>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</si>
  <si>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</si>
  <si>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</si>
  <si>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</si>
  <si>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</si>
  <si>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</si>
  <si>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</si>
  <si>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</si>
  <si>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</si>
  <si>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</si>
  <si>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</si>
  <si>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</si>
  <si>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</si>
  <si>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</si>
  <si>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</si>
  <si>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</si>
  <si>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</si>
  <si>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</si>
  <si>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</si>
  <si>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</si>
  <si>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</si>
  <si>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</si>
  <si>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</si>
  <si>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</si>
  <si>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</si>
  <si>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</si>
  <si>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</si>
  <si>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</si>
  <si>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</si>
  <si>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</si>
  <si>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</si>
  <si>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</si>
  <si>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</si>
  <si>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</si>
  <si>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</si>
  <si>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</si>
  <si>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</si>
  <si>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</si>
  <si>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</si>
  <si>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</si>
  <si>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</si>
  <si>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</si>
  <si>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</si>
  <si>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</si>
  <si>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</si>
  <si>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</si>
  <si>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</si>
  <si>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</si>
  <si>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</si>
  <si>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</si>
  <si>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</si>
  <si>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</si>
  <si>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</si>
  <si>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</si>
  <si>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</si>
  <si>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</si>
  <si>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</si>
  <si>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</si>
  <si>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</si>
  <si>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</si>
  <si>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</si>
  <si>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</si>
  <si>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</si>
  <si>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</si>
  <si>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</si>
  <si>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</si>
  <si>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</si>
  <si>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</si>
  <si>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</si>
  <si>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</si>
  <si>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</si>
  <si>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</si>
  <si>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</si>
  <si>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</si>
  <si>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</si>
  <si>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</si>
  <si>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</si>
  <si>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</si>
  <si>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</si>
  <si>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</si>
  <si>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</si>
  <si>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</si>
  <si>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</si>
  <si>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</si>
  <si>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</si>
  <si>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</si>
  <si>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</si>
  <si>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</si>
  <si>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</si>
  <si>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</si>
  <si>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</si>
  <si>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</si>
  <si>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</si>
  <si>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</si>
  <si>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</si>
  <si>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</si>
  <si>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</si>
  <si>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</si>
  <si>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</si>
  <si>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</si>
  <si>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</si>
  <si>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</si>
  <si>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</si>
  <si>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</si>
  <si>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</si>
  <si>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</si>
  <si>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</si>
  <si>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</si>
  <si>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</si>
  <si>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</si>
  <si>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</si>
  <si>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</si>
  <si>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</si>
  <si>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</si>
  <si>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</si>
  <si>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</si>
  <si>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</si>
  <si>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</si>
  <si>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</si>
  <si>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</si>
  <si>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</si>
  <si>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</si>
  <si>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</si>
  <si>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</si>
  <si>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</si>
  <si>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</si>
  <si>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</si>
  <si>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</si>
  <si>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</si>
  <si>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</si>
  <si>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</si>
  <si>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</si>
  <si>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</si>
  <si>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</si>
  <si>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</si>
  <si>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</si>
  <si>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</si>
  <si>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</si>
  <si>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</si>
  <si>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</si>
  <si>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</si>
  <si>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</si>
  <si>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</si>
  <si>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</si>
  <si>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</si>
  <si>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</si>
  <si>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</si>
  <si>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</si>
  <si>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</si>
  <si>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</si>
  <si>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</si>
  <si>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</si>
  <si>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</si>
  <si>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</si>
  <si>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</si>
  <si>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</si>
  <si>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</si>
  <si>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</si>
  <si>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</si>
  <si>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</si>
  <si>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</si>
  <si>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</si>
  <si>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</si>
  <si>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</si>
  <si>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</si>
  <si>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</si>
  <si>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</si>
  <si>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</si>
  <si>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</si>
  <si>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</si>
  <si>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</si>
  <si>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</si>
  <si>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</si>
  <si>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</si>
  <si>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</si>
  <si>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</si>
  <si>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</si>
  <si>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</si>
  <si>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</si>
  <si>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</si>
  <si>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</si>
  <si>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</si>
  <si>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</si>
  <si>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</si>
  <si>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</si>
  <si>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</si>
  <si>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</si>
  <si>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</si>
  <si>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</si>
  <si>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</si>
  <si>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</si>
  <si>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</si>
  <si>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</si>
  <si>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</si>
  <si>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</si>
  <si>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</si>
  <si>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</si>
  <si>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</si>
  <si>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</si>
  <si>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</si>
  <si>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</si>
  <si>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</si>
  <si>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</si>
  <si>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</si>
  <si>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</si>
  <si>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</si>
  <si>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</si>
  <si>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</si>
  <si>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</si>
  <si>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</si>
  <si>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</si>
  <si>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</si>
  <si>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</si>
  <si>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</si>
  <si>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</si>
  <si>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</si>
  <si>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</si>
  <si>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</si>
  <si>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</si>
  <si>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</si>
  <si>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</si>
  <si>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</si>
  <si>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</si>
  <si>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</si>
  <si>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</si>
  <si>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</si>
  <si>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</si>
  <si>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</si>
  <si>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</si>
  <si>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</si>
  <si>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</si>
  <si>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</si>
  <si>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</si>
  <si>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</si>
  <si>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</si>
  <si>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</si>
  <si>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</si>
  <si>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</si>
  <si>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</si>
  <si>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</si>
  <si>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</si>
  <si>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</si>
  <si>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</si>
  <si>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</si>
  <si>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</si>
  <si>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</si>
  <si>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</si>
  <si>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</si>
  <si>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</si>
  <si>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</si>
  <si>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</si>
  <si>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</si>
  <si>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</si>
  <si>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</si>
  <si>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</si>
  <si>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</si>
  <si>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</si>
  <si>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</si>
  <si>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</si>
  <si>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</si>
  <si>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</si>
  <si>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</si>
  <si>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</si>
  <si>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</si>
  <si>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</si>
  <si>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</si>
  <si>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</si>
  <si>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</si>
  <si>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</si>
  <si>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</si>
  <si>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</si>
  <si>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</si>
  <si>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</si>
  <si>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</si>
  <si>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</si>
  <si>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</si>
  <si>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</si>
  <si>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</si>
  <si>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</si>
  <si>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</si>
  <si>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</si>
  <si>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</si>
  <si>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</si>
  <si>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</si>
  <si>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</si>
  <si>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</si>
  <si>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</si>
  <si>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</si>
  <si>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</si>
  <si>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</si>
  <si>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</si>
  <si>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</si>
  <si>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</si>
  <si>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</si>
  <si>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</si>
  <si>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</si>
  <si>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</si>
  <si>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</si>
  <si>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</si>
  <si>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</si>
  <si>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</si>
  <si>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</si>
  <si>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</si>
  <si>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</si>
  <si>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</si>
  <si>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</si>
  <si>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</si>
  <si>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</si>
  <si>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</si>
  <si>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</si>
  <si>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</si>
  <si>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</si>
  <si>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</si>
  <si>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</si>
  <si>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</si>
  <si>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</si>
  <si>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</si>
  <si>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</si>
  <si>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</si>
  <si>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</si>
  <si>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</si>
  <si>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</si>
  <si>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</si>
  <si>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</si>
  <si>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</si>
  <si>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</si>
  <si>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</si>
  <si>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</si>
  <si>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</si>
  <si>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</si>
  <si>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</si>
  <si>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</si>
  <si>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</si>
  <si>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</si>
  <si>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</si>
  <si>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</si>
  <si>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</si>
  <si>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</si>
  <si>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</si>
  <si>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</si>
  <si>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</si>
  <si>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</si>
  <si>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</si>
  <si>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</si>
  <si>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</si>
  <si>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</si>
  <si>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</si>
  <si>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</si>
  <si>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</si>
  <si>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</si>
  <si>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</si>
  <si>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</si>
  <si>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</si>
  <si>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</si>
  <si>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</si>
  <si>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</si>
  <si>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</si>
  <si>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</si>
  <si>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</si>
  <si>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</si>
  <si>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</si>
  <si>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</si>
  <si>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</si>
  <si>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</si>
  <si>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</si>
  <si>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</si>
  <si>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</si>
  <si>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</si>
  <si>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</si>
  <si>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</si>
  <si>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</si>
  <si>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</si>
  <si>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</si>
  <si>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</si>
  <si>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</si>
  <si>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</si>
  <si>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</si>
  <si>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</si>
  <si>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</si>
  <si>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</si>
  <si>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</si>
  <si>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</si>
  <si>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</si>
  <si>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</si>
  <si>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</si>
  <si>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</si>
  <si>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</si>
  <si>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</si>
  <si>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</si>
  <si>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</si>
  <si>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</si>
  <si>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</si>
  <si>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</si>
  <si>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</si>
  <si>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</si>
  <si>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</si>
  <si>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</si>
  <si>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</si>
  <si>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</si>
  <si>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</si>
  <si>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</si>
  <si>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</si>
  <si>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</si>
  <si>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</si>
  <si>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</si>
  <si>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</si>
  <si>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</si>
  <si>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</si>
  <si>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</si>
  <si>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</si>
  <si>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</si>
  <si>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</si>
  <si>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</si>
  <si>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</si>
  <si>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</si>
  <si>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</si>
  <si>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</si>
  <si>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</si>
  <si>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</si>
  <si>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</si>
  <si>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</si>
  <si>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</si>
  <si>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</si>
  <si>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</si>
  <si>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</si>
  <si>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</si>
  <si>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</si>
  <si>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</si>
  <si>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</si>
  <si>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</si>
  <si>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</si>
  <si>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</si>
  <si>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</si>
  <si>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</si>
  <si>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</si>
  <si>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</si>
  <si>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</si>
  <si>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</si>
  <si>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</si>
  <si>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</si>
  <si>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</si>
  <si>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</si>
  <si>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</si>
  <si>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</si>
  <si>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</si>
  <si>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</si>
  <si>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</si>
  <si>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</si>
  <si>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</si>
  <si>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</si>
  <si>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</si>
  <si>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</si>
  <si>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</si>
  <si>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</si>
  <si>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</si>
  <si>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</si>
  <si>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</si>
  <si>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</si>
  <si>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</si>
  <si>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</si>
  <si>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</si>
  <si>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</si>
  <si>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</si>
  <si>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</si>
  <si>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</si>
  <si>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</si>
  <si>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</si>
  <si>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</si>
  <si>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</si>
  <si>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</si>
  <si>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</si>
  <si>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</si>
  <si>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</si>
  <si>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</si>
  <si>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</si>
  <si>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</si>
  <si>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</si>
  <si>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</si>
  <si>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</si>
  <si>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</si>
  <si>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</si>
  <si>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</si>
  <si>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</si>
  <si>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</si>
  <si>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</si>
  <si>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</si>
  <si>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</si>
  <si>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</si>
  <si>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</si>
  <si>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</si>
  <si>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</si>
  <si>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</si>
  <si>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</si>
  <si>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</si>
  <si>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</si>
  <si>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</si>
  <si>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</si>
  <si>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</si>
  <si>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</si>
  <si>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</si>
  <si>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</si>
  <si>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</si>
  <si>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</si>
  <si>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</si>
  <si>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</si>
  <si>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</si>
  <si>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</si>
  <si>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</si>
  <si>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</si>
  <si>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</si>
  <si>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</si>
  <si>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</si>
  <si>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</si>
  <si>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</si>
  <si>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</si>
  <si>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</si>
  <si>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</si>
  <si>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</si>
  <si>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</si>
  <si>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</si>
  <si>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</si>
  <si>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</si>
  <si>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</si>
  <si>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</si>
  <si>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</si>
  <si>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</si>
  <si>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</si>
  <si>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</si>
  <si>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</si>
  <si>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</si>
  <si>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</si>
  <si>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</si>
  <si>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</si>
  <si>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</si>
  <si>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</si>
  <si>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</si>
  <si>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</si>
  <si>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</si>
  <si>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</si>
  <si>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</si>
  <si>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</si>
  <si>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</si>
  <si>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</si>
  <si>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</si>
  <si>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</si>
  <si>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</si>
  <si>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</si>
  <si>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</si>
  <si>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</si>
  <si>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</si>
  <si>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</si>
  <si>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</si>
  <si>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</si>
  <si>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</si>
  <si>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</si>
  <si>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</si>
  <si>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</si>
  <si>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</si>
  <si>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</si>
  <si>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</si>
  <si>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</si>
  <si>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</si>
  <si>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</si>
  <si>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</si>
  <si>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</si>
  <si>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</si>
  <si>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</si>
  <si>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</si>
  <si>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</si>
  <si>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</si>
  <si>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</si>
  <si>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</si>
  <si>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</si>
  <si>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</si>
  <si>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</si>
  <si>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</si>
  <si>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</si>
  <si>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</si>
  <si>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</si>
  <si>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</si>
  <si>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</si>
  <si>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</si>
  <si>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</si>
  <si>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</si>
  <si>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</si>
  <si>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</si>
  <si>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</si>
  <si>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</si>
  <si>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</si>
  <si>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</si>
  <si>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</si>
  <si>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</si>
  <si>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</si>
  <si>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</si>
  <si>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</si>
  <si>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</si>
  <si>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</si>
  <si>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</si>
  <si>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</si>
  <si>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</si>
  <si>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</si>
  <si>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</si>
  <si>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</si>
  <si>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</si>
  <si>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</si>
  <si>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</si>
  <si>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</si>
  <si>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</si>
  <si>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</si>
  <si>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</si>
  <si>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</si>
  <si>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</si>
  <si>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</si>
  <si>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</si>
  <si>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</si>
  <si>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</si>
  <si>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</si>
  <si>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</si>
  <si>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</si>
  <si>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</si>
  <si>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</si>
  <si>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</si>
  <si>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</si>
  <si>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</si>
  <si>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</si>
  <si>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</si>
  <si>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</si>
  <si>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</si>
  <si>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</si>
  <si>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</si>
  <si>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</si>
  <si>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</si>
  <si>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</si>
  <si>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</si>
  <si>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</si>
  <si>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</si>
  <si>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</si>
  <si>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</si>
  <si>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</si>
  <si>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</si>
  <si>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</si>
  <si>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</si>
  <si>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</si>
  <si>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</si>
  <si>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</si>
  <si>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</si>
  <si>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</si>
  <si>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</si>
  <si>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</si>
  <si>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</si>
  <si>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</si>
  <si>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</si>
  <si>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</si>
  <si>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</si>
  <si>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</si>
  <si>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</si>
  <si>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</si>
  <si>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</si>
  <si>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</si>
  <si>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</si>
  <si>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</si>
  <si>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</si>
  <si>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</si>
  <si>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</si>
  <si>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</si>
  <si>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</si>
  <si>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</si>
  <si>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</si>
  <si>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</si>
  <si>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</si>
  <si>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</si>
  <si>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</si>
  <si>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</si>
  <si>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</si>
  <si>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</si>
  <si>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</si>
  <si>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</si>
  <si>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</si>
  <si>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</si>
  <si>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</si>
  <si>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</si>
  <si>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</si>
  <si>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</si>
  <si>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</si>
  <si>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</si>
  <si>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</si>
  <si>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</si>
  <si>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</si>
  <si>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</si>
  <si>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</si>
  <si>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</si>
  <si>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</si>
  <si>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</si>
  <si>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</si>
  <si>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</si>
  <si>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</si>
  <si>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</si>
  <si>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</si>
  <si>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</si>
  <si>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</si>
  <si>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</si>
  <si>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</si>
  <si>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</si>
  <si>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</si>
  <si>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</si>
  <si>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</si>
  <si>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</si>
  <si>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</si>
  <si>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</si>
  <si>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</si>
  <si>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</si>
  <si>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</si>
  <si>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</si>
  <si>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</si>
  <si>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</si>
  <si>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</si>
  <si>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</si>
  <si>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</si>
  <si>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</si>
  <si>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</si>
  <si>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</si>
  <si>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</si>
  <si>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</si>
  <si>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</si>
  <si>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</si>
  <si>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</si>
  <si>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</si>
  <si>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</si>
  <si>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</si>
  <si>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</si>
  <si>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</si>
  <si>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</si>
  <si>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</si>
  <si>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</si>
  <si>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</si>
  <si>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</si>
  <si>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</si>
  <si>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</si>
  <si>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</si>
  <si>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</si>
  <si>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</si>
  <si>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</si>
  <si>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</si>
  <si>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</si>
  <si>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</si>
  <si>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</si>
  <si>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</si>
  <si>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</si>
  <si>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</si>
  <si>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</si>
  <si>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</si>
  <si>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</si>
  <si>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</si>
  <si>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</si>
  <si>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</si>
  <si>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</si>
  <si>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</si>
  <si>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</si>
  <si>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</si>
  <si>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</si>
  <si>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</si>
  <si>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</si>
  <si>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</si>
  <si>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</si>
  <si>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</si>
  <si>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</si>
  <si>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</si>
  <si>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</si>
  <si>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</si>
  <si>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</si>
  <si>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</si>
  <si>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</si>
  <si>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</si>
  <si>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</si>
  <si>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</si>
  <si>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</si>
  <si>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</si>
  <si>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</si>
  <si>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</si>
  <si>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</si>
  <si>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</si>
  <si>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</si>
  <si>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</si>
  <si>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</si>
  <si>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</si>
  <si>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</si>
  <si>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</si>
  <si>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</si>
  <si>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</si>
  <si>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</si>
  <si>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</si>
  <si>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</si>
  <si>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</si>
  <si>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</si>
  <si>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</si>
  <si>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</si>
  <si>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</si>
  <si>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</si>
  <si>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</si>
  <si>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</si>
  <si>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</si>
  <si>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</si>
  <si>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</si>
  <si>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</si>
  <si>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</si>
  <si>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</si>
  <si>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</si>
  <si>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</si>
  <si>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</si>
  <si>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</si>
  <si>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</si>
  <si>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</si>
  <si>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</si>
  <si>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</si>
  <si>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</si>
  <si>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</si>
  <si>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</si>
  <si>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</si>
  <si>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</si>
  <si>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</si>
  <si>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</si>
  <si>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</si>
  <si>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</si>
  <si>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</si>
  <si>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</si>
  <si>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</si>
  <si>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</si>
  <si>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</si>
  <si>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</si>
  <si>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</si>
  <si>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</si>
  <si>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</si>
  <si>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</si>
  <si>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</si>
  <si>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</si>
  <si>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</si>
  <si>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</si>
  <si>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</si>
  <si>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</si>
  <si>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</si>
  <si>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</si>
  <si>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</si>
  <si>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</si>
  <si>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</si>
  <si>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</si>
  <si>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</si>
  <si>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</si>
  <si>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</si>
  <si>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</si>
  <si>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</si>
  <si>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</si>
  <si>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</si>
  <si>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</si>
  <si>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</si>
  <si>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</si>
  <si>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</si>
  <si>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</si>
  <si>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</si>
  <si>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</si>
  <si>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</si>
  <si>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</si>
  <si>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</si>
  <si>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</si>
  <si>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</si>
  <si>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</si>
  <si>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</si>
  <si>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</si>
  <si>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</si>
  <si>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</si>
  <si>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</si>
  <si>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</si>
  <si>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</si>
  <si>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</si>
  <si>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</si>
  <si>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</si>
  <si>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</si>
  <si>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</si>
  <si>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</si>
  <si>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</si>
  <si>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</si>
  <si>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</si>
  <si>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</si>
  <si>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</si>
  <si>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</si>
  <si>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</si>
  <si>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</si>
  <si>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</si>
  <si>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</si>
  <si>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</si>
  <si>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</si>
  <si>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</si>
  <si>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</si>
  <si>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</si>
  <si>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</si>
  <si>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</si>
  <si>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</si>
  <si>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</si>
  <si>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</si>
  <si>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</si>
  <si>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</si>
  <si>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</si>
  <si>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</si>
  <si>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</si>
  <si>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</si>
  <si>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</si>
  <si>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</si>
  <si>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</si>
  <si>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</si>
  <si>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</si>
  <si>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</si>
  <si>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</si>
  <si>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</si>
  <si>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</si>
  <si>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</si>
  <si>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</si>
  <si>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</si>
  <si>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</si>
  <si>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</si>
  <si>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</si>
  <si>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</si>
  <si>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</si>
  <si>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</si>
  <si>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</si>
  <si>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</si>
  <si>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</si>
  <si>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</si>
  <si>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</si>
  <si>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</si>
  <si>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</si>
  <si>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</si>
  <si>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</si>
  <si>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</si>
  <si>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</si>
  <si>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</si>
  <si>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</si>
  <si>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</si>
  <si>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</si>
  <si>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</si>
  <si>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</si>
  <si>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</si>
  <si>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</si>
  <si>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</si>
  <si>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</si>
  <si>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</si>
  <si>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</si>
  <si>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</si>
  <si>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</si>
  <si>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</si>
  <si>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</si>
  <si>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</si>
  <si>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</si>
  <si>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</si>
  <si>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</si>
  <si>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</si>
  <si>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</si>
  <si>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</si>
  <si>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</si>
  <si>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</si>
  <si>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</si>
  <si>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</si>
  <si>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</si>
  <si>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</si>
  <si>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</si>
  <si>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</si>
  <si>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</si>
  <si>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</si>
  <si>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</si>
  <si>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</si>
  <si>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</si>
  <si>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</si>
  <si>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</si>
  <si>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</si>
  <si>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</si>
  <si>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</si>
  <si>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</si>
  <si>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</si>
  <si>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</si>
  <si>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</si>
  <si>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</si>
  <si>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</si>
  <si>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</si>
  <si>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</si>
  <si>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</si>
  <si>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</si>
  <si>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</si>
  <si>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</si>
  <si>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</si>
  <si>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</si>
  <si>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</si>
  <si>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</si>
  <si>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</si>
  <si>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</si>
  <si>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</si>
  <si>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</si>
  <si>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</si>
  <si>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</si>
  <si>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</si>
  <si>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</si>
  <si>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</si>
  <si>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</si>
  <si>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</si>
  <si>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</si>
  <si>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</si>
  <si>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</si>
  <si>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</si>
  <si>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</si>
  <si>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</si>
  <si>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</si>
  <si>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</si>
  <si>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</si>
  <si>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</si>
  <si>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</si>
  <si>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</si>
  <si>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</si>
  <si>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</si>
  <si>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</si>
  <si>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</si>
  <si>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</si>
  <si>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</si>
  <si>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</si>
  <si>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</si>
  <si>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</si>
  <si>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</si>
  <si>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</si>
  <si>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</si>
  <si>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</si>
  <si>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</si>
  <si>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</si>
  <si>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</si>
  <si>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</si>
  <si>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</si>
  <si>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</si>
  <si>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</si>
  <si>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</si>
  <si>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</si>
  <si>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</si>
  <si>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</si>
  <si>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</si>
  <si>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</si>
  <si>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</si>
  <si>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</si>
  <si>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</si>
  <si>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</si>
  <si>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</si>
  <si>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</si>
  <si>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</si>
  <si>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</si>
  <si>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</si>
  <si>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</si>
  <si>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</si>
  <si>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</si>
  <si>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</si>
  <si>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</si>
  <si>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</si>
  <si>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</si>
  <si>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</si>
  <si>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</si>
  <si>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</si>
  <si>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</si>
  <si>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</si>
  <si>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</si>
  <si>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</si>
  <si>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</si>
  <si>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</si>
  <si>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</si>
  <si>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</si>
  <si>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</si>
  <si>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</si>
  <si>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</si>
  <si>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</si>
  <si>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</si>
  <si>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</si>
  <si>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</si>
  <si>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</si>
  <si>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</si>
  <si>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</si>
  <si>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</si>
  <si>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</si>
  <si>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</si>
  <si>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</si>
  <si>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</si>
  <si>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</si>
  <si>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</si>
  <si>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</si>
  <si>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</si>
  <si>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</si>
  <si>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</si>
  <si>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</si>
  <si>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</si>
  <si>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</si>
  <si>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</si>
  <si>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</si>
  <si>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</si>
  <si>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</si>
  <si>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</si>
  <si>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</si>
  <si>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</si>
  <si>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</si>
  <si>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</si>
  <si>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</si>
  <si>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</si>
  <si>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</si>
  <si>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</si>
  <si>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</si>
  <si>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</si>
  <si>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</si>
  <si>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</si>
  <si>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</si>
  <si>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</si>
  <si>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</si>
  <si>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</si>
  <si>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</si>
  <si>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</si>
  <si>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</si>
  <si>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</si>
  <si>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</si>
  <si>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</si>
  <si>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</si>
  <si>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</si>
  <si>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</si>
  <si>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</si>
  <si>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</si>
  <si>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</si>
  <si>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</si>
  <si>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</si>
  <si>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</si>
  <si>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</si>
  <si>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</si>
  <si>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</si>
  <si>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</si>
  <si>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</si>
  <si>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</si>
  <si>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</si>
  <si>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</si>
  <si>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</si>
  <si>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</si>
  <si>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</si>
  <si>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</si>
  <si>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</si>
  <si>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</si>
  <si>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</si>
  <si>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</si>
  <si>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</si>
  <si>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</si>
  <si>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</si>
  <si>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</si>
  <si>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</si>
  <si>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</si>
  <si>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</si>
  <si>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</si>
  <si>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</si>
  <si>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</si>
  <si>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</si>
  <si>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</si>
  <si>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</si>
  <si>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</si>
  <si>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</si>
  <si>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</si>
  <si>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</si>
  <si>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</si>
  <si>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</si>
  <si>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</si>
  <si>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</si>
  <si>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</si>
  <si>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</si>
  <si>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</si>
  <si>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</si>
  <si>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</si>
  <si>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</si>
  <si>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</si>
  <si>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</si>
  <si>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</si>
  <si>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</si>
  <si>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</si>
  <si>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</si>
  <si>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</si>
  <si>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</si>
  <si>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</si>
  <si>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</si>
  <si>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</si>
  <si>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</si>
  <si>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</si>
  <si>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</si>
  <si>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</si>
  <si>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</si>
  <si>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</si>
  <si>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</si>
  <si>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</si>
  <si>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</si>
  <si>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</si>
  <si>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</si>
  <si>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</si>
  <si>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</si>
  <si>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</si>
  <si>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</si>
  <si>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</si>
  <si>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</si>
  <si>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</si>
  <si>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</si>
  <si>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</si>
  <si>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</si>
  <si>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</si>
  <si>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</si>
  <si>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</si>
  <si>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</si>
  <si>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</si>
  <si>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</si>
  <si>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</si>
  <si>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</si>
  <si>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</si>
  <si>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</si>
  <si>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</si>
  <si>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</si>
  <si>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</si>
  <si>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</si>
  <si>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</si>
  <si>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</si>
  <si>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</si>
  <si>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</si>
  <si>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</si>
  <si>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</si>
  <si>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</si>
  <si>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</si>
  <si>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</si>
  <si>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</si>
  <si>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</si>
  <si>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</si>
  <si>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</si>
  <si>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</si>
  <si>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</si>
  <si>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</si>
  <si>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</si>
  <si>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</si>
  <si>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</si>
  <si>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</si>
  <si>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</si>
  <si>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</si>
  <si>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</si>
  <si>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</si>
  <si>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</si>
  <si>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</si>
  <si>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</si>
  <si>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</si>
  <si>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</si>
  <si>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</si>
  <si>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</si>
  <si>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</si>
  <si>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</si>
  <si>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</si>
  <si>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</si>
  <si>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</si>
  <si>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</si>
  <si>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</si>
  <si>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</si>
  <si>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</si>
  <si>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</si>
  <si>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</si>
  <si>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</si>
  <si>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</si>
  <si>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</si>
  <si>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</si>
  <si>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</si>
  <si>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</si>
  <si>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</si>
  <si>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</si>
  <si>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</si>
  <si>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</si>
  <si>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</si>
  <si>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</si>
  <si>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</si>
  <si>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</si>
  <si>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</si>
  <si>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</si>
  <si>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</si>
  <si>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</si>
  <si>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</si>
  <si>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</si>
  <si>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</si>
  <si>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</si>
  <si>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</si>
  <si>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</si>
  <si>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</si>
  <si>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</si>
  <si>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</si>
  <si>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</si>
  <si>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</si>
  <si>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</si>
  <si>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</si>
  <si>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</si>
  <si>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</si>
  <si>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</si>
  <si>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</si>
  <si>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</si>
  <si>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</si>
  <si>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</si>
  <si>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</si>
  <si>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</si>
  <si>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</si>
  <si>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</si>
  <si>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</si>
  <si>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</si>
  <si>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</si>
  <si>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</si>
  <si>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</si>
  <si>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</si>
  <si>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</si>
  <si>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</si>
  <si>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</si>
  <si>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</si>
  <si>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</si>
  <si>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</si>
  <si>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</si>
  <si>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</si>
  <si>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</si>
  <si>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</si>
  <si>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</si>
  <si>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</si>
  <si>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</si>
  <si>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</si>
  <si>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</si>
  <si>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</si>
  <si>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</si>
  <si>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</si>
  <si>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</si>
  <si>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</si>
  <si>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</si>
  <si>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</si>
  <si>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</si>
  <si>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</si>
  <si>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</si>
  <si>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</si>
  <si>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</si>
  <si>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</si>
  <si>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</si>
  <si>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</si>
  <si>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</si>
  <si>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</si>
  <si>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</si>
  <si>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</si>
  <si>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</si>
  <si>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</si>
  <si>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</si>
  <si>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</si>
  <si>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</si>
  <si>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</si>
  <si>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</si>
  <si>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</si>
  <si>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</si>
  <si>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</si>
  <si>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</si>
  <si>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</si>
  <si>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</si>
  <si>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</si>
  <si>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</si>
  <si>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</si>
  <si>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</si>
  <si>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</si>
  <si>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</si>
  <si>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</si>
  <si>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</si>
  <si>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</si>
  <si>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</si>
  <si>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</si>
  <si>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</si>
  <si>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</si>
  <si>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</si>
  <si>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</si>
  <si>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</si>
  <si>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</si>
  <si>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</si>
  <si>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</si>
  <si>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</si>
  <si>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</si>
  <si>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</si>
  <si>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</si>
  <si>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</si>
  <si>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</si>
  <si>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</si>
  <si>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</si>
  <si>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</si>
  <si>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</si>
  <si>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</si>
  <si>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</si>
  <si>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</si>
  <si>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</si>
  <si>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</si>
  <si>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</si>
  <si>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</si>
  <si>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</si>
  <si>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</si>
  <si>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</si>
  <si>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</si>
  <si>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</si>
  <si>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</si>
  <si>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</si>
  <si>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</si>
  <si>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</si>
  <si>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</si>
  <si>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</si>
  <si>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</si>
  <si>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</si>
  <si>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</si>
  <si>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</si>
  <si>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</si>
  <si>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</si>
  <si>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</si>
  <si>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</si>
  <si>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</si>
  <si>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</si>
  <si>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</si>
  <si>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</si>
  <si>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</si>
  <si>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</si>
  <si>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</si>
  <si>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</si>
  <si>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</si>
  <si>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</si>
  <si>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</si>
  <si>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</si>
  <si>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</si>
  <si>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</si>
  <si>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</si>
  <si>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</si>
  <si>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</si>
  <si>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</si>
  <si>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</si>
  <si>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</si>
  <si>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</si>
  <si>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</si>
  <si>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</si>
  <si>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</si>
  <si>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</si>
  <si>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</si>
  <si>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</si>
  <si>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</si>
  <si>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</si>
  <si>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</si>
  <si>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</si>
  <si>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</si>
  <si>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</si>
  <si>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</si>
  <si>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</si>
  <si>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</si>
  <si>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</si>
  <si>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</si>
  <si>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</si>
  <si>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</si>
  <si>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</si>
  <si>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</si>
  <si>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</si>
  <si>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</si>
  <si>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</si>
  <si>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</si>
  <si>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</si>
  <si>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</si>
  <si>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</si>
  <si>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</si>
  <si>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</si>
  <si>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</si>
  <si>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</si>
  <si>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</si>
  <si>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</si>
  <si>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</si>
  <si>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</si>
  <si>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</si>
  <si>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</si>
  <si>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</si>
  <si>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</si>
  <si>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</si>
  <si>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</si>
  <si>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</si>
  <si>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</si>
  <si>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</si>
  <si>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</si>
  <si>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</si>
  <si>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</si>
  <si>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</si>
  <si>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</si>
  <si>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</si>
  <si>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</si>
  <si>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</si>
  <si>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</si>
  <si>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</si>
  <si>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</si>
  <si>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</si>
  <si>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</si>
  <si>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</si>
  <si>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</si>
  <si>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</si>
  <si>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</si>
  <si>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</si>
  <si>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</si>
  <si>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</si>
  <si>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</si>
  <si>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</si>
  <si>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</si>
  <si>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</si>
  <si>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</si>
  <si>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</si>
  <si>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</si>
  <si>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</si>
  <si>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</si>
  <si>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</si>
  <si>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</si>
  <si>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</si>
  <si>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</si>
  <si>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</si>
  <si>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</si>
  <si>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</si>
  <si>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</si>
  <si>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</si>
  <si>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</si>
  <si>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</si>
  <si>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</si>
  <si>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</si>
  <si>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</si>
  <si>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</si>
  <si>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</si>
  <si>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</si>
  <si>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</si>
  <si>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</si>
  <si>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</si>
  <si>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</si>
  <si>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</si>
  <si>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</si>
  <si>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</si>
  <si>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</si>
  <si>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</si>
  <si>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</si>
  <si>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</si>
  <si>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</si>
  <si>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</si>
  <si>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</si>
  <si>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</si>
  <si>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</si>
  <si>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</si>
  <si>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</si>
  <si>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</si>
  <si>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</si>
  <si>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</si>
  <si>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</si>
  <si>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</si>
  <si>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</si>
  <si>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</si>
  <si>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</si>
  <si>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</si>
  <si>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</si>
  <si>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</si>
  <si>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</si>
  <si>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</si>
  <si>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</si>
  <si>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</si>
  <si>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</si>
  <si>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</si>
  <si>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</si>
  <si>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</si>
  <si>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</si>
  <si>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</si>
  <si>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</si>
  <si>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</si>
  <si>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</si>
  <si>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</si>
  <si>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</si>
  <si>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</si>
  <si>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</si>
  <si>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</si>
  <si>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</si>
  <si>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</si>
  <si>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</si>
  <si>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</si>
  <si>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</si>
  <si>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</si>
  <si>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</si>
  <si>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</si>
  <si>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</si>
  <si>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</si>
  <si>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</si>
  <si>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</si>
  <si>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</si>
  <si>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</si>
  <si>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</si>
  <si>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</si>
  <si>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</si>
  <si>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</si>
  <si>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</si>
  <si>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</si>
  <si>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</si>
  <si>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</si>
  <si>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</si>
  <si>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</si>
  <si>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</si>
  <si>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</si>
  <si>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</si>
  <si>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</si>
  <si>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</si>
  <si>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</si>
  <si>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</si>
  <si>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</si>
  <si>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</si>
  <si>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</si>
  <si>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</si>
  <si>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</si>
  <si>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</si>
  <si>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</si>
  <si>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</si>
  <si>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</si>
  <si>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</si>
  <si>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</si>
  <si>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</si>
  <si>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</si>
  <si>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</si>
  <si>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</si>
  <si>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</si>
  <si>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</si>
  <si>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</si>
  <si>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</si>
  <si>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</si>
  <si>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</si>
  <si>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</si>
  <si>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</si>
  <si>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</si>
  <si>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</si>
  <si>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</si>
  <si>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</si>
  <si>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</si>
  <si>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</si>
  <si>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</si>
  <si>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</si>
  <si>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</si>
  <si>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</si>
  <si>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</si>
  <si>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</si>
  <si>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</si>
  <si>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</si>
  <si>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</si>
  <si>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</si>
  <si>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</si>
  <si>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</si>
  <si>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</si>
  <si>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</si>
  <si>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</si>
  <si>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</si>
  <si>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</si>
  <si>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</si>
  <si>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</si>
  <si>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</si>
  <si>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</si>
  <si>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</si>
  <si>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</si>
  <si>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</si>
  <si>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</si>
  <si>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</si>
  <si>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</si>
  <si>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</si>
  <si>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</si>
  <si>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</si>
  <si>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</si>
  <si>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</si>
  <si>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</si>
  <si>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</si>
  <si>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</si>
  <si>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</si>
  <si>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</si>
  <si>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</si>
  <si>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</si>
  <si>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</si>
  <si>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</si>
  <si>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</si>
  <si>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</si>
  <si>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</si>
  <si>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</si>
  <si>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</si>
  <si>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</si>
  <si>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</si>
  <si>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</si>
  <si>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</si>
  <si>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</si>
  <si>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</si>
  <si>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</si>
  <si>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</si>
  <si>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</si>
  <si>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</si>
  <si>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</si>
  <si>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</si>
  <si>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</si>
  <si>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</si>
  <si>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</si>
  <si>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</si>
  <si>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</si>
  <si>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</si>
  <si>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</si>
  <si>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</si>
  <si>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</si>
  <si>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</si>
  <si>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</si>
  <si>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</si>
  <si>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</si>
  <si>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</si>
  <si>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</si>
  <si>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</si>
  <si>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</si>
  <si>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</si>
  <si>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</si>
  <si>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</si>
  <si>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</si>
  <si>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</si>
  <si>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</si>
  <si>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</si>
  <si>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</si>
  <si>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</si>
  <si>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</si>
  <si>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</si>
  <si>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</si>
  <si>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</si>
  <si>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</si>
  <si>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</si>
  <si>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</si>
  <si>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</si>
  <si>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</si>
  <si>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</si>
  <si>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</si>
  <si>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</si>
  <si>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</si>
  <si>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</si>
  <si>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</si>
  <si>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</si>
  <si>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</si>
  <si>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</si>
  <si>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</si>
  <si>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</si>
  <si>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</si>
  <si>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</si>
  <si>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</si>
  <si>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</si>
  <si>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</si>
  <si>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</si>
  <si>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</si>
  <si>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</si>
  <si>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</si>
  <si>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</si>
  <si>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</si>
  <si>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</si>
  <si>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</si>
  <si>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</si>
  <si>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</si>
  <si>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</si>
  <si>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</si>
  <si>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</si>
  <si>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</si>
  <si>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</si>
  <si>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</si>
  <si>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</si>
  <si>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</si>
  <si>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</si>
  <si>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</si>
  <si>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</si>
  <si>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</si>
  <si>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</si>
  <si>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</si>
  <si>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</si>
  <si>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</si>
  <si>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</si>
  <si>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</si>
  <si>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</si>
  <si>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</si>
  <si>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</si>
  <si>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</si>
  <si>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</si>
  <si>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</si>
  <si>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</si>
  <si>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</si>
  <si>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</si>
  <si>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</si>
  <si>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</si>
  <si>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</si>
  <si>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</si>
  <si>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</si>
  <si>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</si>
  <si>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</si>
  <si>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</si>
  <si>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</si>
  <si>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</si>
  <si>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</si>
  <si>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</si>
  <si>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</si>
  <si>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</si>
  <si>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</si>
  <si>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</si>
  <si>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</si>
  <si>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</si>
  <si>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</si>
  <si>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</si>
  <si>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</si>
  <si>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</si>
  <si>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</si>
  <si>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</si>
  <si>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</si>
  <si>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</si>
  <si>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</si>
  <si>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</si>
  <si>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</si>
  <si>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</si>
  <si>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</si>
  <si>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</si>
  <si>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</si>
  <si>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</si>
  <si>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</si>
  <si>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</si>
  <si>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</si>
  <si>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</si>
  <si>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</si>
  <si>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</si>
  <si>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</si>
  <si>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</si>
  <si>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</si>
  <si>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</si>
  <si>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</si>
  <si>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</si>
  <si>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</si>
  <si>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</si>
  <si>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</si>
  <si>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</si>
  <si>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</si>
  <si>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</si>
  <si>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</si>
  <si>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</si>
  <si>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</si>
  <si>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</si>
  <si>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</si>
  <si>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</si>
  <si>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</si>
  <si>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</si>
  <si>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</si>
  <si>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</si>
  <si>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</si>
  <si>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</si>
  <si>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</si>
  <si>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</si>
  <si>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</si>
  <si>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</si>
  <si>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</si>
  <si>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</si>
  <si>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</si>
  <si>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</si>
  <si>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</si>
  <si>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</si>
  <si>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</si>
  <si>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</si>
  <si>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</si>
  <si>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</si>
  <si>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</si>
  <si>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</si>
  <si>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</si>
  <si>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</si>
  <si>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</si>
  <si>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</si>
  <si>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</si>
  <si>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</si>
  <si>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</si>
  <si>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</si>
  <si>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</si>
  <si>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</si>
  <si>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</si>
  <si>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</si>
  <si>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</si>
  <si>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</si>
  <si>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</si>
  <si>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</si>
  <si>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</si>
  <si>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</si>
  <si>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</si>
  <si>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</si>
  <si>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</si>
  <si>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</si>
  <si>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</si>
  <si>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</si>
  <si>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</si>
  <si>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</si>
  <si>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</si>
  <si>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</si>
  <si>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</si>
  <si>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</si>
  <si>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</si>
  <si>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</si>
  <si>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</si>
  <si>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</si>
  <si>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</si>
  <si>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</si>
  <si>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</si>
  <si>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</si>
  <si>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</si>
  <si>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</si>
  <si>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</si>
  <si>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</si>
  <si>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</si>
  <si>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</si>
  <si>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</si>
  <si>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</si>
  <si>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</si>
  <si>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</si>
  <si>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</si>
  <si>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</si>
  <si>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</si>
  <si>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</si>
  <si>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</si>
  <si>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</si>
  <si>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</si>
  <si>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</si>
  <si>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</si>
  <si>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</si>
  <si>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</si>
  <si>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</si>
  <si>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</si>
  <si>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</si>
  <si>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</si>
  <si>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</si>
  <si>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</si>
  <si>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</si>
  <si>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</si>
  <si>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</si>
  <si>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</si>
  <si>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</si>
  <si>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</si>
  <si>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</si>
  <si>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</si>
  <si>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</si>
  <si>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</si>
  <si>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</si>
  <si>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</si>
  <si>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</si>
  <si>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</si>
  <si>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</si>
  <si>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</si>
  <si>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</si>
  <si>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</si>
  <si>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</si>
  <si>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</si>
  <si>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</si>
  <si>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</si>
  <si>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</si>
  <si>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</si>
  <si>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</si>
  <si>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</si>
  <si>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</si>
  <si>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</si>
  <si>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</si>
  <si>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</si>
  <si>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</si>
  <si>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</si>
  <si>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</si>
  <si>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</si>
  <si>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</si>
  <si>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</si>
  <si>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</si>
  <si>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</si>
  <si>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</si>
  <si>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</si>
  <si>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</si>
  <si>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</si>
  <si>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</si>
  <si>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</si>
  <si>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</si>
  <si>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</si>
  <si>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</si>
  <si>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</si>
  <si>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</si>
  <si>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</si>
  <si>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</si>
  <si>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</si>
  <si>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</si>
  <si>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</si>
  <si>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</si>
  <si>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</si>
  <si>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</si>
  <si>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</si>
  <si>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</si>
  <si>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</si>
  <si>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</si>
  <si>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</si>
  <si>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</si>
  <si>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</si>
  <si>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</si>
  <si>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</si>
  <si>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</si>
  <si>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</si>
  <si>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</si>
  <si>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</si>
  <si>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</si>
  <si>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</si>
  <si>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</si>
  <si>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</si>
  <si>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</si>
  <si>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</si>
  <si>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</si>
  <si>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</si>
  <si>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</si>
  <si>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</si>
  <si>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</si>
  <si>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</si>
  <si>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</si>
  <si>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</si>
  <si>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</si>
  <si>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</si>
  <si>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</si>
  <si>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</si>
  <si>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</si>
  <si>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</si>
  <si>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</si>
  <si>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</si>
  <si>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</si>
  <si>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</si>
  <si>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</si>
  <si>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</si>
  <si>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</si>
  <si>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</si>
  <si>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</si>
  <si>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</si>
  <si>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</si>
  <si>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</si>
  <si>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</si>
  <si>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</si>
  <si>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</si>
  <si>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</si>
  <si>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</si>
  <si>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</si>
  <si>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</si>
  <si>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</si>
  <si>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</si>
  <si>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</si>
  <si>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</si>
  <si>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</si>
  <si>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</si>
  <si>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</si>
  <si>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</si>
  <si>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</si>
  <si>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</si>
  <si>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</si>
  <si>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</si>
  <si>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</si>
  <si>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</si>
  <si>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</si>
  <si>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</si>
  <si>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</si>
  <si>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</si>
  <si>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</si>
  <si>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</si>
  <si>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</si>
  <si>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</si>
  <si>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</si>
  <si>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</si>
  <si>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</si>
  <si>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</si>
  <si>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</si>
  <si>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</si>
  <si>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</si>
  <si>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</si>
  <si>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</si>
  <si>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</si>
  <si>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</si>
  <si>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</si>
  <si>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</si>
  <si>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</si>
  <si>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</si>
  <si>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</si>
  <si>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</si>
  <si>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</si>
  <si>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</si>
  <si>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</si>
  <si>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</si>
  <si>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</si>
  <si>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</si>
  <si>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</si>
  <si>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</si>
  <si>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</si>
  <si>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</si>
  <si>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</si>
  <si>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</si>
  <si>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</si>
  <si>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</si>
  <si>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</si>
  <si>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</si>
  <si>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</si>
  <si>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</si>
  <si>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</si>
  <si>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</si>
  <si>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</si>
  <si>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</si>
  <si>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</si>
  <si>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</si>
  <si>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</si>
  <si>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</si>
  <si>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</si>
  <si>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</si>
  <si>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</si>
  <si>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</si>
  <si>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</si>
  <si>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</si>
  <si>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</si>
  <si>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</si>
  <si>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</si>
  <si>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</si>
  <si>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</si>
  <si>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</si>
  <si>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</si>
  <si>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</si>
  <si>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</si>
  <si>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</si>
  <si>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</si>
  <si>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</si>
  <si>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</si>
  <si>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</si>
  <si>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</si>
  <si>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</si>
  <si>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</si>
  <si>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</si>
  <si>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</si>
  <si>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</si>
  <si>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</si>
  <si>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</si>
  <si>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</si>
  <si>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</si>
  <si>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</si>
  <si>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</si>
  <si>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</si>
  <si>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</si>
  <si>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</si>
  <si>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</si>
  <si>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</si>
  <si>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</si>
  <si>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</si>
  <si>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</si>
  <si>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</si>
  <si>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</si>
  <si>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</si>
  <si>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</si>
  <si>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</si>
  <si>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</si>
  <si>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</si>
  <si>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</si>
  <si>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</si>
  <si>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</si>
  <si>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</si>
  <si>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</si>
  <si>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</si>
  <si>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</si>
  <si>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</si>
  <si>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</si>
  <si>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</si>
  <si>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</si>
  <si>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</si>
  <si>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</si>
  <si>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</si>
  <si>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</si>
  <si>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</si>
  <si>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</si>
  <si>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</si>
  <si>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</si>
  <si>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</si>
  <si>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</si>
  <si>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</si>
  <si>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</si>
  <si>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</si>
  <si>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</si>
  <si>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</si>
  <si>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</si>
  <si>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</si>
  <si>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</si>
  <si>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</si>
  <si>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</si>
  <si>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</si>
  <si>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</si>
  <si>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</si>
  <si>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</si>
  <si>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</si>
  <si>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</si>
  <si>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</si>
  <si>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</si>
  <si>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</si>
  <si>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</si>
  <si>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</si>
  <si>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</si>
  <si>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</si>
  <si>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</si>
  <si>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</si>
  <si>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</si>
  <si>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</si>
  <si>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</si>
  <si>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</si>
  <si>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</si>
  <si>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</si>
  <si>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</si>
  <si>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</si>
  <si>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</si>
  <si>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</si>
  <si>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</si>
  <si>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</si>
  <si>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</si>
  <si>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</si>
  <si>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</si>
  <si>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</si>
  <si>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</si>
  <si>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</si>
  <si>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</si>
  <si>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</si>
  <si>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</si>
  <si>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</si>
  <si>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</si>
  <si>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</si>
  <si>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</si>
  <si>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</si>
  <si>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</si>
  <si>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</si>
  <si>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</si>
  <si>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</si>
  <si>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</si>
  <si>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</si>
  <si>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</si>
  <si>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</si>
  <si>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</si>
  <si>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</si>
  <si>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</si>
  <si>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</si>
  <si>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</si>
  <si>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</si>
  <si>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</si>
  <si>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</si>
  <si>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</si>
  <si>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</si>
  <si>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</si>
  <si>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</si>
  <si>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</si>
  <si>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</si>
  <si>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</si>
  <si>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</si>
  <si>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</si>
  <si>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</si>
  <si>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</si>
  <si>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</si>
  <si>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</si>
  <si>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</si>
  <si>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</si>
  <si>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</si>
  <si>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</si>
  <si>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</si>
  <si>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</si>
  <si>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</si>
  <si>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</si>
  <si>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</si>
  <si>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</si>
  <si>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</si>
  <si>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</si>
  <si>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</si>
  <si>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</si>
  <si>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</si>
  <si>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</si>
  <si>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</si>
  <si>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</si>
  <si>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</si>
  <si>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</si>
  <si>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</si>
  <si>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</si>
  <si>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</si>
  <si>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</si>
  <si>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</si>
  <si>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</si>
  <si>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</si>
  <si>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</si>
  <si>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</si>
  <si>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</si>
  <si>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</si>
  <si>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</si>
  <si>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</si>
  <si>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</si>
  <si>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</si>
  <si>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</si>
  <si>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</si>
  <si>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</si>
  <si>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</si>
  <si>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</si>
  <si>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</si>
  <si>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</si>
  <si>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</si>
  <si>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</si>
  <si>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</si>
  <si>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</si>
  <si>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</si>
  <si>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</si>
  <si>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</si>
  <si>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</si>
  <si>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</si>
  <si>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</si>
  <si>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</si>
  <si>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</si>
  <si>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</si>
  <si>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</si>
  <si>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</si>
  <si>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</si>
  <si>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</si>
  <si>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</si>
  <si>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</si>
  <si>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</si>
  <si>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</si>
  <si>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</si>
  <si>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</si>
  <si>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</si>
  <si>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</si>
  <si>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</si>
  <si>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</si>
  <si>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</si>
  <si>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</si>
  <si>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</si>
  <si>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</si>
  <si>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</si>
  <si>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</si>
  <si>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</si>
  <si>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</si>
  <si>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</si>
  <si>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</si>
  <si>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</si>
  <si>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</si>
  <si>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</si>
  <si>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</si>
  <si>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</si>
  <si>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</si>
  <si>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</si>
  <si>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</si>
  <si>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</si>
  <si>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</si>
  <si>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</si>
  <si>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</si>
  <si>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</si>
  <si>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</si>
  <si>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</si>
  <si>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</si>
  <si>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</si>
  <si>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</si>
  <si>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</si>
  <si>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</si>
  <si>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</si>
  <si>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</si>
  <si>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</si>
  <si>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</si>
  <si>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</si>
  <si>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</si>
  <si>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</si>
  <si>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</si>
  <si>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</si>
  <si>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</si>
  <si>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</si>
  <si>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</si>
  <si>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</si>
  <si>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</si>
  <si>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</si>
  <si>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</si>
  <si>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</si>
  <si>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</si>
  <si>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</si>
  <si>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</si>
  <si>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</si>
  <si>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</si>
  <si>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</si>
  <si>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</si>
  <si>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</si>
  <si>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</si>
  <si>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</si>
  <si>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</si>
  <si>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</si>
  <si>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</si>
  <si>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</si>
  <si>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</si>
  <si>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</si>
  <si>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</si>
  <si>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</si>
  <si>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</si>
  <si>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</si>
  <si>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</si>
  <si>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</si>
  <si>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</si>
  <si>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</si>
  <si>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</si>
  <si>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</si>
  <si>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</si>
  <si>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</si>
  <si>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</si>
  <si>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</si>
  <si>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</si>
  <si>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</si>
  <si>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郑燚</t>
  </si>
  <si>
    <t>吴薇</t>
  </si>
  <si>
    <t>抵押</t>
  </si>
  <si>
    <t>房地产抵押价值</t>
  </si>
  <si>
    <t>北京市</t>
  </si>
  <si>
    <t>企业</t>
  </si>
  <si>
    <t>出让</t>
  </si>
  <si>
    <t>办公</t>
    <phoneticPr fontId="3" type="noConversion"/>
  </si>
  <si>
    <t>车库</t>
  </si>
  <si>
    <t>车库</t>
    <phoneticPr fontId="3" type="noConversion"/>
  </si>
  <si>
    <t>是</t>
  </si>
  <si>
    <t>地上</t>
  </si>
  <si>
    <t>地下</t>
  </si>
  <si>
    <t>办公</t>
    <phoneticPr fontId="7" type="noConversion"/>
  </si>
  <si>
    <t>车库</t>
    <phoneticPr fontId="7" type="noConversion"/>
  </si>
  <si>
    <t>成新度</t>
  </si>
  <si>
    <t>售价</t>
  </si>
  <si>
    <t>30-40（含）</t>
  </si>
  <si>
    <t>办公</t>
    <phoneticPr fontId="32" type="noConversion"/>
  </si>
  <si>
    <t>正常</t>
  </si>
  <si>
    <t>按租金收入计税</t>
  </si>
  <si>
    <t>钢混</t>
  </si>
  <si>
    <t>非生产用房</t>
  </si>
  <si>
    <t>否</t>
  </si>
  <si>
    <t>收益法-办公</t>
  </si>
  <si>
    <t>收益法-车库</t>
  </si>
  <si>
    <t>收益法-车库</t>
    <phoneticPr fontId="16" type="noConversion"/>
  </si>
  <si>
    <t>自定义</t>
  </si>
  <si>
    <t>较好</t>
  </si>
  <si>
    <t>七通</t>
  </si>
  <si>
    <t>低区</t>
  </si>
  <si>
    <t>低区</t>
    <phoneticPr fontId="32" type="noConversion"/>
  </si>
  <si>
    <t>中区</t>
  </si>
  <si>
    <t>中区</t>
    <phoneticPr fontId="32" type="noConversion"/>
  </si>
  <si>
    <t>高区</t>
  </si>
  <si>
    <t>高区</t>
    <phoneticPr fontId="32" type="noConversion"/>
  </si>
  <si>
    <t>标准写字楼</t>
  </si>
  <si>
    <t>标准写字楼</t>
    <phoneticPr fontId="32" type="noConversion"/>
  </si>
  <si>
    <t>钢混</t>
    <phoneticPr fontId="32" type="noConversion"/>
  </si>
  <si>
    <t>精装修</t>
    <phoneticPr fontId="32" type="noConversion"/>
  </si>
  <si>
    <t>甲级</t>
    <phoneticPr fontId="32" type="noConversion"/>
  </si>
  <si>
    <t>专业</t>
    <phoneticPr fontId="32" type="noConversion"/>
  </si>
  <si>
    <t>七通</t>
    <phoneticPr fontId="32" type="noConversion"/>
  </si>
  <si>
    <t>标准层高</t>
    <phoneticPr fontId="32" type="noConversion"/>
  </si>
  <si>
    <t>较好</t>
    <phoneticPr fontId="32" type="noConversion"/>
  </si>
  <si>
    <t>辉煌时代大厦</t>
    <phoneticPr fontId="3" type="noConversion"/>
  </si>
  <si>
    <t>新中关大厦</t>
    <phoneticPr fontId="3" type="noConversion"/>
  </si>
  <si>
    <t>比较法-办公</t>
  </si>
  <si>
    <t>现房</t>
  </si>
  <si>
    <t>项目局部</t>
  </si>
  <si>
    <t>总价</t>
  </si>
  <si>
    <t>收益比率</t>
  </si>
  <si>
    <t>商务金融用地（办公类）</t>
  </si>
  <si>
    <t>不临58条商业街</t>
  </si>
  <si>
    <t>自定义容积率</t>
  </si>
  <si>
    <t>与级别开发程度一致</t>
  </si>
  <si>
    <t>按公示增长率计算</t>
  </si>
  <si>
    <t>未包含在土地购买价格中</t>
  </si>
  <si>
    <t>已包含在土地取得成本中</t>
  </si>
  <si>
    <t>容积率修正</t>
  </si>
  <si>
    <t>情况4</t>
  </si>
  <si>
    <t>转让取得</t>
  </si>
  <si>
    <t>非个人房产</t>
  </si>
  <si>
    <t>购房发票</t>
  </si>
  <si>
    <t>2016年5月1日前购买</t>
  </si>
  <si>
    <t>普通车位</t>
  </si>
  <si>
    <t>普通车位</t>
    <phoneticPr fontId="32" type="noConversion"/>
  </si>
  <si>
    <t>普通装修</t>
  </si>
  <si>
    <t>普通装修</t>
    <phoneticPr fontId="32" type="noConversion"/>
  </si>
  <si>
    <t>专业</t>
  </si>
  <si>
    <t>专业</t>
    <phoneticPr fontId="32" type="noConversion"/>
  </si>
  <si>
    <t>40-50（含）</t>
  </si>
  <si>
    <t>车位</t>
  </si>
  <si>
    <t>车位</t>
    <phoneticPr fontId="32" type="noConversion"/>
  </si>
  <si>
    <t>琨御府</t>
    <phoneticPr fontId="3" type="noConversion"/>
  </si>
  <si>
    <t>住宅</t>
  </si>
  <si>
    <t>住宅</t>
    <phoneticPr fontId="32" type="noConversion"/>
  </si>
  <si>
    <t>恒盛·欧洲公馆</t>
    <phoneticPr fontId="3" type="noConversion"/>
  </si>
  <si>
    <t>比较法-车位</t>
  </si>
  <si>
    <t>北京国际大厦</t>
    <phoneticPr fontId="3" type="noConversion"/>
  </si>
  <si>
    <t>押一</t>
  </si>
  <si>
    <t>·</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</si>
</sst>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177" fontId="55" fillId="8" borderId="1" xfId="1" applyNumberFormat="1" applyFont="1" applyFill="1" applyBorder="1" applyAlignment="1" applyProtection="1">
      <alignment horizontal="center"/>
      <protection locked="0"/>
    </xf>
    <xf numFmtId="1" fontId="167" fillId="13" borderId="0" xfId="12" applyNumberFormat="1" applyFill="1" applyBorder="1" applyAlignment="1" applyProtection="1">
      <alignment horizontal="left"/>
      <protection locked="0"/>
    </xf>
    <xf numFmtId="10" fontId="46" fillId="0" borderId="37" xfId="0" applyNumberFormat="1" applyFont="1" applyFill="1" applyBorder="1" applyAlignment="1" applyProtection="1">
      <alignment horizontal="center" vertical="center" wrapText="1"/>
      <protection locked="0"/>
    </xf>
    <xf numFmtId="0" fontId="134" fillId="2" borderId="37" xfId="0" applyNumberFormat="1" applyFont="1" applyFill="1" applyBorder="1" applyAlignment="1" applyProtection="1">
      <alignment horizontal="center" vertical="center" wrapText="1"/>
      <protection locked="0"/>
    </xf>
    <xf numFmtId="1" fontId="54" fillId="6" borderId="1" xfId="0" applyNumberFormat="1"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16</xdr:row>
      <xdr:rowOff>37753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85715" cy="2780953"/>
        </a:xfrm>
        <a:prstGeom prst="rect">
          <a:avLst/>
        </a:prstGeom>
      </xdr:spPr>
    </xdr:pic>
    <xdr:clientData/>
  </xdr:twoCellAnchor>
  <xdr:twoCellAnchor editAs="oneCell">
    <xdr:from>
      <xdr:col>0</xdr:col>
      <xdr:colOff>0</xdr:colOff>
      <xdr:row>16</xdr:row>
      <xdr:rowOff>66675</xdr:rowOff>
    </xdr:from>
    <xdr:to>
      <xdr:col>9</xdr:col>
      <xdr:colOff>465896</xdr:colOff>
      <xdr:row>29</xdr:row>
      <xdr:rowOff>171158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09875"/>
          <a:ext cx="6638096" cy="2333333"/>
        </a:xfrm>
        <a:prstGeom prst="rect">
          <a:avLst/>
        </a:prstGeom>
      </xdr:spPr>
    </xdr:pic>
    <xdr:clientData/>
  </xdr:twoCellAnchor>
  <xdr:twoCellAnchor editAs="oneCell">
    <xdr:from>
      <xdr:col>0</xdr:col>
      <xdr:colOff>0</xdr:colOff>
      <xdr:row>30</xdr:row>
      <xdr:rowOff>0</xdr:rowOff>
    </xdr:from>
    <xdr:to>
      <xdr:col>12</xdr:col>
      <xdr:colOff>37067</xdr:colOff>
      <xdr:row>42</xdr:row>
      <xdr:rowOff>28314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8266667" cy="2085714"/>
        </a:xfrm>
        <a:prstGeom prst="rect">
          <a:avLst/>
        </a:prstGeom>
      </xdr:spPr>
    </xdr:pic>
    <xdr:clientData/>
  </xdr:twoCellAnchor>
  <xdr:twoCellAnchor editAs="oneCell">
    <xdr:from>
      <xdr:col>0</xdr:col>
      <xdr:colOff>0</xdr:colOff>
      <xdr:row>42</xdr:row>
      <xdr:rowOff>28575</xdr:rowOff>
    </xdr:from>
    <xdr:to>
      <xdr:col>9</xdr:col>
      <xdr:colOff>399229</xdr:colOff>
      <xdr:row>56</xdr:row>
      <xdr:rowOff>104466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29475"/>
          <a:ext cx="6571429" cy="2476191"/>
        </a:xfrm>
        <a:prstGeom prst="rect">
          <a:avLst/>
        </a:prstGeom>
      </xdr:spPr>
    </xdr:pic>
    <xdr:clientData/>
  </xdr:twoCellAnchor>
  <xdr:twoCellAnchor editAs="oneCell">
    <xdr:from>
      <xdr:col>0</xdr:col>
      <xdr:colOff>0</xdr:colOff>
      <xdr:row>57</xdr:row>
      <xdr:rowOff>0</xdr:rowOff>
    </xdr:from>
    <xdr:to>
      <xdr:col>12</xdr:col>
      <xdr:colOff>37067</xdr:colOff>
      <xdr:row>70</xdr:row>
      <xdr:rowOff>37817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772650"/>
          <a:ext cx="8266667" cy="2266667"/>
        </a:xfrm>
        <a:prstGeom prst="rect">
          <a:avLst/>
        </a:prstGeom>
      </xdr:spPr>
    </xdr:pic>
    <xdr:clientData/>
  </xdr:twoCellAnchor>
  <xdr:twoCellAnchor editAs="oneCell">
    <xdr:from>
      <xdr:col>0</xdr:col>
      <xdr:colOff>0</xdr:colOff>
      <xdr:row>71</xdr:row>
      <xdr:rowOff>0</xdr:rowOff>
    </xdr:from>
    <xdr:to>
      <xdr:col>9</xdr:col>
      <xdr:colOff>456372</xdr:colOff>
      <xdr:row>87</xdr:row>
      <xdr:rowOff>113943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172950"/>
          <a:ext cx="6628572" cy="2857143"/>
        </a:xfrm>
        <a:prstGeom prst="rect">
          <a:avLst/>
        </a:prstGeom>
      </xdr:spPr>
    </xdr:pic>
    <xdr:clientData/>
  </xdr:twoCellAnchor>
  <xdr:twoCellAnchor editAs="oneCell">
    <xdr:from>
      <xdr:col>0</xdr:col>
      <xdr:colOff>0</xdr:colOff>
      <xdr:row>88</xdr:row>
      <xdr:rowOff>0</xdr:rowOff>
    </xdr:from>
    <xdr:to>
      <xdr:col>14</xdr:col>
      <xdr:colOff>103563</xdr:colOff>
      <xdr:row>89</xdr:row>
      <xdr:rowOff>161883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087600"/>
          <a:ext cx="9704763" cy="333333"/>
        </a:xfrm>
        <a:prstGeom prst="rect">
          <a:avLst/>
        </a:prstGeom>
      </xdr:spPr>
    </xdr:pic>
    <xdr:clientData/>
  </xdr:twoCellAnchor>
  <xdr:twoCellAnchor editAs="oneCell">
    <xdr:from>
      <xdr:col>0</xdr:col>
      <xdr:colOff>0</xdr:colOff>
      <xdr:row>91</xdr:row>
      <xdr:rowOff>0</xdr:rowOff>
    </xdr:from>
    <xdr:to>
      <xdr:col>14</xdr:col>
      <xdr:colOff>27372</xdr:colOff>
      <xdr:row>97</xdr:row>
      <xdr:rowOff>47491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5601950"/>
          <a:ext cx="9628572" cy="1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估价对象为北京市房地产，为所有。根据《国有土地使用证》[]，估价对象（分摊）出让国有建设用地使用权面积为0平方米，建筑面积为1724.67平方米。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估价对象为北京市房地产,属开发建设的，该项目尚在开发建设中。根据《国有土地使用证》[]，估价对象（分摊）出让国有建设用地使用权面积为0平方米，规划建筑面积为1724.67平方米。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2021年2月3日（评估专业人员实地查勘之日）</v>
      </c>
    </row>
    <row r="13" spans="1:2" s="1365" customFormat="1">
      <c r="A13" s="1363" t="s">
        <v>1194</v>
      </c>
      <c r="B13" s="1364" t="str">
        <f>'预评函-1'!A18</f>
        <v>本次估价的“房地产价值”是指在正常市场情况下，在价值时点2021年2月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5784</v>
      </c>
    </row>
    <row r="21" spans="1:2" s="1365" customFormat="1">
      <c r="A21" s="1363" t="s">
        <v>1202</v>
      </c>
      <c r="B21" s="1364">
        <f ca="1">'预评函-2'!D7</f>
        <v>45455</v>
      </c>
    </row>
    <row r="22" spans="1:2" s="1365" customFormat="1">
      <c r="A22" s="1363" t="s">
        <v>1203</v>
      </c>
      <c r="B22" s="1364" t="str">
        <f ca="1">'预评函-2'!D6</f>
        <v>伍仟柒佰捌拾肆万元整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5784</v>
      </c>
    </row>
    <row r="31" spans="1:2" s="1365" customFormat="1">
      <c r="A31" s="1363" t="s">
        <v>1241</v>
      </c>
      <c r="B31" s="1364">
        <f ca="1">'预评函-2'!D15</f>
        <v>33537</v>
      </c>
    </row>
    <row r="32" spans="1:2" s="1365" customFormat="1">
      <c r="A32" s="1363" t="s">
        <v>1208</v>
      </c>
      <c r="B32" s="1364" t="str">
        <f ca="1">'预评函-2'!D14</f>
        <v>伍仟柒佰捌拾肆万元整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4879</v>
      </c>
    </row>
    <row r="39" spans="1:2" s="1365" customFormat="1">
      <c r="A39" s="1363" t="s">
        <v>1210</v>
      </c>
      <c r="B39" s="1364">
        <f ca="1">'预评函-2'!D21</f>
        <v>28289</v>
      </c>
    </row>
    <row r="40" spans="1:2" s="1365" customFormat="1">
      <c r="A40" s="1363" t="s">
        <v>1211</v>
      </c>
      <c r="B40" s="1364" t="str">
        <f ca="1">'预评函-2'!D20</f>
        <v>肆仟捌佰柒拾玖万元整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1724.67</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4807</v>
      </c>
    </row>
    <row r="48" spans="1:2" s="1365" customFormat="1">
      <c r="A48" s="1363" t="s">
        <v>1214</v>
      </c>
      <c r="B48" s="1364">
        <f ca="1">'预评函-3'!E4</f>
        <v>37777</v>
      </c>
    </row>
    <row r="49" spans="1:2" s="1365" customFormat="1">
      <c r="A49" s="1363" t="s">
        <v>1215</v>
      </c>
      <c r="B49" s="1364" t="str">
        <f ca="1">'预评函-3'!D5</f>
        <v>肆仟捌佰零柒万元整</v>
      </c>
    </row>
    <row r="50" spans="1:2" s="1365" customFormat="1">
      <c r="A50" s="1363" t="s">
        <v>1239</v>
      </c>
      <c r="B50" s="1364" t="str">
        <f>'预评函-3'!F2</f>
        <v>在建建筑物价值</v>
      </c>
    </row>
    <row r="51" spans="1:2" s="1365" customFormat="1">
      <c r="A51" s="1363" t="s">
        <v>1216</v>
      </c>
      <c r="B51" s="1364">
        <f ca="1">'预评函-3'!F4</f>
        <v>977</v>
      </c>
    </row>
    <row r="52" spans="1:2" s="1365" customFormat="1">
      <c r="A52" s="1363" t="s">
        <v>1217</v>
      </c>
      <c r="B52" s="1364">
        <f ca="1">'预评函-3'!G4</f>
        <v>7678</v>
      </c>
    </row>
    <row r="53" spans="1:2" s="1365" customFormat="1">
      <c r="A53" s="1363" t="s">
        <v>1245</v>
      </c>
      <c r="B53" s="1364" t="str">
        <f ca="1">'预评函-3'!F5</f>
        <v>玖佰柒拾柒万元整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3030</v>
      </c>
      <c r="C17" s="1734"/>
    </row>
    <row r="18" spans="1:3">
      <c r="A18" s="1733" t="s">
        <v>1732</v>
      </c>
      <c r="B18" s="1733" t="s">
        <v>3077</v>
      </c>
      <c r="C18" s="1734"/>
    </row>
    <row r="19" spans="1:3">
      <c r="A19" s="1733" t="s">
        <v>1733</v>
      </c>
      <c r="B19" s="1733" t="s">
        <v>3079</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7"/>
      <c r="B54" s="1741" t="s">
        <v>832</v>
      </c>
      <c r="C54" s="1738" t="s">
        <v>1248</v>
      </c>
    </row>
    <row r="55" spans="1:4">
      <c r="A55" s="3117"/>
      <c r="B55" s="1741" t="s">
        <v>833</v>
      </c>
      <c r="C55" s="1738" t="s">
        <v>1249</v>
      </c>
    </row>
    <row r="56" spans="1:4">
      <c r="A56" s="3117"/>
      <c r="B56" s="1741" t="s">
        <v>834</v>
      </c>
      <c r="C56" s="1738" t="s">
        <v>1253</v>
      </c>
    </row>
    <row r="57" spans="1:4">
      <c r="A57" s="3117"/>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7" sqref="F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26" t="str">
        <f>IF(B10="北京市","北京市",C10)&amp;F10&amp;IF('结果表-办公'!G1="在建","出让国有建设用地使用权及在建建筑物",IF('结果表-办公'!G1="土地","出让国有建设用地使用权",))&amp;B9&amp;"预评估"</f>
        <v>北京市房地产抵押价值预评估</v>
      </c>
      <c r="C1" s="3127"/>
      <c r="D1" s="3127"/>
      <c r="E1" s="3127"/>
      <c r="F1" s="3127"/>
      <c r="G1" s="3127"/>
      <c r="H1" s="3127"/>
      <c r="I1" s="3128"/>
      <c r="J1" s="2699"/>
      <c r="K1" s="2594"/>
      <c r="L1" s="2595"/>
      <c r="M1" s="2595"/>
      <c r="N1" s="2596"/>
      <c r="O1" s="1763"/>
      <c r="P1" s="2596"/>
      <c r="Q1" s="2596"/>
      <c r="R1" s="2596"/>
      <c r="S1" s="1870" t="str">
        <f>IF(B10="北京市","北京市",C10)&amp;F10&amp;IF('结果表-办公'!G1="在建","出让国有建设用地使用权及在建建筑物房地产抵押价值",IF('结果表-办公'!G1="土地","出让国有建设用地使用权抵押价值",B9))</f>
        <v>北京市房地产抵押价值</v>
      </c>
      <c r="T1" s="1933"/>
      <c r="U1" s="1933"/>
      <c r="V1" s="1933"/>
      <c r="W1" s="1933"/>
      <c r="X1" s="1933"/>
      <c r="Y1" s="1933"/>
      <c r="Z1" s="1933"/>
      <c r="AA1" s="1933"/>
      <c r="AB1" s="1933"/>
    </row>
    <row r="2" spans="1:28">
      <c r="A2" s="2593" t="s">
        <v>2915</v>
      </c>
      <c r="B2" s="2597"/>
      <c r="C2" s="2598"/>
      <c r="D2" s="2901"/>
      <c r="E2" s="2891"/>
      <c r="F2" s="2891"/>
      <c r="G2" s="2892"/>
      <c r="H2" s="2892"/>
      <c r="I2" s="2892"/>
      <c r="J2" s="2699"/>
      <c r="K2" s="2594"/>
      <c r="L2" s="2595"/>
      <c r="M2" s="2595"/>
      <c r="N2" s="2596"/>
      <c r="O2" s="1763"/>
      <c r="P2" s="2596"/>
      <c r="Q2" s="2596"/>
      <c r="R2" s="2596"/>
      <c r="S2" s="1870" t="str">
        <f>IF(B10="北京市","北京市",C10)&amp;F10&amp;IF('结果表-办公'!G1="在建","出让国有建设用地使用权及在建建筑物房地产",IF('结果表-办公'!G1="土地","出让国有建设用地使用权","房地产"))</f>
        <v>北京市房地产</v>
      </c>
      <c r="T2" s="1933"/>
      <c r="U2" s="1933"/>
      <c r="V2" s="1933"/>
      <c r="W2" s="1933"/>
      <c r="X2" s="1933"/>
      <c r="Y2" s="1933"/>
      <c r="Z2" s="1933"/>
      <c r="AA2" s="1933"/>
      <c r="AB2" s="1933"/>
    </row>
    <row r="3" spans="1:28">
      <c r="A3" s="308" t="s">
        <v>2916</v>
      </c>
      <c r="B3" s="2599">
        <v>44230</v>
      </c>
      <c r="C3" s="2600" t="s">
        <v>2917</v>
      </c>
      <c r="D3" s="2599">
        <v>44230</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t="s">
        <v>3054</v>
      </c>
      <c r="C4" s="2602">
        <f ca="1">SUMIF(注册房地产估价师,B4,估价师及机构信息!B3:B24)</f>
        <v>1419970001</v>
      </c>
      <c r="D4" s="2601" t="s">
        <v>3053</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7"/>
      <c r="K4" s="2604" t="str">
        <f ca="1">CONCATENATE(B4,"（注册号：",C4,")、",D4,"（注册号：",E4,")")</f>
        <v>吴薇（注册号：1419970001)、郑燚（注册号：1120070131)</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3055</v>
      </c>
      <c r="C8" s="2616"/>
      <c r="D8" s="3129" t="s">
        <v>2923</v>
      </c>
      <c r="E8" s="2617" t="s">
        <v>3056</v>
      </c>
      <c r="F8" s="2618"/>
      <c r="G8" s="2892"/>
      <c r="H8" s="2892"/>
      <c r="I8" s="2892"/>
      <c r="J8" s="2667"/>
      <c r="K8" s="2842"/>
      <c r="L8" s="2841"/>
      <c r="M8" s="2841"/>
      <c r="N8" s="2667"/>
      <c r="O8" s="2678"/>
      <c r="P8" s="2667"/>
      <c r="Q8" s="2667"/>
      <c r="R8" s="2667"/>
    </row>
    <row r="9" spans="1:28" ht="13.5" thickBot="1">
      <c r="A9" s="2619" t="s">
        <v>2924</v>
      </c>
      <c r="B9" s="2620" t="s">
        <v>3056</v>
      </c>
      <c r="C9" s="2621"/>
      <c r="D9" s="3130"/>
      <c r="E9" s="2620" t="s">
        <v>1252</v>
      </c>
      <c r="F9" s="2622"/>
      <c r="G9" s="2894"/>
      <c r="H9" s="2894"/>
      <c r="I9" s="2894"/>
      <c r="J9" s="2667"/>
      <c r="K9" s="2844"/>
      <c r="L9" s="2841"/>
      <c r="M9" s="2841"/>
      <c r="N9" s="2667"/>
      <c r="O9" s="2678"/>
      <c r="P9" s="2667"/>
      <c r="Q9" s="2667"/>
      <c r="R9" s="2667"/>
    </row>
    <row r="10" spans="1:28" ht="13.5" thickTop="1">
      <c r="A10" s="2623" t="s">
        <v>2925</v>
      </c>
      <c r="B10" s="2624" t="s">
        <v>3057</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3058</v>
      </c>
      <c r="C11" s="2629"/>
      <c r="D11" s="2630"/>
      <c r="E11" s="2596"/>
      <c r="F11" s="2596"/>
      <c r="G11" s="2596"/>
      <c r="H11" s="2596"/>
      <c r="I11" s="2596"/>
      <c r="J11" s="2667"/>
      <c r="K11" s="2844"/>
      <c r="L11" s="2841"/>
      <c r="M11" s="2841"/>
      <c r="N11" s="2667"/>
      <c r="O11" s="2678"/>
      <c r="P11" s="2667"/>
      <c r="Q11" s="2667"/>
      <c r="R11" s="2667"/>
    </row>
    <row r="12" spans="1:28">
      <c r="A12" s="2631" t="s">
        <v>2928</v>
      </c>
      <c r="B12" s="2628" t="s">
        <v>3059</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c r="A13" s="1241"/>
      <c r="B13" s="2633"/>
      <c r="C13" s="2634" t="s">
        <v>2936</v>
      </c>
      <c r="D13" s="965"/>
      <c r="E13" s="965"/>
      <c r="F13" s="965">
        <v>55924</v>
      </c>
      <c r="G13" s="965">
        <v>55924</v>
      </c>
      <c r="H13" s="965"/>
      <c r="I13" s="965"/>
      <c r="J13" s="2667"/>
      <c r="K13" s="2844"/>
      <c r="L13" s="2841"/>
      <c r="M13" s="2841"/>
      <c r="N13" s="2667"/>
      <c r="O13" s="2678"/>
      <c r="P13" s="2667"/>
      <c r="Q13" s="2667"/>
      <c r="R13" s="2667"/>
    </row>
    <row r="14" spans="1:28">
      <c r="A14" s="1241"/>
      <c r="B14" s="2633"/>
      <c r="C14" s="2634" t="s">
        <v>2937</v>
      </c>
      <c r="D14" s="2635"/>
      <c r="E14" s="2635"/>
      <c r="F14" s="2635">
        <v>50</v>
      </c>
      <c r="G14" s="2635">
        <v>50</v>
      </c>
      <c r="H14" s="2635"/>
      <c r="I14" s="2635"/>
      <c r="J14" s="2667"/>
      <c r="K14" s="2845"/>
      <c r="L14" s="2841"/>
      <c r="M14" s="2841"/>
      <c r="N14" s="2667"/>
      <c r="O14" s="2678"/>
      <c r="P14" s="2667"/>
      <c r="Q14" s="2667"/>
      <c r="R14" s="2667"/>
    </row>
    <row r="15" spans="1:28">
      <c r="A15" s="326"/>
      <c r="B15" s="2636"/>
      <c r="C15" s="2637" t="s">
        <v>2938</v>
      </c>
      <c r="D15" s="2638" t="str">
        <f>IF(B12="出让",IF(D13="","",ROUNDDOWN(MIN((D13-$D$3)/365,D14),2)),D14)</f>
        <v/>
      </c>
      <c r="E15" s="2638" t="str">
        <f>IF(B12="出让",IF(E13="","",ROUNDDOWN(MIN((E13-$D$3)/365,E14),2)),E14)</f>
        <v/>
      </c>
      <c r="F15" s="2638">
        <f>IF(B12="出让",IF(F13="","",ROUNDDOWN(MIN((F13-$D$3)/365,F14),2)),F14)</f>
        <v>32.03</v>
      </c>
      <c r="G15" s="2638">
        <f>IF(B12="出让",IF(G13="","",ROUNDDOWN(MIN((G13-$D$3)/365,G14),2)),G14)</f>
        <v>32.03</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2939</v>
      </c>
      <c r="B16" s="3136"/>
      <c r="C16" s="3137"/>
      <c r="D16" s="3138"/>
      <c r="E16" s="2641" t="s">
        <v>2940</v>
      </c>
      <c r="F16" s="3139"/>
      <c r="G16" s="3140"/>
      <c r="H16" s="3140"/>
      <c r="I16" s="3141"/>
      <c r="J16" s="2667"/>
      <c r="K16" s="2846"/>
      <c r="L16" s="2679"/>
      <c r="M16" s="2679"/>
      <c r="N16" s="2737"/>
      <c r="O16" s="2679"/>
      <c r="P16" s="2737"/>
      <c r="Q16" s="2667"/>
      <c r="R16" s="2667"/>
    </row>
    <row r="17" spans="1:28">
      <c r="A17" s="319" t="s">
        <v>2941</v>
      </c>
      <c r="B17" s="308" t="s">
        <v>2942</v>
      </c>
      <c r="C17" s="11">
        <f>'数据-汇总表'!E3</f>
        <v>1724.67</v>
      </c>
      <c r="D17" s="2547" t="s">
        <v>2943</v>
      </c>
      <c r="E17" s="3142" t="s">
        <v>2944</v>
      </c>
      <c r="F17" s="3143"/>
      <c r="G17" s="3143"/>
      <c r="H17" s="3143"/>
      <c r="I17" s="3144"/>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0</v>
      </c>
      <c r="D18" s="1252" t="s">
        <v>2947</v>
      </c>
      <c r="E18" s="3145" t="s">
        <v>2948</v>
      </c>
      <c r="F18" s="3146"/>
      <c r="G18" s="3146"/>
      <c r="H18" s="3146"/>
      <c r="I18" s="3147"/>
      <c r="J18" s="2667"/>
      <c r="K18" s="2847"/>
      <c r="L18" s="2679"/>
      <c r="M18" s="2679"/>
      <c r="N18" s="2737"/>
      <c r="O18" s="2679"/>
      <c r="P18" s="2737"/>
      <c r="Q18" s="2667"/>
      <c r="R18" s="2667"/>
      <c r="S18" s="2667"/>
      <c r="T18" s="2667"/>
      <c r="U18" s="2667"/>
      <c r="V18" s="2667"/>
    </row>
    <row r="19" spans="1:28" ht="37.5" thickTop="1" thickBot="1">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2951</v>
      </c>
      <c r="B20" s="3132" t="s">
        <v>2952</v>
      </c>
      <c r="C20" s="3133"/>
      <c r="D20" s="3134" t="s">
        <v>2953</v>
      </c>
      <c r="E20" s="3135"/>
      <c r="F20" s="2876" t="s">
        <v>1742</v>
      </c>
      <c r="G20" s="2893"/>
      <c r="H20" s="2893"/>
      <c r="I20" s="2893"/>
      <c r="J20" s="2667"/>
      <c r="K20" s="3131"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1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131"/>
      <c r="L22" s="69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19" t="s">
        <v>2960</v>
      </c>
      <c r="B27" s="326" t="s">
        <v>2961</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19"/>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19"/>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20"/>
      <c r="B30" s="308" t="s">
        <v>2964</v>
      </c>
      <c r="C30" s="3121"/>
      <c r="D30" s="3122"/>
      <c r="E30" s="2893"/>
      <c r="F30" s="2893"/>
      <c r="G30" s="2893"/>
      <c r="H30" s="2893"/>
      <c r="I30" s="2893"/>
      <c r="J30" s="2667"/>
      <c r="K30" s="2844"/>
      <c r="L30" s="2841"/>
      <c r="M30" s="2841"/>
      <c r="N30" s="2667"/>
      <c r="O30" s="2678"/>
      <c r="P30" s="2667"/>
      <c r="Q30" s="2667"/>
      <c r="R30" s="2667"/>
      <c r="S30" s="2667"/>
      <c r="T30" s="2667"/>
      <c r="U30" s="2667"/>
      <c r="V30" s="2667"/>
    </row>
    <row r="31" spans="1:28">
      <c r="A31" s="3123" t="s">
        <v>2965</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24"/>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24"/>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2966</v>
      </c>
      <c r="B34" s="2216"/>
      <c r="C34" s="2216"/>
      <c r="D34" s="2216"/>
      <c r="E34" s="2216"/>
      <c r="F34" s="2216"/>
      <c r="G34" s="2216"/>
      <c r="H34" s="2216"/>
      <c r="I34" s="2893"/>
      <c r="J34" s="2667"/>
      <c r="K34" s="2655">
        <f>COUNTIF(B34:H34,"——")</f>
        <v>0</v>
      </c>
      <c r="L34" s="329" t="s">
        <v>2967</v>
      </c>
      <c r="M34" s="329" t="s">
        <v>2968</v>
      </c>
      <c r="N34" s="329" t="s">
        <v>2969</v>
      </c>
      <c r="O34" s="329" t="s">
        <v>2970</v>
      </c>
      <c r="P34" s="329" t="s">
        <v>2971</v>
      </c>
      <c r="Q34" s="329" t="s">
        <v>2972</v>
      </c>
      <c r="R34" s="329" t="s">
        <v>2973</v>
      </c>
      <c r="S34" s="3118" t="s">
        <v>2974</v>
      </c>
      <c r="T34" s="2656" t="str">
        <f>NUMBERSTRING(7-K34,1)&amp;"通"</f>
        <v>七通</v>
      </c>
      <c r="U34" s="2667"/>
      <c r="V34" s="2667"/>
    </row>
    <row r="35" spans="1:30">
      <c r="A35" s="2657"/>
      <c r="B35" s="3125" t="s">
        <v>2975</v>
      </c>
      <c r="C35" s="3125"/>
      <c r="D35" s="3125"/>
      <c r="E35" s="3125"/>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8"/>
      <c r="T35" s="335" t="str">
        <f>IF(T34="一通",L35,IF(T34="二通",M35,IF(T34="三通",N35,IF(T34="四通",O35,IF(T34="五通",P35,IF(T34="六通",Q35,R35))))))</f>
        <v>、、、、、、</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t="s">
        <v>137</v>
      </c>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c r="C38" s="2660" t="s">
        <v>216</v>
      </c>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1724.67</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1724.67</v>
      </c>
      <c r="H5" s="16">
        <f t="shared" ref="H5:AT5" si="0">SUM(H13:H656)</f>
        <v>1724.67</v>
      </c>
      <c r="I5" s="16">
        <f t="shared" si="0"/>
        <v>1272.47</v>
      </c>
      <c r="J5" s="16">
        <f t="shared" si="0"/>
        <v>0</v>
      </c>
      <c r="K5" s="16">
        <f t="shared" si="0"/>
        <v>452.2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1724.67</v>
      </c>
      <c r="BA5" s="18">
        <f t="shared" si="1"/>
        <v>1724.67</v>
      </c>
      <c r="BB5" s="18">
        <f t="shared" si="1"/>
        <v>1272.47</v>
      </c>
      <c r="BC5" s="18">
        <f t="shared" si="1"/>
        <v>452.2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3064</v>
      </c>
      <c r="J9" s="918"/>
      <c r="K9" s="1790" t="s">
        <v>3065</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3061</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63" t="s">
        <v>3060</v>
      </c>
      <c r="D13" s="1812" t="s">
        <v>3063</v>
      </c>
      <c r="E13" s="16">
        <f>IF($C$3="是",ROUND($A$3*G13/$B$3,2),ROUND($A$3*(G13-AT13)/$B$3,2))</f>
        <v>0</v>
      </c>
      <c r="F13" s="32"/>
      <c r="G13" s="33">
        <f>H13+AC13+AT13</f>
        <v>1272.47</v>
      </c>
      <c r="H13" s="20">
        <f>SUMIF(I$12:AB$12,"总值",I13:AB13)</f>
        <v>1272.47</v>
      </c>
      <c r="I13" s="1813">
        <v>1272.47</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办公</v>
      </c>
      <c r="AY13" s="1535">
        <f>ROUND($AY$6*AZ13/$AZ$5,2)</f>
        <v>0</v>
      </c>
      <c r="AZ13" s="16">
        <f>BA13+BL13</f>
        <v>1272.47</v>
      </c>
      <c r="BA13" s="16">
        <f>SUM(BB13:BK13)</f>
        <v>1272.47</v>
      </c>
      <c r="BB13" s="16">
        <f>IF($D13="是",I13-J13,0)</f>
        <v>1272.47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63" t="s">
        <v>3062</v>
      </c>
      <c r="D14" s="1812" t="s">
        <v>3063</v>
      </c>
      <c r="E14" s="16">
        <f>IF($C$3="是",ROUND($A$3*G14/$B$3,2),ROUND($A$3*(G14-AT14)/$B$3,2))</f>
        <v>0</v>
      </c>
      <c r="F14" s="32"/>
      <c r="G14" s="33">
        <f>H14+AC14+AT14</f>
        <v>452.2</v>
      </c>
      <c r="H14" s="20">
        <f>SUMIF(I$12:AB$12,"总值",I14:AB14)</f>
        <v>452.2</v>
      </c>
      <c r="I14" s="1813"/>
      <c r="J14" s="1813"/>
      <c r="K14" s="1813">
        <v>452.2</v>
      </c>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车库</v>
      </c>
      <c r="AY14" s="1535">
        <f>ROUND($AY$6*AZ14/$AZ$5,2)</f>
        <v>0</v>
      </c>
      <c r="AZ14" s="16">
        <f>BA14+BL14</f>
        <v>452.2</v>
      </c>
      <c r="BA14" s="16">
        <f>SUM(BB14:BK14)</f>
        <v>452.2</v>
      </c>
      <c r="BB14" s="16">
        <f>IF($D14="是",I14-J14,0)</f>
        <v>0</v>
      </c>
      <c r="BC14" s="16">
        <f>IF($D14="是",K14-L14,0)</f>
        <v>452.2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8" t="s">
        <v>0</v>
      </c>
      <c r="B1" s="3148" t="s">
        <v>4</v>
      </c>
      <c r="C1" s="3148" t="s">
        <v>5</v>
      </c>
      <c r="D1" s="3149" t="s">
        <v>53</v>
      </c>
      <c r="E1" s="3149" t="s">
        <v>54</v>
      </c>
      <c r="F1" s="3149"/>
      <c r="G1" s="3149"/>
      <c r="H1" s="3149"/>
      <c r="I1" s="3149"/>
      <c r="J1" s="3149"/>
      <c r="K1" s="3149"/>
      <c r="L1" s="3149"/>
      <c r="M1" s="3149"/>
    </row>
    <row r="2" spans="1:13" ht="27" customHeight="1">
      <c r="A2" s="3148"/>
      <c r="B2" s="3148"/>
      <c r="C2" s="3148"/>
      <c r="D2" s="3149"/>
      <c r="E2" s="3149" t="s">
        <v>37</v>
      </c>
      <c r="F2" s="3149" t="s">
        <v>38</v>
      </c>
      <c r="G2" s="3149"/>
      <c r="H2" s="3149"/>
      <c r="I2" s="3149"/>
      <c r="J2" s="3149" t="s">
        <v>39</v>
      </c>
      <c r="K2" s="3149"/>
      <c r="L2" s="3149"/>
      <c r="M2" s="3149"/>
    </row>
    <row r="3" spans="1:13" ht="28.5">
      <c r="A3" s="3148"/>
      <c r="B3" s="3148"/>
      <c r="C3" s="3148"/>
      <c r="D3" s="3149"/>
      <c r="E3" s="31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9" t="s">
        <v>55</v>
      </c>
      <c r="B9" s="3149"/>
      <c r="C9" s="31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9" t="s">
        <v>1817</v>
      </c>
      <c r="B2" s="3159"/>
      <c r="C2" s="3159"/>
      <c r="D2" s="904" t="s">
        <v>1793</v>
      </c>
      <c r="E2" s="1826" t="s">
        <v>1794</v>
      </c>
      <c r="F2" s="2888"/>
      <c r="G2" s="2879"/>
      <c r="H2" s="2880"/>
      <c r="I2" s="2550" t="s">
        <v>1818</v>
      </c>
      <c r="J2" s="2888"/>
      <c r="K2" s="2888"/>
      <c r="L2" s="2888"/>
      <c r="M2" s="2888"/>
      <c r="N2" s="2890"/>
      <c r="O2" s="2888"/>
      <c r="P2" s="2888"/>
    </row>
    <row r="3" spans="1:16" ht="15.75" thickBot="1">
      <c r="A3" s="3160" t="s">
        <v>1791</v>
      </c>
      <c r="B3" s="3160"/>
      <c r="C3" s="3160"/>
      <c r="D3" s="46">
        <f>'数据-基础表'!AY6</f>
        <v>0</v>
      </c>
      <c r="E3" s="46">
        <f>'数据-基础表'!AZ5</f>
        <v>1724.67</v>
      </c>
      <c r="F3" s="2888"/>
      <c r="G3" s="1307"/>
      <c r="H3" s="1157" t="s">
        <v>1792</v>
      </c>
      <c r="I3" s="964" t="e">
        <f>ROUND('数据-基础表'!B3/'数据-基础表'!A3,2)</f>
        <v>#DIV/0!</v>
      </c>
      <c r="J3" s="2888"/>
      <c r="K3" s="2888"/>
      <c r="L3" s="2888"/>
      <c r="M3" s="2888"/>
      <c r="N3" s="2890"/>
      <c r="O3" s="2888"/>
      <c r="P3" s="2888"/>
    </row>
    <row r="4" spans="1:16" ht="15">
      <c r="A4" s="3161"/>
      <c r="B4" s="3162"/>
      <c r="C4" s="3163"/>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c r="A5" s="47" t="s">
        <v>1795</v>
      </c>
      <c r="B5" s="3164" t="s">
        <v>1796</v>
      </c>
      <c r="C5" s="3164"/>
      <c r="D5" s="48">
        <f>ROUND($D$3*E5/$E$3,2)</f>
        <v>0</v>
      </c>
      <c r="E5" s="49">
        <f>SUMIF('数据-基础表'!$11:$11,"住宅",'数据-基础表'!$5:$5)</f>
        <v>0</v>
      </c>
      <c r="F5" s="2888"/>
      <c r="G5" s="1307"/>
      <c r="H5" s="1157" t="s">
        <v>1792</v>
      </c>
      <c r="I5" s="964" t="e">
        <f>ROUND(E31/D31,2)</f>
        <v>#DIV/0!</v>
      </c>
      <c r="J5" s="2888"/>
      <c r="K5" s="2888"/>
      <c r="L5" s="2888"/>
      <c r="M5" s="2888"/>
      <c r="N5" s="2888"/>
      <c r="O5" s="2888"/>
      <c r="P5" s="2888"/>
    </row>
    <row r="6" spans="1:16" ht="15" thickBot="1">
      <c r="A6" s="1831"/>
      <c r="B6" s="3164" t="s">
        <v>1797</v>
      </c>
      <c r="C6" s="3164"/>
      <c r="D6" s="48">
        <f>ROUND($D$3*E6/$E$3,2)</f>
        <v>0</v>
      </c>
      <c r="E6" s="49">
        <f>E3-E5</f>
        <v>1724.67</v>
      </c>
      <c r="F6" s="2888"/>
      <c r="G6" s="2882" t="s">
        <v>1798</v>
      </c>
      <c r="H6" s="1308" t="s">
        <v>1799</v>
      </c>
      <c r="I6" s="2883" t="e">
        <f>ROUND(F31/D31,2)</f>
        <v>#DIV/0!</v>
      </c>
      <c r="J6" s="2888"/>
      <c r="K6" s="2888"/>
      <c r="L6" s="2888"/>
      <c r="M6" s="2888"/>
      <c r="N6" s="2888"/>
      <c r="O6" s="2888"/>
      <c r="P6" s="2888"/>
    </row>
    <row r="7" spans="1:16" ht="15.75" thickBot="1">
      <c r="A7" s="3156"/>
      <c r="B7" s="3157"/>
      <c r="C7" s="3158"/>
      <c r="D7" s="1828" t="s">
        <v>1793</v>
      </c>
      <c r="E7" s="1832" t="s">
        <v>1800</v>
      </c>
      <c r="F7" s="2888"/>
      <c r="G7" s="2884" t="s">
        <v>1801</v>
      </c>
      <c r="H7" s="2885"/>
      <c r="I7" s="2886">
        <v>2.5</v>
      </c>
      <c r="J7" s="2888"/>
      <c r="K7" s="2888"/>
      <c r="L7" s="2888"/>
      <c r="M7" s="2888"/>
      <c r="N7" s="2888"/>
      <c r="O7" s="2888"/>
      <c r="P7" s="2888"/>
    </row>
    <row r="8" spans="1:16">
      <c r="A8" s="47" t="s">
        <v>1802</v>
      </c>
      <c r="B8" s="50" t="s">
        <v>1803</v>
      </c>
      <c r="C8" s="48" t="s">
        <v>1804</v>
      </c>
      <c r="D8" s="48">
        <f t="shared" ref="D8:D15" si="0">ROUND($D$3*E8/$E$3,2)</f>
        <v>0</v>
      </c>
      <c r="E8" s="51">
        <f>SUMIF('数据-基础表'!BB10:BK10,"地上",'数据-基础表'!BB5:BK5)</f>
        <v>1272.47</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452.2</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0</v>
      </c>
      <c r="E16" s="53">
        <f>SUM(E8:E15)</f>
        <v>1724.67</v>
      </c>
      <c r="F16" s="2888"/>
      <c r="G16" s="2889"/>
      <c r="H16" s="1835" t="s">
        <v>1821</v>
      </c>
      <c r="I16" s="1836"/>
      <c r="J16" s="1301"/>
      <c r="K16" s="3153" t="s">
        <v>1821</v>
      </c>
      <c r="L16" s="3154"/>
      <c r="M16" s="3154"/>
      <c r="N16" s="3154"/>
      <c r="O16" s="3154"/>
      <c r="P16" s="3155"/>
    </row>
    <row r="17" spans="1:19" ht="15">
      <c r="A17" s="1837" t="s">
        <v>1822</v>
      </c>
      <c r="B17" s="1838" t="s">
        <v>1823</v>
      </c>
      <c r="C17" s="1839" t="s">
        <v>1824</v>
      </c>
      <c r="D17" s="1840" t="s">
        <v>1812</v>
      </c>
      <c r="E17" s="1841" t="s">
        <v>1813</v>
      </c>
      <c r="F17" s="1842"/>
      <c r="G17" s="1843"/>
      <c r="H17" s="1844" t="s">
        <v>1825</v>
      </c>
      <c r="I17" s="1845" t="s">
        <v>1810</v>
      </c>
      <c r="J17" s="1301"/>
      <c r="K17" s="3150" t="s">
        <v>1826</v>
      </c>
      <c r="L17" s="3151"/>
      <c r="M17" s="3152"/>
      <c r="N17" s="3150" t="s">
        <v>1827</v>
      </c>
      <c r="O17" s="3151"/>
      <c r="P17" s="3152"/>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64" t="s">
        <v>3066</v>
      </c>
      <c r="D19" s="48">
        <f>ROUND($D$3*E19/$E$3,2)</f>
        <v>0</v>
      </c>
      <c r="E19" s="56">
        <f t="shared" ref="E19:E26" si="1">SUM(F19:G19)</f>
        <v>1272.47</v>
      </c>
      <c r="F19" s="3028">
        <f>'数据-基础表'!I13</f>
        <v>1272.47</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1272.47</v>
      </c>
    </row>
    <row r="20" spans="1:19">
      <c r="A20" s="1858"/>
      <c r="B20" s="50" t="s">
        <v>1839</v>
      </c>
      <c r="C20" s="3064" t="s">
        <v>3067</v>
      </c>
      <c r="D20" s="48">
        <f t="shared" ref="D20:D26" si="6">ROUND($D$3*E20/$E$3,2)</f>
        <v>0</v>
      </c>
      <c r="E20" s="56">
        <f t="shared" si="1"/>
        <v>452.2</v>
      </c>
      <c r="F20" s="3028"/>
      <c r="G20" s="3029">
        <f>'数据-基础表'!K14</f>
        <v>452.2</v>
      </c>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452.2</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1724.67</v>
      </c>
      <c r="F27" s="1302">
        <f>IF(SUM(F19:F26)=E8,SUM(F19:F26),"地上面积有误")</f>
        <v>1272.47</v>
      </c>
      <c r="G27" s="1304">
        <f>SUM(G19:G26)</f>
        <v>452.2</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1724.67</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0</v>
      </c>
      <c r="E31" s="685">
        <f>E27+E30</f>
        <v>1724.67</v>
      </c>
      <c r="F31" s="686">
        <f>F27+F30</f>
        <v>1272.47</v>
      </c>
      <c r="G31" s="687">
        <f>G27+G30</f>
        <v>452.2</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44230</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3068</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55924</v>
      </c>
      <c r="F6" s="68">
        <f>SUMIF(项目基本情况!D$12:I$12,C6,项目基本情况!D$15:I$15)</f>
        <v>32.03</v>
      </c>
      <c r="G6" s="69">
        <f>IF(ISERROR(ROUND(POWER(1+H6,D6-F6)*(POWER(1+H6,F6)-1)/(POWER(1+H6,D6)-1),3)),0,ROUND(POWER(1+H6,D6-F6)*(POWER(1+H6,F6)-1)/(POWER(1+H6,D6)-1),3))</f>
        <v>0.86599999999999999</v>
      </c>
      <c r="H6" s="741">
        <v>0.05</v>
      </c>
      <c r="I6" s="741">
        <v>5.5E-2</v>
      </c>
      <c r="J6" s="70">
        <v>8.5000000000000006E-2</v>
      </c>
      <c r="K6" s="1161">
        <f>SUMIF('数据-汇总表'!C$19:C$33,A6,'数据-汇总表'!E$19:E$33)</f>
        <v>1272.47</v>
      </c>
      <c r="L6" s="742">
        <v>3800</v>
      </c>
      <c r="M6" s="71">
        <f t="shared" ref="M6:M14" si="0">ROUND(K6*L6/10000,0)</f>
        <v>484</v>
      </c>
      <c r="N6" s="740">
        <f>ROUND((1-(2021-2004)/60),2)</f>
        <v>0.72</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v>8</v>
      </c>
      <c r="V6" s="75">
        <v>0.03</v>
      </c>
      <c r="W6" s="75">
        <v>0.1</v>
      </c>
      <c r="X6" s="1171"/>
      <c r="Y6" s="76">
        <v>0.72</v>
      </c>
      <c r="Z6" s="77"/>
      <c r="AA6" s="70"/>
      <c r="AB6" s="70"/>
      <c r="AC6" s="1171"/>
      <c r="AD6" s="78"/>
      <c r="AE6" s="1172">
        <f ca="1">IF(AN6="",0,SUMIF(INDIRECT("'"&amp;AN6&amp;"'"&amp;"!E:E"),$AE$5,INDIRECT("'"&amp;AN6&amp;"'"&amp;"!F:F")))</f>
        <v>32.03</v>
      </c>
      <c r="AF6" s="1534"/>
      <c r="AG6" s="143">
        <f>IF(AF6="",0,AE6-AF6)</f>
        <v>0</v>
      </c>
      <c r="AH6" s="79"/>
      <c r="AI6" s="81">
        <v>365</v>
      </c>
      <c r="AJ6" s="82"/>
      <c r="AK6" s="83">
        <v>0.01</v>
      </c>
      <c r="AL6" s="84">
        <v>1E-3</v>
      </c>
      <c r="AM6" s="85">
        <v>0.01</v>
      </c>
      <c r="AN6" s="1903" t="s">
        <v>3077</v>
      </c>
      <c r="AO6" s="55">
        <f ca="1">SUMIF(INDIRECT("'"&amp;AN6&amp;"'"&amp;"!A:A"),"总价",INDIRECT("'"&amp;AN6&amp;"'"&amp;"!B:B"))</f>
        <v>5745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车库</v>
      </c>
      <c r="B7" s="1901" t="str">
        <f t="shared" ref="B7:B13" si="1">IF(A7=0,"","经营性")</f>
        <v>经营性</v>
      </c>
      <c r="C7" s="1902" t="s">
        <v>3061</v>
      </c>
      <c r="D7" s="967">
        <f>SUMIF(项目基本情况!D$12:I$12,C7,项目基本情况!D$14:I$14)</f>
        <v>50</v>
      </c>
      <c r="E7" s="966">
        <f>IF(B7="","",SUMIF(项目基本情况!D$12:I$12,C7,项目基本情况!D$13:I$13))</f>
        <v>55924</v>
      </c>
      <c r="F7" s="68">
        <f>SUMIF(项目基本情况!D$12:I$12,C7,项目基本情况!D$15:I$15)</f>
        <v>32.03</v>
      </c>
      <c r="G7" s="69">
        <f t="shared" ref="G7:G11" si="2">IF(ISERROR(ROUND(POWER(1+H7,D7-F7)*(POWER(1+H7,F7)-1)/(POWER(1+H7,D7)-1),3)),0,ROUND(POWER(1+H7,D7-F7)*(POWER(1+H7,F7)-1)/(POWER(1+H7,D7)-1),3))</f>
        <v>0.85</v>
      </c>
      <c r="H7" s="741">
        <v>4.4999999999999998E-2</v>
      </c>
      <c r="I7" s="741">
        <v>0.05</v>
      </c>
      <c r="J7" s="70">
        <v>8.5000000000000006E-2</v>
      </c>
      <c r="K7" s="1161">
        <f>SUMIF('数据-汇总表'!C$19:C$33,A7,'数据-汇总表'!E$19:E$33)</f>
        <v>452.2</v>
      </c>
      <c r="L7" s="742">
        <v>3500</v>
      </c>
      <c r="M7" s="71">
        <f t="shared" si="0"/>
        <v>158</v>
      </c>
      <c r="N7" s="740">
        <f>N6</f>
        <v>0.72</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1300</v>
      </c>
      <c r="V7" s="75">
        <v>2.5000000000000001E-2</v>
      </c>
      <c r="W7" s="75">
        <v>0.1</v>
      </c>
      <c r="X7" s="1171"/>
      <c r="Y7" s="76">
        <f>Y6</f>
        <v>0.72</v>
      </c>
      <c r="Z7" s="77"/>
      <c r="AA7" s="70"/>
      <c r="AB7" s="70"/>
      <c r="AC7" s="1171"/>
      <c r="AD7" s="78"/>
      <c r="AE7" s="1172">
        <f t="shared" ref="AE7:AE13" ca="1" si="6">IF(AN7="",0,SUMIF(INDIRECT("'"&amp;AN7&amp;"'"&amp;"!E:E"),$AE$5,INDIRECT("'"&amp;AN7&amp;"'"&amp;"!F:F")))</f>
        <v>32.03</v>
      </c>
      <c r="AF7" s="1534"/>
      <c r="AG7" s="143">
        <f t="shared" ref="AG7:AG13" si="7">IF(AF7="",0,AE7-AF7)</f>
        <v>0</v>
      </c>
      <c r="AH7" s="79">
        <v>10</v>
      </c>
      <c r="AI7" s="81">
        <v>12</v>
      </c>
      <c r="AJ7" s="82"/>
      <c r="AK7" s="83">
        <v>0.01</v>
      </c>
      <c r="AL7" s="84">
        <v>1E-3</v>
      </c>
      <c r="AM7" s="85">
        <v>0.01</v>
      </c>
      <c r="AN7" s="1903" t="s">
        <v>3078</v>
      </c>
      <c r="AO7" s="55">
        <f t="shared" ref="AO7:AO13" ca="1" si="8">SUMIF(INDIRECT("'"&amp;AN7&amp;"'"&amp;"!A:A"),"总价",INDIRECT("'"&amp;AN7&amp;"'"&amp;"!B:B"))</f>
        <v>205</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hidden="1">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hidden="1">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hidden="1">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hidden="1">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hidden="1">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hidden="1">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0.86199999999999999</v>
      </c>
      <c r="H16" s="95">
        <f>ROUND(SUMPRODUCT(H6:H13,K6:K13)/SUMPRODUCT((H6:H13&gt;0)*(K6:K13)),3)</f>
        <v>4.9000000000000002E-2</v>
      </c>
      <c r="I16" s="96"/>
      <c r="J16" s="96"/>
      <c r="K16" s="97">
        <f>SUM(K6:K15)</f>
        <v>1724.67</v>
      </c>
      <c r="L16" s="98">
        <f>ROUND(M16*10000/SUM(K6:K14),0)</f>
        <v>3722</v>
      </c>
      <c r="M16" s="98">
        <f>SUM(M6:M14)</f>
        <v>642</v>
      </c>
      <c r="N16" s="99">
        <f>ROUND(SUMPRODUCT(M6:M14,N6:N14)/M16,3)</f>
        <v>0.72</v>
      </c>
      <c r="O16" s="98">
        <f>SUM(O6:O14)</f>
        <v>0</v>
      </c>
      <c r="P16" s="98">
        <f>SUM(P6:P14)</f>
        <v>0</v>
      </c>
      <c r="Q16" s="100">
        <f>ROUND(SUMPRODUCT(Q6:Q13,K6:K13)/SUMPRODUCT((Q6:Q13&gt;0)*(K6:K13)),2)</f>
        <v>0.16</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3043</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3041</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3045</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ROUND(K16*B28/10000,0)</f>
        <v>34</v>
      </c>
      <c r="C29" s="3035" t="s">
        <v>3031</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3032</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3033</v>
      </c>
      <c r="D34" s="2915" t="s">
        <v>3042</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3034</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3035</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3036</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2.5000000000000001E-2</v>
      </c>
      <c r="C38" s="3036" t="s">
        <v>3036</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3037</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3046</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3038</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3039</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3047</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3038</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3040</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12</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137</v>
      </c>
      <c r="C53" s="2890" t="s">
        <v>1933</v>
      </c>
      <c r="D53" s="3037" t="s">
        <v>3044</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v>30</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v>24</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v>18</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v>12</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v>3</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65" t="s">
        <v>3023</v>
      </c>
      <c r="B1" s="3166"/>
      <c r="C1" s="3166"/>
      <c r="D1" s="3166"/>
      <c r="E1" s="3166"/>
      <c r="F1" s="3166"/>
      <c r="G1" s="3166"/>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3020</v>
      </c>
      <c r="D2" s="2689"/>
      <c r="E2" s="2686"/>
      <c r="F2" s="2690"/>
      <c r="G2" s="2688" t="s">
        <v>3021</v>
      </c>
      <c r="H2" s="907"/>
      <c r="I2" s="907"/>
      <c r="J2" s="907"/>
      <c r="K2" s="907"/>
      <c r="L2" s="907"/>
      <c r="M2" s="907"/>
      <c r="N2" s="907"/>
      <c r="O2" s="907"/>
      <c r="P2" s="907"/>
      <c r="Q2" s="907"/>
      <c r="R2" s="907"/>
    </row>
    <row r="3" spans="1:29" ht="24">
      <c r="A3" s="2669" t="s">
        <v>3022</v>
      </c>
      <c r="B3" s="2691" t="s">
        <v>2998</v>
      </c>
      <c r="C3" s="2692"/>
      <c r="D3" s="2693"/>
      <c r="E3" s="2670" t="s">
        <v>3022</v>
      </c>
      <c r="F3" s="2694" t="s">
        <v>2999</v>
      </c>
      <c r="G3" s="2695"/>
      <c r="H3" s="907"/>
      <c r="I3" s="907"/>
      <c r="J3" s="907"/>
      <c r="K3" s="907"/>
      <c r="L3" s="907"/>
      <c r="M3" s="907"/>
      <c r="N3" s="907"/>
      <c r="O3" s="907"/>
      <c r="P3" s="907"/>
      <c r="Q3" s="907"/>
      <c r="R3" s="907"/>
    </row>
    <row r="4" spans="1:29">
      <c r="A4" s="2670"/>
      <c r="B4" s="329" t="s">
        <v>3000</v>
      </c>
      <c r="C4" s="2696"/>
      <c r="D4" s="2693"/>
      <c r="E4" s="2697"/>
      <c r="F4" s="1559" t="s">
        <v>3001</v>
      </c>
      <c r="G4" s="2698"/>
      <c r="H4" s="907"/>
      <c r="I4" s="907"/>
      <c r="J4" s="907"/>
      <c r="K4" s="907"/>
      <c r="L4" s="907"/>
      <c r="M4" s="907"/>
      <c r="N4" s="907"/>
      <c r="O4" s="907"/>
      <c r="P4" s="907"/>
      <c r="Q4" s="907"/>
      <c r="R4" s="907"/>
    </row>
    <row r="5" spans="1:29">
      <c r="A5" s="2670"/>
      <c r="B5" s="329" t="s">
        <v>3002</v>
      </c>
      <c r="C5" s="2696"/>
      <c r="D5" s="2693"/>
      <c r="E5" s="2697"/>
      <c r="F5" s="329" t="s">
        <v>3003</v>
      </c>
      <c r="G5" s="2698"/>
      <c r="H5" s="907"/>
      <c r="I5" s="907"/>
      <c r="J5" s="907"/>
      <c r="K5" s="907"/>
      <c r="L5" s="907"/>
      <c r="M5" s="907"/>
      <c r="N5" s="907"/>
      <c r="O5" s="907"/>
      <c r="P5" s="907"/>
      <c r="Q5" s="907"/>
      <c r="R5" s="907"/>
    </row>
    <row r="6" spans="1:29">
      <c r="A6" s="2670"/>
      <c r="B6" s="329" t="s">
        <v>3004</v>
      </c>
      <c r="C6" s="2698"/>
      <c r="D6" s="2693"/>
      <c r="E6" s="2697"/>
      <c r="F6" s="329" t="s">
        <v>3005</v>
      </c>
      <c r="G6" s="2698"/>
      <c r="H6" s="907"/>
      <c r="I6" s="907"/>
      <c r="J6" s="907"/>
      <c r="K6" s="907"/>
      <c r="L6" s="907"/>
      <c r="M6" s="907"/>
      <c r="N6" s="907"/>
      <c r="O6" s="907"/>
      <c r="P6" s="907"/>
      <c r="Q6" s="907"/>
      <c r="R6" s="907"/>
    </row>
    <row r="7" spans="1:29" ht="15" thickBot="1">
      <c r="A7" s="2670"/>
      <c r="B7" s="329" t="s">
        <v>3003</v>
      </c>
      <c r="C7" s="2698"/>
      <c r="D7" s="2699"/>
      <c r="E7" s="2700"/>
      <c r="F7" s="2701" t="s">
        <v>3006</v>
      </c>
      <c r="G7" s="2702"/>
      <c r="H7" s="907"/>
      <c r="I7" s="907"/>
      <c r="J7" s="907"/>
      <c r="K7" s="907"/>
      <c r="L7" s="907"/>
      <c r="M7" s="907"/>
      <c r="N7" s="907"/>
      <c r="O7" s="907"/>
      <c r="P7" s="907"/>
      <c r="Q7" s="907"/>
      <c r="R7" s="907"/>
    </row>
    <row r="8" spans="1:29">
      <c r="A8" s="2670"/>
      <c r="B8" s="329" t="s">
        <v>3005</v>
      </c>
      <c r="C8" s="2698"/>
      <c r="D8" s="2699"/>
      <c r="E8" s="2699"/>
      <c r="F8" s="2703"/>
      <c r="G8" s="2703"/>
      <c r="H8" s="907"/>
      <c r="I8" s="907"/>
      <c r="J8" s="907"/>
      <c r="K8" s="907"/>
      <c r="L8" s="907"/>
      <c r="M8" s="907"/>
      <c r="N8" s="907"/>
      <c r="O8" s="907"/>
      <c r="P8" s="907"/>
      <c r="Q8" s="907"/>
      <c r="R8" s="907"/>
    </row>
    <row r="9" spans="1:29">
      <c r="A9" s="2670"/>
      <c r="B9" s="329" t="s">
        <v>3007</v>
      </c>
      <c r="C9" s="2696"/>
      <c r="D9" s="2693"/>
      <c r="E9" s="2699"/>
      <c r="F9" s="2703"/>
      <c r="G9" s="2703"/>
      <c r="H9" s="907"/>
      <c r="I9" s="907"/>
      <c r="J9" s="907"/>
      <c r="K9" s="907"/>
      <c r="L9" s="907"/>
      <c r="M9" s="907"/>
      <c r="N9" s="907"/>
      <c r="O9" s="907"/>
      <c r="P9" s="907"/>
      <c r="Q9" s="907"/>
      <c r="R9" s="907"/>
    </row>
    <row r="10" spans="1:29" s="2709" customFormat="1" ht="15" thickBot="1">
      <c r="A10" s="2671"/>
      <c r="B10" s="2704" t="s">
        <v>3008</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3024</v>
      </c>
      <c r="B13" s="2712"/>
      <c r="C13" s="2712"/>
      <c r="D13" s="2710"/>
      <c r="E13" s="2712"/>
      <c r="F13" s="2712"/>
      <c r="G13" s="2712"/>
    </row>
    <row r="14" spans="1:29" ht="15" thickBot="1">
      <c r="A14" s="2722"/>
      <c r="B14" s="2722"/>
      <c r="C14" s="2723" t="s">
        <v>3009</v>
      </c>
      <c r="D14" s="2693"/>
      <c r="E14" s="2724"/>
      <c r="F14" s="2724"/>
      <c r="G14" s="2688" t="s">
        <v>3010</v>
      </c>
    </row>
    <row r="15" spans="1:29" ht="24">
      <c r="A15" s="2672" t="s">
        <v>3011</v>
      </c>
      <c r="B15" s="2725" t="s">
        <v>2998</v>
      </c>
      <c r="C15" s="2726">
        <f>C3</f>
        <v>0</v>
      </c>
      <c r="D15" s="2693"/>
      <c r="E15" s="2673" t="s">
        <v>3012</v>
      </c>
      <c r="F15" s="2725" t="s">
        <v>3013</v>
      </c>
      <c r="G15" s="2727">
        <f>G3</f>
        <v>0</v>
      </c>
    </row>
    <row r="16" spans="1:29">
      <c r="A16" s="2674"/>
      <c r="B16" s="2728" t="s">
        <v>3000</v>
      </c>
      <c r="C16" s="2729">
        <f>C4</f>
        <v>0</v>
      </c>
      <c r="D16" s="2693"/>
      <c r="E16" s="2675"/>
      <c r="F16" s="2730" t="s">
        <v>3001</v>
      </c>
      <c r="G16" s="2731">
        <f>G4</f>
        <v>0</v>
      </c>
    </row>
    <row r="17" spans="1:18">
      <c r="A17" s="2674"/>
      <c r="B17" s="2728" t="s">
        <v>3002</v>
      </c>
      <c r="C17" s="2729">
        <f>C5</f>
        <v>0</v>
      </c>
      <c r="D17" s="2699"/>
      <c r="E17" s="2675"/>
      <c r="F17" s="2730" t="s">
        <v>3014</v>
      </c>
      <c r="G17" s="2732"/>
    </row>
    <row r="18" spans="1:18">
      <c r="A18" s="2674"/>
      <c r="B18" s="2730" t="s">
        <v>3004</v>
      </c>
      <c r="C18" s="2731">
        <f>C6</f>
        <v>0</v>
      </c>
      <c r="D18" s="2699"/>
      <c r="E18" s="2675"/>
      <c r="F18" s="2730" t="s">
        <v>3006</v>
      </c>
      <c r="G18" s="2731">
        <f>G7</f>
        <v>0</v>
      </c>
    </row>
    <row r="19" spans="1:18">
      <c r="A19" s="2674"/>
      <c r="B19" s="2730" t="s">
        <v>3015</v>
      </c>
      <c r="C19" s="2732"/>
      <c r="D19" s="2693"/>
      <c r="E19" s="2675"/>
      <c r="F19" s="329" t="s">
        <v>3003</v>
      </c>
      <c r="G19" s="2731">
        <f>G5</f>
        <v>0</v>
      </c>
    </row>
    <row r="20" spans="1:18">
      <c r="A20" s="2674"/>
      <c r="B20" s="2730" t="s">
        <v>3016</v>
      </c>
      <c r="C20" s="2729">
        <f>C9</f>
        <v>0</v>
      </c>
      <c r="D20" s="2699"/>
      <c r="E20" s="2675"/>
      <c r="F20" s="329" t="s">
        <v>3005</v>
      </c>
      <c r="G20" s="2731">
        <f>G6</f>
        <v>0</v>
      </c>
    </row>
    <row r="21" spans="1:18">
      <c r="A21" s="2674"/>
      <c r="B21" s="329" t="s">
        <v>3003</v>
      </c>
      <c r="C21" s="2731">
        <f>C7</f>
        <v>0</v>
      </c>
      <c r="D21" s="2693"/>
      <c r="E21" s="2675"/>
      <c r="F21" s="2730" t="s">
        <v>3017</v>
      </c>
      <c r="G21" s="2733"/>
    </row>
    <row r="22" spans="1:18" ht="13.5" customHeight="1">
      <c r="A22" s="2674"/>
      <c r="B22" s="329" t="s">
        <v>3005</v>
      </c>
      <c r="C22" s="2731">
        <f>C8</f>
        <v>0</v>
      </c>
      <c r="D22" s="2693"/>
      <c r="E22" s="2675"/>
      <c r="F22" s="2730" t="s">
        <v>3008</v>
      </c>
      <c r="G22" s="2732"/>
    </row>
    <row r="23" spans="1:18" s="907" customFormat="1" ht="15" thickBot="1">
      <c r="A23" s="2674"/>
      <c r="B23" s="2730" t="s">
        <v>3017</v>
      </c>
      <c r="C23" s="2733"/>
      <c r="D23" s="1929"/>
      <c r="E23" s="2676"/>
      <c r="F23" s="2734" t="s">
        <v>3018</v>
      </c>
      <c r="G23" s="2735"/>
      <c r="H23" s="2719"/>
      <c r="I23" s="2720"/>
      <c r="J23" s="2719"/>
      <c r="K23" s="2719"/>
      <c r="L23" s="2720"/>
      <c r="M23" s="2719"/>
      <c r="N23" s="2719"/>
      <c r="O23" s="2720"/>
      <c r="P23" s="2719"/>
      <c r="Q23" s="2719"/>
      <c r="R23" s="2721"/>
    </row>
    <row r="24" spans="1:18" s="907" customFormat="1" ht="15" thickBot="1">
      <c r="A24" s="2677"/>
      <c r="B24" s="2734" t="s">
        <v>3019</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8" sqref="B8"/>
    </sheetView>
  </sheetViews>
  <sheetFormatPr defaultColWidth="9" defaultRowHeight="13.5"/>
  <cols>
    <col min="1" max="1" width="25" style="2741" customWidth="1"/>
    <col min="2" max="9" width="15.75" style="2741" customWidth="1"/>
    <col min="10" max="10" width="8.5" style="2741" bestFit="1" customWidth="1"/>
    <col min="11" max="16384" width="9" style="2741"/>
  </cols>
  <sheetData>
    <row r="1" spans="1:11" ht="16.5">
      <c r="A1" s="2740" t="s">
        <v>1331</v>
      </c>
      <c r="B1" s="2740">
        <f>SUM(B14:B23)</f>
        <v>1724.67</v>
      </c>
      <c r="C1" s="2917"/>
      <c r="D1" s="2917"/>
      <c r="E1" s="2917"/>
      <c r="F1" s="2917"/>
      <c r="G1" s="2918"/>
      <c r="H1" s="2919"/>
      <c r="I1" s="2919"/>
      <c r="J1" s="2919"/>
      <c r="K1" s="2919"/>
    </row>
    <row r="2" spans="1:11" ht="16.5">
      <c r="A2" s="2740" t="s">
        <v>1319</v>
      </c>
      <c r="B2" s="2740">
        <f>SUM(C14:C23)</f>
        <v>0</v>
      </c>
      <c r="C2" s="2917"/>
      <c r="D2" s="2917"/>
      <c r="E2" s="2917"/>
      <c r="F2" s="2917"/>
      <c r="G2" s="2918"/>
      <c r="H2" s="2919"/>
      <c r="I2" s="2919"/>
      <c r="J2" s="2919"/>
      <c r="K2" s="2919"/>
    </row>
    <row r="3" spans="1:11" ht="16.5">
      <c r="A3" s="2740" t="s">
        <v>1328</v>
      </c>
      <c r="B3" s="2742">
        <f>项目基本情况!D3</f>
        <v>44230</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6171</v>
      </c>
      <c r="C5" s="2740">
        <f ca="1">ROUND(B5*10000/$B$1,0)</f>
        <v>35781</v>
      </c>
      <c r="D5" s="2740" t="e">
        <f ca="1">ROUND(B5*10000/$B$2,0)</f>
        <v>#DIV/0!</v>
      </c>
      <c r="E5" s="2917"/>
      <c r="F5" s="2918"/>
      <c r="G5" s="2918"/>
      <c r="H5" s="2919"/>
      <c r="I5" s="2919"/>
      <c r="J5" s="2919"/>
      <c r="K5" s="2919"/>
    </row>
    <row r="6" spans="1:11" ht="16.5">
      <c r="A6" s="2740" t="s">
        <v>1322</v>
      </c>
      <c r="B6" s="2740">
        <f ca="1">SUM(G14:G23)</f>
        <v>6171</v>
      </c>
      <c r="C6" s="2740">
        <f ca="1">ROUND(B6*10000/$B$1,0)</f>
        <v>35781</v>
      </c>
      <c r="D6" s="2740" t="e">
        <f ca="1">ROUND(B6*10000/$B$2,0)</f>
        <v>#DIV/0!</v>
      </c>
      <c r="E6" s="2917"/>
      <c r="F6" s="2918"/>
      <c r="G6" s="2918"/>
      <c r="H6" s="2919"/>
      <c r="I6" s="2919"/>
      <c r="J6" s="2919"/>
      <c r="K6" s="2919"/>
    </row>
    <row r="7" spans="1:11" ht="16.5">
      <c r="A7" s="2740" t="s">
        <v>1330</v>
      </c>
      <c r="B7" s="2740">
        <f>SUM(H14:H23)</f>
        <v>0</v>
      </c>
      <c r="C7" s="2740">
        <f>ROUND(B7*10000/$B$1,0)</f>
        <v>0</v>
      </c>
      <c r="D7" s="2740" t="e">
        <f>ROUND(B7*10000/$B$2,0)</f>
        <v>#DIV/0!</v>
      </c>
      <c r="E7" s="2917"/>
      <c r="F7" s="2918"/>
      <c r="G7" s="2918"/>
      <c r="H7" s="2919"/>
      <c r="I7" s="2919"/>
      <c r="J7" s="2919"/>
      <c r="K7" s="2919"/>
    </row>
    <row r="8" spans="1:11" ht="16.5">
      <c r="A8" s="2740" t="s">
        <v>1252</v>
      </c>
      <c r="B8" s="2740">
        <f ca="1">SUM(I14:I23)</f>
        <v>5211</v>
      </c>
      <c r="C8" s="2740">
        <f ca="1">ROUND(B8*10000/$B$1,0)</f>
        <v>30214</v>
      </c>
      <c r="D8" s="2740" t="e">
        <f ca="1">ROUND(B8*10000/$B$2,0)</f>
        <v>#DIV/0!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'结果表-办公'!B118</f>
        <v>1272.47</v>
      </c>
      <c r="C14" s="2746">
        <f>'结果表-办公'!C118</f>
        <v>0</v>
      </c>
      <c r="D14" s="2746">
        <f ca="1">'结果表-办公'!H118</f>
        <v>5784</v>
      </c>
      <c r="E14" s="2746">
        <f ca="1">ROUND(D14*10000/B14,0)</f>
        <v>45455</v>
      </c>
      <c r="F14" s="2746" t="e">
        <f ca="1">ROUND(D14*10000/C14,0)</f>
        <v>#DIV/0!</v>
      </c>
      <c r="G14" s="2746">
        <f ca="1">'结果表-办公'!D122</f>
        <v>5784</v>
      </c>
      <c r="H14" s="2746" t="str">
        <f>'结果表-办公'!D124</f>
        <v>——</v>
      </c>
      <c r="I14" s="2746">
        <f ca="1">'结果表-办公'!D126</f>
        <v>4879</v>
      </c>
      <c r="J14" s="3071">
        <f ca="1">I14/B14*10000</f>
        <v>38342.750713179877</v>
      </c>
      <c r="K14" s="2919"/>
    </row>
    <row r="15" spans="1:11" ht="16.5">
      <c r="A15" s="2745" t="s">
        <v>1315</v>
      </c>
      <c r="B15" s="2746">
        <f>'数据-汇总表'!G20</f>
        <v>452.2</v>
      </c>
      <c r="C15" s="2746"/>
      <c r="D15" s="2746">
        <f ca="1">'结果表-车库'!H101</f>
        <v>387</v>
      </c>
      <c r="E15" s="2746">
        <f t="shared" ref="E15:E23" ca="1" si="0">ROUND(D15*10000/B15,0)</f>
        <v>8558</v>
      </c>
      <c r="F15" s="2746" t="e">
        <f t="shared" ref="F15:F23" ca="1" si="1">ROUND(D15*10000/C15,0)</f>
        <v>#DIV/0!</v>
      </c>
      <c r="G15" s="2746">
        <f ca="1">D15</f>
        <v>387</v>
      </c>
      <c r="H15" s="1502"/>
      <c r="I15" s="2746">
        <f ca="1">'结果表-车库'!N59</f>
        <v>332</v>
      </c>
      <c r="J15" s="3071">
        <f ca="1">I15/B15*10000</f>
        <v>7341.8841220698805</v>
      </c>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Normal="100" zoomScaleSheetLayoutView="100" zoomScalePageLayoutView="80" workbookViewId="0">
      <selection activeCell="B118" sqref="B118"/>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27</v>
      </c>
      <c r="D1" s="1935"/>
      <c r="E1" s="1935"/>
      <c r="F1" s="1937" t="s">
        <v>1950</v>
      </c>
      <c r="G1" s="1748" t="s">
        <v>3101</v>
      </c>
      <c r="H1" s="1938" t="str">
        <f>IF(G1="现房","——","估价对象范围")</f>
        <v>——</v>
      </c>
      <c r="I1" s="1939" t="s">
        <v>3102</v>
      </c>
    </row>
    <row r="2" spans="1:12" ht="21.75" customHeight="1" thickBot="1">
      <c r="A2" s="3201" t="str">
        <f>项目基本情况!S2</f>
        <v>北京市房地产</v>
      </c>
      <c r="B2" s="3202"/>
      <c r="C2" s="3202"/>
      <c r="D2" s="3202"/>
      <c r="E2" s="3202"/>
      <c r="F2" s="3202"/>
      <c r="G2" s="3202"/>
      <c r="H2" s="3202"/>
      <c r="I2" s="3203"/>
    </row>
    <row r="3" spans="1:12" ht="12.75">
      <c r="A3" s="3205" t="s">
        <v>1951</v>
      </c>
      <c r="B3" s="3206"/>
      <c r="C3" s="3206"/>
      <c r="D3" s="3206"/>
      <c r="E3" s="3206"/>
      <c r="F3" s="3206"/>
      <c r="G3" s="3206"/>
      <c r="H3" s="3206"/>
      <c r="I3" s="3206"/>
    </row>
    <row r="4" spans="1:12" ht="14.25">
      <c r="A4" s="1942" t="s">
        <v>1952</v>
      </c>
      <c r="B4" s="1943" t="s">
        <v>1953</v>
      </c>
      <c r="C4" s="1944" t="s">
        <v>3100</v>
      </c>
      <c r="D4" s="1944" t="s">
        <v>3077</v>
      </c>
      <c r="E4" s="3207" t="s">
        <v>1954</v>
      </c>
      <c r="F4" s="3208"/>
      <c r="G4" s="3208"/>
      <c r="H4" s="3208"/>
      <c r="I4" s="3209"/>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81" t="s">
        <v>1955</v>
      </c>
      <c r="B5" s="3168">
        <v>25</v>
      </c>
      <c r="C5" s="3184"/>
      <c r="D5" s="3204"/>
      <c r="E5" s="136" t="s">
        <v>1956</v>
      </c>
      <c r="F5" s="1945"/>
      <c r="G5" s="1945"/>
      <c r="H5" s="1945"/>
      <c r="I5" s="1559"/>
    </row>
    <row r="6" spans="1:12" ht="12.75">
      <c r="A6" s="3181"/>
      <c r="B6" s="3168"/>
      <c r="C6" s="3185"/>
      <c r="D6" s="3204"/>
      <c r="E6" s="136" t="s">
        <v>1957</v>
      </c>
      <c r="F6" s="1945"/>
      <c r="G6" s="1945"/>
      <c r="H6" s="1945"/>
      <c r="I6" s="1559"/>
    </row>
    <row r="7" spans="1:12" ht="12.75">
      <c r="A7" s="3181"/>
      <c r="B7" s="3168"/>
      <c r="C7" s="3186"/>
      <c r="D7" s="3204"/>
      <c r="E7" s="136" t="s">
        <v>1958</v>
      </c>
      <c r="F7" s="1945"/>
      <c r="G7" s="1945"/>
      <c r="H7" s="1945"/>
      <c r="I7" s="1559"/>
    </row>
    <row r="8" spans="1:12" ht="12.75">
      <c r="A8" s="3181" t="s">
        <v>1959</v>
      </c>
      <c r="B8" s="3168">
        <v>15</v>
      </c>
      <c r="C8" s="3184"/>
      <c r="D8" s="3204"/>
      <c r="E8" s="136" t="s">
        <v>1960</v>
      </c>
      <c r="F8" s="1945"/>
      <c r="G8" s="1945"/>
      <c r="H8" s="1945"/>
      <c r="I8" s="1559"/>
    </row>
    <row r="9" spans="1:12" ht="12.75">
      <c r="A9" s="3181"/>
      <c r="B9" s="3168"/>
      <c r="C9" s="3186"/>
      <c r="D9" s="3204"/>
      <c r="E9" s="136" t="s">
        <v>1961</v>
      </c>
      <c r="F9" s="1945"/>
      <c r="G9" s="1945"/>
      <c r="H9" s="1945"/>
      <c r="I9" s="1559"/>
    </row>
    <row r="10" spans="1:12" ht="12.75">
      <c r="A10" s="3181" t="s">
        <v>1962</v>
      </c>
      <c r="B10" s="3168">
        <v>15</v>
      </c>
      <c r="C10" s="3184"/>
      <c r="D10" s="3204"/>
      <c r="E10" s="136" t="s">
        <v>1963</v>
      </c>
      <c r="F10" s="1945"/>
      <c r="G10" s="1945"/>
      <c r="H10" s="1945"/>
      <c r="I10" s="1559"/>
    </row>
    <row r="11" spans="1:12" ht="12.75">
      <c r="A11" s="3181"/>
      <c r="B11" s="3168"/>
      <c r="C11" s="3186"/>
      <c r="D11" s="3204"/>
      <c r="E11" s="136" t="s">
        <v>1964</v>
      </c>
      <c r="F11" s="1945"/>
      <c r="G11" s="1945"/>
      <c r="H11" s="1945"/>
      <c r="I11" s="1559"/>
    </row>
    <row r="12" spans="1:12" ht="12.75">
      <c r="A12" s="3181" t="s">
        <v>1965</v>
      </c>
      <c r="B12" s="3168">
        <v>15</v>
      </c>
      <c r="C12" s="3184"/>
      <c r="D12" s="3204"/>
      <c r="E12" s="136" t="s">
        <v>1966</v>
      </c>
      <c r="F12" s="1945"/>
      <c r="G12" s="1945"/>
      <c r="H12" s="1945"/>
      <c r="I12" s="1559"/>
    </row>
    <row r="13" spans="1:12" ht="12.75">
      <c r="A13" s="3181"/>
      <c r="B13" s="3168"/>
      <c r="C13" s="3186"/>
      <c r="D13" s="3204"/>
      <c r="E13" s="136" t="s">
        <v>1967</v>
      </c>
      <c r="F13" s="1945"/>
      <c r="G13" s="1945"/>
      <c r="H13" s="1945"/>
      <c r="I13" s="1559"/>
    </row>
    <row r="14" spans="1:12" ht="12.75">
      <c r="A14" s="3181" t="s">
        <v>1968</v>
      </c>
      <c r="B14" s="3168">
        <v>30</v>
      </c>
      <c r="C14" s="3184">
        <v>5</v>
      </c>
      <c r="D14" s="3204">
        <v>5</v>
      </c>
      <c r="E14" s="136" t="s">
        <v>1969</v>
      </c>
      <c r="F14" s="1945"/>
      <c r="G14" s="1945"/>
      <c r="H14" s="1945"/>
      <c r="I14" s="1559"/>
    </row>
    <row r="15" spans="1:12" ht="12.75">
      <c r="A15" s="3181"/>
      <c r="B15" s="3168"/>
      <c r="C15" s="3185"/>
      <c r="D15" s="3204"/>
      <c r="E15" s="136" t="s">
        <v>1970</v>
      </c>
      <c r="F15" s="1945"/>
      <c r="G15" s="1945"/>
      <c r="H15" s="1945"/>
      <c r="I15" s="1559"/>
    </row>
    <row r="16" spans="1:12" ht="12.75">
      <c r="A16" s="3181"/>
      <c r="B16" s="3168"/>
      <c r="C16" s="3186"/>
      <c r="D16" s="3204"/>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91" t="s">
        <v>2873</v>
      </c>
      <c r="F18" s="3192"/>
      <c r="G18" s="3192"/>
      <c r="H18" s="3192"/>
      <c r="I18" s="3192"/>
      <c r="K18" s="308" t="s">
        <v>1976</v>
      </c>
      <c r="L18" s="308">
        <f>IF(C1="",'数据-汇总表'!E3,SUMIF(项目类型,C1,'数据-汇总表'!E17:E26)+SUMIF(项目类型,C1,'数据-汇总表'!I17:I26))</f>
        <v>1272.47</v>
      </c>
      <c r="M18" s="308">
        <f>IF(C1="",'数据-汇总表'!E3,SUMIF(项目类型,C1,'数据-汇总表'!E17:E26))</f>
        <v>1272.47</v>
      </c>
    </row>
    <row r="19" spans="1:36" ht="15">
      <c r="A19" s="1949" t="s">
        <v>1977</v>
      </c>
      <c r="B19" s="1950" t="s">
        <v>1978</v>
      </c>
      <c r="C19" s="139">
        <f ca="1">SUMIF(INDIRECT("'"&amp;C4&amp;"'"&amp;"!A:A"),'结果表-办公'!B19,INDIRECT("'"&amp;C4&amp;"'"&amp;"!B:B"))</f>
        <v>5822</v>
      </c>
      <c r="D19" s="140">
        <f ca="1">SUMIF(INDIRECT("'"&amp;D4&amp;"'"&amp;"!A:A"),'结果表-办公'!B19,INDIRECT("'"&amp;D4&amp;"'"&amp;"!B:B"))</f>
        <v>5745</v>
      </c>
      <c r="E19" s="1949" t="s">
        <v>1979</v>
      </c>
      <c r="F19" s="1950" t="s">
        <v>1978</v>
      </c>
      <c r="G19" s="141">
        <f ca="1">ROUND(C19*$C$18+D19*$D$18,0)</f>
        <v>5784</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SUMIF(INDIRECT("'"&amp;C4&amp;"'"&amp;"!A:A"),'结果表-办公'!B20,INDIRECT("'"&amp;C4&amp;"'"&amp;"!B:B"))</f>
        <v>45757</v>
      </c>
      <c r="D20" s="143">
        <f ca="1">SUMIF(INDIRECT("'"&amp;D4&amp;"'"&amp;"!A:A"),'结果表-办公'!B20,INDIRECT("'"&amp;D4&amp;"'"&amp;"!B:B"))</f>
        <v>45148</v>
      </c>
      <c r="E20" s="1952"/>
      <c r="F20" s="1157" t="s">
        <v>1982</v>
      </c>
      <c r="G20" s="144">
        <f ca="1">ROUND(C20*$C$18+D20*$D$18,0)</f>
        <v>45453</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1.3402959094864997E-2</v>
      </c>
      <c r="E22" s="134"/>
      <c r="F22" s="134"/>
      <c r="G22" s="134"/>
      <c r="H22" s="134"/>
      <c r="I22" s="134"/>
    </row>
    <row r="23" spans="1:36" ht="13.5" thickBot="1">
      <c r="A23" s="1935"/>
      <c r="B23" s="1935"/>
      <c r="C23" s="1935"/>
      <c r="D23" s="1935"/>
      <c r="E23" s="134"/>
      <c r="F23" s="134"/>
      <c r="G23" s="134"/>
      <c r="H23" s="134"/>
      <c r="I23" s="134"/>
    </row>
    <row r="24" spans="1:36" ht="14.25">
      <c r="A24" s="3175" t="s">
        <v>1986</v>
      </c>
      <c r="B24" s="1950" t="s">
        <v>1978</v>
      </c>
      <c r="C24" s="141">
        <f>IF(B30=0,0,D30)</f>
        <v>0</v>
      </c>
      <c r="D24" s="1957"/>
      <c r="E24" s="134"/>
      <c r="F24" s="134"/>
      <c r="G24" s="134"/>
      <c r="H24" s="134"/>
      <c r="I24" s="134"/>
    </row>
    <row r="25" spans="1:36" ht="14.25">
      <c r="A25" s="317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5784</v>
      </c>
      <c r="D32" s="1963" t="s">
        <v>3103</v>
      </c>
      <c r="E32" s="134"/>
      <c r="F32" s="134"/>
      <c r="G32" s="134"/>
      <c r="H32" s="134"/>
      <c r="I32" s="134"/>
    </row>
    <row r="33" spans="1:15" ht="15">
      <c r="A33" s="894" t="s">
        <v>1993</v>
      </c>
      <c r="B33" s="1964"/>
      <c r="C33" s="1965" t="s">
        <v>3104</v>
      </c>
      <c r="D33" s="1966" t="s">
        <v>3077</v>
      </c>
      <c r="E33" s="1967" t="s">
        <v>1994</v>
      </c>
      <c r="F33" s="1968" t="str">
        <f>IF(D32="楼面单价","取值（单价）","取值（总价）")</f>
        <v>取值（总价）</v>
      </c>
      <c r="G33" s="134"/>
      <c r="H33" s="134"/>
      <c r="I33" s="134"/>
    </row>
    <row r="34" spans="1:15" ht="15">
      <c r="A34" s="1969"/>
      <c r="B34" s="1970" t="s">
        <v>1995</v>
      </c>
      <c r="C34" s="153">
        <f ca="1">IF(C33="自定义",F34,C32-C35)</f>
        <v>4807</v>
      </c>
      <c r="D34" s="970">
        <f ca="1">IF(C33="自定义",ROUND(C34/C32,3),IF(C33="收益比率",SUMIF(INDIRECT("'"&amp;D33&amp;"'"&amp;"!b:b"),"土地收益比率",INDIRECT("'"&amp;D33&amp;"'"&amp;"!c:c")),SUMIF(INDIRECT("'"&amp;D33&amp;"'"&amp;"!b:b"),"土地成本比率",INDIRECT("'"&amp;D33&amp;"'"&amp;"!c:c"))))</f>
        <v>0.83099999999999996</v>
      </c>
      <c r="E34" s="1971" t="s">
        <v>1996</v>
      </c>
      <c r="F34" s="1500"/>
      <c r="G34" s="134"/>
      <c r="H34" s="134"/>
      <c r="I34" s="134"/>
    </row>
    <row r="35" spans="1:15" ht="15.75" thickBot="1">
      <c r="A35" s="1972"/>
      <c r="B35" s="1973" t="s">
        <v>1997</v>
      </c>
      <c r="C35" s="1332">
        <f ca="1">IF(C33="自定义",F35,ROUND(C32*D35,0))</f>
        <v>977</v>
      </c>
      <c r="D35" s="1333">
        <f ca="1">IF(C33="自定义",ROUND(C35/C32,3),IF(C33="收益比率",SUMIF(INDIRECT("'"&amp;D33&amp;"'"&amp;"!b:b"),"建筑物收益比率",INDIRECT("'"&amp;D33&amp;"'"&amp;"!c:c")),SUMIF(INDIRECT("'"&amp;D33&amp;"'"&amp;"!b:b"),"建筑物成本比率",INDIRECT("'"&amp;D33&amp;"'"&amp;"!c:c"))))</f>
        <v>0.16900000000000001</v>
      </c>
      <c r="E35" s="1974" t="s">
        <v>1998</v>
      </c>
      <c r="F35" s="159"/>
      <c r="G35" s="134"/>
      <c r="H35" s="134"/>
      <c r="I35" s="134"/>
    </row>
    <row r="36" spans="1:15" ht="15.75" thickBot="1">
      <c r="A36" s="3195" t="s">
        <v>1999</v>
      </c>
      <c r="B36" s="1975" t="s">
        <v>2000</v>
      </c>
      <c r="C36" s="150"/>
      <c r="D36" s="1976"/>
      <c r="E36" s="1977"/>
      <c r="F36" s="1978"/>
      <c r="G36" s="134"/>
      <c r="H36" s="134"/>
      <c r="I36" s="134"/>
    </row>
    <row r="37" spans="1:15" ht="15.75" thickBot="1">
      <c r="A37" s="3196"/>
      <c r="B37" s="1862" t="s">
        <v>2001</v>
      </c>
      <c r="C37" s="152"/>
      <c r="D37" s="1301"/>
      <c r="E37" s="1301"/>
      <c r="F37" s="1978"/>
      <c r="G37" s="134"/>
      <c r="H37" s="134"/>
      <c r="I37" s="134"/>
    </row>
    <row r="38" spans="1:15" ht="15.75" thickBot="1">
      <c r="A38" s="3197"/>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72" t="s">
        <v>2013</v>
      </c>
      <c r="B45" s="3173"/>
      <c r="C45" s="3174"/>
      <c r="D45" s="160">
        <f ca="1">ROUND(H101*F45,0)</f>
        <v>5784</v>
      </c>
      <c r="E45" s="161" t="s">
        <v>2014</v>
      </c>
      <c r="F45" s="162">
        <v>1</v>
      </c>
      <c r="G45" s="163" t="s">
        <v>2015</v>
      </c>
      <c r="H45" s="134"/>
      <c r="I45" s="134"/>
      <c r="J45" s="3253" t="s">
        <v>2016</v>
      </c>
      <c r="K45" s="3253"/>
      <c r="L45" s="3253"/>
      <c r="M45" s="3253"/>
      <c r="N45" s="3253"/>
      <c r="O45" s="3253"/>
    </row>
    <row r="46" spans="1:15" ht="14.25" customHeight="1">
      <c r="A46" s="3169" t="s">
        <v>2017</v>
      </c>
      <c r="B46" s="3170"/>
      <c r="C46" s="3170"/>
      <c r="D46" s="3170"/>
      <c r="E46" s="3170"/>
      <c r="F46" s="3170"/>
      <c r="G46" s="3171"/>
      <c r="H46" s="1994"/>
      <c r="I46" s="164"/>
      <c r="J46" s="2751">
        <v>1</v>
      </c>
      <c r="K46" s="3234" t="s">
        <v>2018</v>
      </c>
      <c r="L46" s="3234"/>
      <c r="M46" s="3254"/>
      <c r="N46" s="3254"/>
      <c r="O46" s="3254"/>
    </row>
    <row r="47" spans="1:15" ht="12" customHeight="1">
      <c r="A47" s="165" t="s">
        <v>2019</v>
      </c>
      <c r="B47" s="166"/>
      <c r="C47" s="167"/>
      <c r="D47" s="1247" t="s">
        <v>2020</v>
      </c>
      <c r="E47" s="308" t="s">
        <v>2021</v>
      </c>
      <c r="F47" s="168" t="s">
        <v>2022</v>
      </c>
      <c r="G47" s="2774" t="s">
        <v>2023</v>
      </c>
      <c r="H47" s="2775"/>
      <c r="I47" s="164"/>
      <c r="J47" s="2751">
        <v>2</v>
      </c>
      <c r="K47" s="3234" t="s">
        <v>2024</v>
      </c>
      <c r="L47" s="3234"/>
      <c r="M47" s="3255">
        <f>'数据-取费表'!B2</f>
        <v>44230</v>
      </c>
      <c r="N47" s="3255"/>
      <c r="O47" s="3255"/>
    </row>
    <row r="48" spans="1:15" ht="25.5">
      <c r="A48" s="3200" t="s">
        <v>2025</v>
      </c>
      <c r="B48" s="3183"/>
      <c r="C48" s="3183"/>
      <c r="D48" s="2549">
        <f ca="1">IF(H48="情况1",0,IF(H48="情况2",D52,IF(H48="情况3",D53,IF(H48="情况4",D54))))</f>
        <v>309</v>
      </c>
      <c r="E48" s="2559" t="str">
        <f>IF(H48="情况4","(销售额-原购置价)×税（费）率","销售额×税（费）率")</f>
        <v>(销售额-原购置价)×税（费）率</v>
      </c>
      <c r="F48" s="2776">
        <f>IF(H48="情况1","免征",'数据-取费表'!B41)</f>
        <v>5.6000000000000001E-2</v>
      </c>
      <c r="G48" s="2777" t="s">
        <v>2026</v>
      </c>
      <c r="H48" s="2778" t="s">
        <v>3113</v>
      </c>
      <c r="I48" s="1994"/>
      <c r="J48" s="2751">
        <v>3</v>
      </c>
      <c r="K48" s="3234" t="s">
        <v>2027</v>
      </c>
      <c r="L48" s="3234"/>
      <c r="M48" s="3256">
        <f ca="1">H101</f>
        <v>5784</v>
      </c>
      <c r="N48" s="3256"/>
      <c r="O48" s="3256"/>
    </row>
    <row r="49" spans="1:35" ht="25.5" customHeight="1">
      <c r="A49" s="2558" t="s">
        <v>2028</v>
      </c>
      <c r="B49" s="3167" t="s">
        <v>2029</v>
      </c>
      <c r="C49" s="3167"/>
      <c r="D49" s="1777">
        <v>0</v>
      </c>
      <c r="E49" s="330" t="s">
        <v>2030</v>
      </c>
      <c r="F49" s="2652" t="s">
        <v>34</v>
      </c>
      <c r="G49" s="3240"/>
      <c r="H49" s="2530" t="s">
        <v>2876</v>
      </c>
      <c r="I49" s="2531"/>
      <c r="J49" s="2751">
        <v>4</v>
      </c>
      <c r="K49" s="3234" t="str">
        <f>IF(项目基本情况!E8="房地产抵押价值","房地产抵押价值","抵押担保权已注销时的房地产抵押价值")</f>
        <v>房地产抵押价值</v>
      </c>
      <c r="L49" s="3234"/>
      <c r="M49" s="3256">
        <f ca="1">IF(项目基本情况!E8="房地产抵押价值",H107,H109)</f>
        <v>5784</v>
      </c>
      <c r="N49" s="3256"/>
      <c r="O49" s="3256"/>
    </row>
    <row r="50" spans="1:35" ht="25.5" customHeight="1">
      <c r="A50" s="2779"/>
      <c r="B50" s="3167" t="s">
        <v>2031</v>
      </c>
      <c r="C50" s="3167"/>
      <c r="D50" s="2780"/>
      <c r="E50" s="338"/>
      <c r="F50" s="2652"/>
      <c r="G50" s="3241"/>
      <c r="H50" s="2532" t="s">
        <v>2877</v>
      </c>
      <c r="I50" s="2531"/>
      <c r="J50" s="3253" t="s">
        <v>2032</v>
      </c>
      <c r="K50" s="3253"/>
      <c r="L50" s="3253"/>
      <c r="M50" s="3253"/>
      <c r="N50" s="3253"/>
      <c r="O50" s="3253"/>
    </row>
    <row r="51" spans="1:35" ht="20.45" customHeight="1">
      <c r="A51" s="2781"/>
      <c r="B51" s="3167" t="s">
        <v>2033</v>
      </c>
      <c r="C51" s="3167"/>
      <c r="D51" s="1247"/>
      <c r="E51" s="333"/>
      <c r="F51" s="2652"/>
      <c r="G51" s="3242"/>
      <c r="H51" s="2532" t="s">
        <v>2878</v>
      </c>
      <c r="I51" s="2531"/>
      <c r="J51" s="2752" t="s">
        <v>2034</v>
      </c>
      <c r="K51" s="3234" t="s">
        <v>2035</v>
      </c>
      <c r="L51" s="3234"/>
      <c r="M51" s="2752" t="s">
        <v>2036</v>
      </c>
      <c r="N51" s="2752" t="s">
        <v>2037</v>
      </c>
      <c r="O51" s="2752" t="s">
        <v>2038</v>
      </c>
    </row>
    <row r="52" spans="1:35" ht="24" customHeight="1">
      <c r="A52" s="2560" t="s">
        <v>2039</v>
      </c>
      <c r="B52" s="3167" t="s">
        <v>2040</v>
      </c>
      <c r="C52" s="3167"/>
      <c r="D52" s="1247">
        <f ca="1">ROUND(D45*'数据-取费表'!B41/(1+'数据-取费表'!C42),0)</f>
        <v>308</v>
      </c>
      <c r="E52" s="2559" t="s">
        <v>2041</v>
      </c>
      <c r="F52" s="2782">
        <f>'数据-取费表'!B41</f>
        <v>5.6000000000000001E-2</v>
      </c>
      <c r="G52" s="2783"/>
      <c r="H52" s="2772"/>
      <c r="I52" s="1995"/>
      <c r="J52" s="2751">
        <v>1</v>
      </c>
      <c r="K52" s="3235" t="s">
        <v>2042</v>
      </c>
      <c r="L52" s="3235"/>
      <c r="M52" s="2753">
        <f ca="1">D48</f>
        <v>309</v>
      </c>
      <c r="N52" s="2751" t="str">
        <f>E48</f>
        <v>(销售额-原购置价)×税（费）率</v>
      </c>
      <c r="O52" s="2754">
        <f>F48</f>
        <v>5.6000000000000001E-2</v>
      </c>
    </row>
    <row r="53" spans="1:35" ht="12" customHeight="1">
      <c r="A53" s="2560" t="s">
        <v>2043</v>
      </c>
      <c r="B53" s="3193" t="s">
        <v>3028</v>
      </c>
      <c r="C53" s="3194"/>
      <c r="D53" s="1247">
        <f ca="1">ROUND(D45*'数据-取费表'!B41/(1+'数据-取费表'!C42),0)</f>
        <v>308</v>
      </c>
      <c r="E53" s="2559" t="s">
        <v>2041</v>
      </c>
      <c r="F53" s="2782">
        <f>'数据-取费表'!B41</f>
        <v>5.6000000000000001E-2</v>
      </c>
      <c r="G53" s="2783"/>
      <c r="H53" s="2772"/>
      <c r="I53" s="1995"/>
      <c r="J53" s="2751">
        <v>2</v>
      </c>
      <c r="K53" s="3235" t="s">
        <v>2044</v>
      </c>
      <c r="L53" s="3235"/>
      <c r="M53" s="2753">
        <f t="shared" ref="M53:O54" ca="1" si="0">D55</f>
        <v>3</v>
      </c>
      <c r="N53" s="2751" t="str">
        <f t="shared" si="0"/>
        <v>销售额×税（费）率</v>
      </c>
      <c r="O53" s="2754">
        <f t="shared" si="0"/>
        <v>5.0000000000000001E-4</v>
      </c>
    </row>
    <row r="54" spans="1:35" ht="12" customHeight="1">
      <c r="A54" s="2560" t="s">
        <v>2045</v>
      </c>
      <c r="B54" s="3193" t="s">
        <v>3029</v>
      </c>
      <c r="C54" s="3194"/>
      <c r="D54" s="1247">
        <f ca="1">C68</f>
        <v>309</v>
      </c>
      <c r="E54" s="333" t="s">
        <v>2046</v>
      </c>
      <c r="F54" s="2782">
        <f>'数据-取费表'!B41</f>
        <v>5.6000000000000001E-2</v>
      </c>
      <c r="G54" s="2783"/>
      <c r="H54" s="2784"/>
      <c r="I54" s="1995"/>
      <c r="J54" s="2751">
        <v>3</v>
      </c>
      <c r="K54" s="3235" t="s">
        <v>2047</v>
      </c>
      <c r="L54" s="3235"/>
      <c r="M54" s="2753">
        <f t="shared" ca="1" si="0"/>
        <v>593</v>
      </c>
      <c r="N54" s="2751" t="str">
        <f t="shared" si="0"/>
        <v>增值额×税（费）率</v>
      </c>
      <c r="O54" s="2755" t="str">
        <f t="shared" si="0"/>
        <v>——</v>
      </c>
    </row>
    <row r="55" spans="1:35" ht="24" customHeight="1">
      <c r="A55" s="3182" t="s">
        <v>2048</v>
      </c>
      <c r="B55" s="3183"/>
      <c r="C55" s="3183"/>
      <c r="D55" s="2549">
        <f ca="1">IF(H55="个人住宅",0,ROUND(D45*I55,0))</f>
        <v>3</v>
      </c>
      <c r="E55" s="2559" t="s">
        <v>2049</v>
      </c>
      <c r="F55" s="2782">
        <f>IF(H55="正常",I55,"免征")</f>
        <v>5.0000000000000001E-4</v>
      </c>
      <c r="G55" s="2783"/>
      <c r="H55" s="2778" t="s">
        <v>3072</v>
      </c>
      <c r="I55" s="170">
        <f>'数据-取费表'!B49</f>
        <v>5.0000000000000001E-4</v>
      </c>
      <c r="J55" s="2751" t="str">
        <f>IF(H59="非个人房产","",4)</f>
        <v/>
      </c>
      <c r="K55" s="3235" t="str">
        <f>IF(H59="非个人房产","——","个人所得税")</f>
        <v>——</v>
      </c>
      <c r="L55" s="3235"/>
      <c r="M55" s="2756" t="str">
        <f>D59</f>
        <v>——</v>
      </c>
      <c r="N55" s="2230" t="str">
        <f>E59</f>
        <v>——</v>
      </c>
      <c r="O55" s="2757" t="str">
        <f>F59</f>
        <v>——</v>
      </c>
    </row>
    <row r="56" spans="1:35" ht="24.75">
      <c r="A56" s="3182" t="s">
        <v>2050</v>
      </c>
      <c r="B56" s="3183"/>
      <c r="C56" s="3183"/>
      <c r="D56" s="2549">
        <f ca="1">IF(H56="个人住宅",D57,D58)</f>
        <v>593</v>
      </c>
      <c r="E56" s="2559" t="s">
        <v>2051</v>
      </c>
      <c r="F56" s="2782" t="str">
        <f>IF(H56="正常",F58,"免征")</f>
        <v>——</v>
      </c>
      <c r="G56" s="2785" t="s">
        <v>2052</v>
      </c>
      <c r="H56" s="2786" t="s">
        <v>3072</v>
      </c>
      <c r="I56" s="1996"/>
      <c r="J56" s="2751" t="str">
        <f>IF(项目基本情况!K6="上海银行",IF(J55="",4,J55+1),"")</f>
        <v/>
      </c>
      <c r="K56" s="3258" t="str">
        <f>IF(项目基本情况!K6="上海银行","其他处置费用","")</f>
        <v/>
      </c>
      <c r="L56" s="3259"/>
      <c r="M56" s="2753" t="str">
        <f>IF(项目基本情况!K6="上海银行",M69,"")</f>
        <v/>
      </c>
      <c r="N56" s="3258" t="str">
        <f>IF(项目基本情况!K6="上海银行","包含处置中涉及的律师、诉讼、拍卖、评估等费用","")</f>
        <v/>
      </c>
      <c r="O56" s="3261"/>
    </row>
    <row r="57" spans="1:35" ht="12.75">
      <c r="A57" s="2560" t="s">
        <v>2028</v>
      </c>
      <c r="B57" s="3193" t="s">
        <v>2053</v>
      </c>
      <c r="C57" s="3194"/>
      <c r="D57" s="1777">
        <v>0</v>
      </c>
      <c r="E57" s="330" t="s">
        <v>2030</v>
      </c>
      <c r="F57" s="308"/>
      <c r="G57" s="2783"/>
      <c r="H57" s="2787"/>
      <c r="I57" s="1996"/>
      <c r="J57" s="3235">
        <f>IF(AND(J55="",J56=""),4,IF(项目基本情况!K6="上海银行",'结果表-办公'!J56+1,'结果表-办公'!J55+1))</f>
        <v>4</v>
      </c>
      <c r="K57" s="3235" t="s">
        <v>2054</v>
      </c>
      <c r="L57" s="2758" t="s">
        <v>2055</v>
      </c>
      <c r="M57" s="2759"/>
      <c r="N57" s="2760">
        <f ca="1">SUMIF(M52:M56,"&lt;9e307")</f>
        <v>905</v>
      </c>
      <c r="O57" s="2761"/>
      <c r="P57" s="2921">
        <f ca="1">N57/M49</f>
        <v>0.15646611341632088</v>
      </c>
    </row>
    <row r="58" spans="1:35" ht="24.75">
      <c r="A58" s="2560" t="s">
        <v>2039</v>
      </c>
      <c r="B58" s="3193" t="s">
        <v>2056</v>
      </c>
      <c r="C58" s="3167"/>
      <c r="D58" s="2549">
        <f ca="1">IF(H58="转让取得",C81,C97)</f>
        <v>593</v>
      </c>
      <c r="E58" s="2559" t="s">
        <v>2051</v>
      </c>
      <c r="F58" s="308" t="s">
        <v>34</v>
      </c>
      <c r="G58" s="2783"/>
      <c r="H58" s="2786" t="s">
        <v>3114</v>
      </c>
      <c r="I58" s="1996"/>
      <c r="J58" s="3235"/>
      <c r="K58" s="3235"/>
      <c r="L58" s="2758" t="s">
        <v>2057</v>
      </c>
      <c r="M58" s="2762"/>
      <c r="N58" s="2763" t="str">
        <f ca="1">NUMBERSTRING(INT(N57*10000),2)&amp;"元整"</f>
        <v>玖佰零伍万元整</v>
      </c>
      <c r="O58" s="2764"/>
    </row>
    <row r="59" spans="1:35" ht="24.75" thickBot="1">
      <c r="A59" s="3238" t="s">
        <v>2058</v>
      </c>
      <c r="B59" s="3239"/>
      <c r="C59" s="3239"/>
      <c r="D59" s="2788" t="str">
        <f>IF(H59="非个人房产","——",IF(H59="个人住宅（满五唯一有凭证）",0,IF(H59="个人其他（无凭证）",ROUND(D45*F59,0),ROUND(C67*F59,0))))</f>
        <v>——</v>
      </c>
      <c r="E59" s="2789" t="str">
        <f>IF(H59="非个人房产","——",IF(H59="个人其他（无凭证）","销售额×税（费）率",IF(H59="个人住宅（满五唯一有凭证）","免征","差额计税")))</f>
        <v>——</v>
      </c>
      <c r="F59" s="2790" t="str">
        <f>IF(OR(H59="非个人房产",H59="个人住宅（满五唯一有凭证）"),"——",IF(H59="个人其他（有凭证）",20%,1%))</f>
        <v>——</v>
      </c>
      <c r="G59" s="2791" t="s">
        <v>2052</v>
      </c>
      <c r="H59" s="2534" t="s">
        <v>3115</v>
      </c>
      <c r="I59" s="2533" t="s">
        <v>2879</v>
      </c>
      <c r="J59" s="3236">
        <f>J57+1</f>
        <v>5</v>
      </c>
      <c r="K59" s="3235" t="s">
        <v>2059</v>
      </c>
      <c r="L59" s="2751" t="s">
        <v>2055</v>
      </c>
      <c r="M59" s="2765"/>
      <c r="N59" s="2766">
        <f ca="1">M49-N57</f>
        <v>4879</v>
      </c>
      <c r="O59" s="2767"/>
    </row>
    <row r="60" spans="1:35" ht="12" customHeight="1">
      <c r="A60" s="1997"/>
      <c r="B60" s="1935"/>
      <c r="C60" s="1935"/>
      <c r="D60" s="1935"/>
      <c r="E60" s="1765"/>
      <c r="F60" s="1996"/>
      <c r="G60" s="1996"/>
      <c r="H60" s="1998"/>
      <c r="I60" s="134"/>
      <c r="J60" s="3237"/>
      <c r="K60" s="3235"/>
      <c r="L60" s="2758" t="s">
        <v>2057</v>
      </c>
      <c r="M60" s="2762"/>
      <c r="N60" s="2763" t="str">
        <f ca="1">NUMBERSTRING(INT(N59*10000),2)&amp;"元整"</f>
        <v>肆仟捌佰柒拾玖万元整</v>
      </c>
      <c r="O60" s="2764"/>
    </row>
    <row r="61" spans="1:35" ht="13.5" thickBot="1">
      <c r="A61" s="3180" t="s">
        <v>2060</v>
      </c>
      <c r="B61" s="3180"/>
      <c r="C61" s="3180"/>
      <c r="D61" s="3180"/>
      <c r="E61" s="3180"/>
      <c r="F61" s="1996"/>
      <c r="G61" s="1996"/>
      <c r="H61" s="1998"/>
      <c r="I61" s="134"/>
      <c r="J61" s="2751">
        <f>J59+1</f>
        <v>6</v>
      </c>
      <c r="K61" s="3235" t="s">
        <v>2061</v>
      </c>
      <c r="L61" s="3235"/>
      <c r="M61" s="2768"/>
      <c r="N61" s="2769">
        <f ca="1">ROUND(N59*10000/'数据-汇总表'!E3,0)</f>
        <v>28289</v>
      </c>
      <c r="O61" s="2770"/>
    </row>
    <row r="62" spans="1:35" ht="12.75">
      <c r="A62" s="3198" t="s">
        <v>2062</v>
      </c>
      <c r="B62" s="3199"/>
      <c r="C62" s="2211"/>
      <c r="D62" s="2211" t="s">
        <v>2063</v>
      </c>
      <c r="E62" s="171" t="s">
        <v>2064</v>
      </c>
      <c r="F62" s="1996"/>
      <c r="G62" s="1996"/>
      <c r="H62" s="1998"/>
      <c r="I62" s="134"/>
    </row>
    <row r="63" spans="1:35" ht="12.75">
      <c r="A63" s="178" t="s">
        <v>775</v>
      </c>
      <c r="B63" s="172" t="s">
        <v>2065</v>
      </c>
      <c r="C63" s="2792">
        <f ca="1">ROUND((C64+C65)/(1+'数据-取费表'!C42),0)</f>
        <v>5509</v>
      </c>
      <c r="D63" s="172"/>
      <c r="E63" s="173"/>
      <c r="F63" s="1996"/>
      <c r="G63" s="1996"/>
      <c r="H63" s="1998"/>
      <c r="I63" s="134"/>
      <c r="J63" s="3260" t="s">
        <v>2066</v>
      </c>
      <c r="K63" s="1503" t="s">
        <v>2067</v>
      </c>
      <c r="L63" s="1503">
        <f ca="1">IF(M49&gt;10000,M49*0.5%,IF(AND(M49&gt;1000,M49&lt;=10000),M49*1%,IF(AND(M49&gt;100,M49&lt;=1000),M49*3%,IF(AND(M49&gt;10,M49&lt;=100),M49*5%,M49*8%))))</f>
        <v>57.84</v>
      </c>
      <c r="M63" s="308">
        <f ca="1">ROUND(L63,1)</f>
        <v>57.8</v>
      </c>
      <c r="N63" s="2771"/>
      <c r="Z63" s="1940"/>
      <c r="AI63" s="1941"/>
    </row>
    <row r="64" spans="1:35" ht="14.25" customHeight="1">
      <c r="A64" s="174" t="s">
        <v>770</v>
      </c>
      <c r="B64" s="175" t="s">
        <v>2068</v>
      </c>
      <c r="C64" s="2793">
        <f ca="1">D45</f>
        <v>5784</v>
      </c>
      <c r="D64" s="175" t="s">
        <v>32</v>
      </c>
      <c r="E64" s="177"/>
      <c r="F64" s="1996"/>
      <c r="G64" s="1996"/>
      <c r="H64" s="1998"/>
      <c r="I64" s="134"/>
      <c r="J64" s="3260"/>
      <c r="K64" s="1503" t="s">
        <v>2069</v>
      </c>
      <c r="L64" s="1503">
        <f ca="1">IF(M49&gt;2000,M49*0.5%,IF(AND(M49&gt;1000,M49&lt;=2000),M49*0.6%,IF(AND(M49&gt;500,M49&lt;=1000),M49*0.7%,IF(AND(M49&gt;200,M49&lt;=500),M49*0.8%,IF(AND(M49&gt;100,M49&lt;=200),M49*0.9%,IF(AND(M49&gt;50,M49&lt;=100),M49*1%,IF(AND(M49&gt;20,M49&lt;=50),M49*1.5%,IF(AND(M49&gt;10,M49&lt;=20),M49*2%,IF(AND(M49&gt;1,M49&lt;=10),M49*2.5%)))))))))</f>
        <v>28.92</v>
      </c>
      <c r="M64" s="308">
        <f t="shared" ref="M64:M65" ca="1" si="1">ROUND(L64,1)</f>
        <v>28.9</v>
      </c>
      <c r="N64" s="2772" t="s">
        <v>2070</v>
      </c>
      <c r="Z64" s="1940"/>
      <c r="AI64" s="1941"/>
    </row>
    <row r="65" spans="1:35" ht="14.25" customHeight="1">
      <c r="A65" s="174" t="s">
        <v>771</v>
      </c>
      <c r="B65" s="175" t="s">
        <v>2071</v>
      </c>
      <c r="C65" s="2794"/>
      <c r="D65" s="175"/>
      <c r="E65" s="177"/>
      <c r="F65" s="1996"/>
      <c r="G65" s="1996"/>
      <c r="H65" s="1998"/>
      <c r="I65" s="134"/>
      <c r="J65" s="3260"/>
      <c r="K65" s="1503" t="s">
        <v>2072</v>
      </c>
      <c r="L65" s="1503">
        <f ca="1">IF(M49&gt;1000,M49*0.1%,IF(AND(M49&gt;500,M49&lt;=1000),M49*0.5%,IF(AND(M49&gt;50,M49&lt;=500),M49*1%,IF(AND(M49&gt;1,M49&lt;=50),M49*1.5%))))</f>
        <v>5.7839999999999998</v>
      </c>
      <c r="M65" s="308">
        <f t="shared" ca="1" si="1"/>
        <v>5.8</v>
      </c>
      <c r="N65" s="2772" t="s">
        <v>2070</v>
      </c>
      <c r="Z65" s="1940"/>
      <c r="AI65" s="1941"/>
    </row>
    <row r="66" spans="1:35" ht="14.25" customHeight="1">
      <c r="A66" s="178" t="s">
        <v>772</v>
      </c>
      <c r="B66" s="179" t="s">
        <v>2073</v>
      </c>
      <c r="C66" s="2795"/>
      <c r="D66" s="179" t="s">
        <v>32</v>
      </c>
      <c r="E66" s="1511" t="s">
        <v>1337</v>
      </c>
      <c r="F66" s="1996"/>
      <c r="G66" s="1996"/>
      <c r="H66" s="1998"/>
      <c r="I66" s="134"/>
      <c r="J66" s="3260"/>
      <c r="K66" s="1503" t="s">
        <v>2074</v>
      </c>
      <c r="L66" s="1503">
        <f ca="1">M49*0.5%</f>
        <v>28.92</v>
      </c>
      <c r="M66" s="308">
        <f ca="1">IF(L66&gt;0.5,0.5,ROUND(L66,0))</f>
        <v>0.5</v>
      </c>
      <c r="N66" s="2772" t="s">
        <v>2075</v>
      </c>
      <c r="Z66" s="1940"/>
      <c r="AI66" s="1941"/>
    </row>
    <row r="67" spans="1:35" ht="14.25" customHeight="1">
      <c r="A67" s="178" t="s">
        <v>773</v>
      </c>
      <c r="B67" s="179" t="s">
        <v>2076</v>
      </c>
      <c r="C67" s="2796">
        <f ca="1">C63-C66</f>
        <v>5509</v>
      </c>
      <c r="D67" s="175" t="s">
        <v>32</v>
      </c>
      <c r="E67" s="177"/>
      <c r="F67" s="1996"/>
      <c r="G67" s="1996"/>
      <c r="H67" s="1998"/>
      <c r="I67" s="134"/>
      <c r="J67" s="3260"/>
      <c r="K67" s="1503" t="s">
        <v>2077</v>
      </c>
      <c r="L67" s="1503">
        <f ca="1">IF(M49&gt;=10000,(8.25+(M49-10000)*0.01%),IF(AND(M49&gt;=8000,M49&lt;10000),(7.85+(M49-8000)*0.02%),IF(AND(M49&gt;=5000,M49&lt;8000),(6.65+(M49-5000)*0.04%),IF(AND(M49&gt;=2000,M49&lt;5000),(4.25+(PM49-2000)*0.08%),IF(AND(M49&gt;=1000,M49&lt;2000),(2.75+(M49-1000)*0.15%),IF(AND(M49&gt;=100,M49&lt;1000),(0.5+(M49-100)*0.25%),IF(AND(M49&gt;0,M49&lt;100),M49*0.5%)))))))</f>
        <v>6.9636000000000005</v>
      </c>
      <c r="M67" s="308">
        <f ca="1">ROUND(L67*0.9,1)</f>
        <v>6.3</v>
      </c>
      <c r="N67" s="2771"/>
      <c r="Z67" s="1940"/>
      <c r="AI67" s="1941"/>
    </row>
    <row r="68" spans="1:35" ht="14.25" customHeight="1" thickBot="1">
      <c r="A68" s="181" t="s">
        <v>774</v>
      </c>
      <c r="B68" s="182" t="s">
        <v>2078</v>
      </c>
      <c r="C68" s="2797">
        <f ca="1">IF(C67&lt;=0,0,ROUND(C67*D68,0))</f>
        <v>309</v>
      </c>
      <c r="D68" s="2798">
        <f>'数据-取费表'!B41</f>
        <v>5.6000000000000001E-2</v>
      </c>
      <c r="E68" s="184"/>
      <c r="F68" s="1996"/>
      <c r="G68" s="1996"/>
      <c r="H68" s="1998"/>
      <c r="I68" s="134"/>
      <c r="J68" s="3260"/>
      <c r="K68" s="1503" t="s">
        <v>2079</v>
      </c>
      <c r="L68" s="1503">
        <f ca="1">IF(M49&gt;10000,M49*0.5%,IF(AND(M49&gt;5000,M49&lt;=10000),M49*1%,IF(AND(M49&gt;1000,M49&lt;=5000),M49*2%,IF(AND(M49&gt;200,M49&lt;=1000),M49*3%,M49*5%))))</f>
        <v>57.84</v>
      </c>
      <c r="M68" s="308">
        <f ca="1">ROUND(L68,1)</f>
        <v>57.8</v>
      </c>
      <c r="N68" s="2771"/>
      <c r="Z68" s="1940"/>
      <c r="AI68" s="1941"/>
    </row>
    <row r="69" spans="1:35" s="1960" customFormat="1" ht="16.5" customHeight="1">
      <c r="A69" s="1999"/>
      <c r="B69" s="2000"/>
      <c r="C69" s="2001"/>
      <c r="D69" s="2002"/>
      <c r="E69" s="2003"/>
      <c r="F69" s="1765"/>
      <c r="G69" s="1765"/>
      <c r="H69" s="1764"/>
      <c r="I69" s="1935"/>
      <c r="J69" s="3260"/>
      <c r="K69" s="1503" t="s">
        <v>2080</v>
      </c>
      <c r="L69" s="1503"/>
      <c r="M69" s="308">
        <f ca="1">ROUND(SUM(M63:M68),0)</f>
        <v>157</v>
      </c>
      <c r="N69" s="2773">
        <f ca="1">M69/M49</f>
        <v>2.7143845089903182E-2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9" t="s">
        <v>2081</v>
      </c>
      <c r="B70" s="3220"/>
      <c r="C70" s="3220"/>
      <c r="D70" s="3220"/>
      <c r="E70" s="3220"/>
      <c r="F70" s="3220"/>
      <c r="G70" s="3220"/>
      <c r="H70" s="3220"/>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8" t="s">
        <v>2062</v>
      </c>
      <c r="B71" s="3199"/>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5509</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3579</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3546</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v>2110</v>
      </c>
      <c r="D75" s="175" t="s">
        <v>32</v>
      </c>
      <c r="E75" s="190" t="s">
        <v>2086</v>
      </c>
      <c r="F75" s="2800" t="s">
        <v>3116</v>
      </c>
      <c r="G75" s="190" t="s">
        <v>2087</v>
      </c>
      <c r="H75" s="2801">
        <v>13</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1372</v>
      </c>
      <c r="D76" s="2802">
        <v>0.05</v>
      </c>
      <c r="E76" s="3193" t="s">
        <v>2089</v>
      </c>
      <c r="F76" s="3167"/>
      <c r="G76" s="3167"/>
      <c r="H76" s="3218"/>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64</v>
      </c>
      <c r="D77" s="2803">
        <f>'数据-取费表'!B48+'数据-取费表'!B49</f>
        <v>3.0499999999999999E-2</v>
      </c>
      <c r="E77" s="2549" t="s">
        <v>2091</v>
      </c>
      <c r="F77" s="192"/>
      <c r="G77" s="2010" t="s">
        <v>3117</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33</v>
      </c>
      <c r="D78" s="2805">
        <f>'数据-取费表'!B43</f>
        <v>6.000000000000001E-3</v>
      </c>
      <c r="E78" s="3177" t="s">
        <v>2093</v>
      </c>
      <c r="F78" s="3178"/>
      <c r="G78" s="3178"/>
      <c r="H78" s="318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1930</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0.53925677563565244</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593</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9" t="s">
        <v>2097</v>
      </c>
      <c r="B83" s="3220"/>
      <c r="C83" s="3220"/>
      <c r="D83" s="3220"/>
      <c r="E83" s="3220"/>
      <c r="F83" s="3220"/>
      <c r="G83" s="3220"/>
      <c r="H83" s="3220"/>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8" t="s">
        <v>2062</v>
      </c>
      <c r="B84" s="3199"/>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5509</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33</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3025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62" t="s">
        <v>2871</v>
      </c>
      <c r="H90" s="3263"/>
      <c r="I90" s="2009"/>
      <c r="J90" s="2749" t="s">
        <v>3026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77" t="s">
        <v>2106</v>
      </c>
      <c r="F91" s="3178"/>
      <c r="G91" s="317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77" t="s">
        <v>2109</v>
      </c>
      <c r="F92" s="3178"/>
      <c r="G92" s="3178"/>
      <c r="H92" s="3187"/>
      <c r="I92" s="2009"/>
      <c r="J92" s="2750" t="s">
        <v>3027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33</v>
      </c>
      <c r="D93" s="2805">
        <f>'数据-取费表'!B43</f>
        <v>6.000000000000001E-3</v>
      </c>
      <c r="E93" s="3177" t="s">
        <v>2093</v>
      </c>
      <c r="F93" s="3178"/>
      <c r="G93" s="3178"/>
      <c r="H93" s="318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88" t="s">
        <v>2113</v>
      </c>
      <c r="F94" s="3189"/>
      <c r="G94" s="3189"/>
      <c r="H94" s="3190"/>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5476</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165.93939393939394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3274</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61" t="s">
        <v>2115</v>
      </c>
      <c r="B100" s="3162"/>
      <c r="C100" s="3162"/>
      <c r="D100" s="3179"/>
      <c r="E100" s="3162" t="s">
        <v>2116</v>
      </c>
      <c r="F100" s="3162"/>
      <c r="G100" s="3162"/>
      <c r="H100" s="3179"/>
      <c r="I100" s="134"/>
    </row>
    <row r="101" spans="1:35" ht="18.75" customHeight="1">
      <c r="A101" s="3243" t="s">
        <v>2117</v>
      </c>
      <c r="B101" s="3244"/>
      <c r="C101" s="2813" t="str">
        <f>C4</f>
        <v>比较法-办公</v>
      </c>
      <c r="D101" s="2814" t="str">
        <f>D4</f>
        <v>收益法-办公</v>
      </c>
      <c r="E101" s="3257" t="s">
        <v>2118</v>
      </c>
      <c r="F101" s="3211"/>
      <c r="G101" s="2015" t="s">
        <v>2119</v>
      </c>
      <c r="H101" s="2823">
        <f ca="1">H118</f>
        <v>5784</v>
      </c>
      <c r="I101" s="134"/>
    </row>
    <row r="102" spans="1:35" ht="18.75" customHeight="1">
      <c r="A102" s="3213" t="s">
        <v>2120</v>
      </c>
      <c r="B102" s="2812" t="s">
        <v>2119</v>
      </c>
      <c r="C102" s="2813">
        <f ca="1">C19</f>
        <v>5822</v>
      </c>
      <c r="D102" s="2814">
        <f ca="1">D19</f>
        <v>5745</v>
      </c>
      <c r="E102" s="3257"/>
      <c r="F102" s="3211"/>
      <c r="G102" s="2015" t="s">
        <v>2121</v>
      </c>
      <c r="H102" s="2783">
        <f ca="1">I118</f>
        <v>45455</v>
      </c>
      <c r="I102" s="134"/>
    </row>
    <row r="103" spans="1:35" ht="42.75" customHeight="1">
      <c r="A103" s="3213"/>
      <c r="B103" s="2812" t="s">
        <v>2121</v>
      </c>
      <c r="C103" s="2815">
        <f ca="1">C20</f>
        <v>45757</v>
      </c>
      <c r="D103" s="2816">
        <f ca="1">D20</f>
        <v>45148</v>
      </c>
      <c r="E103" s="3251" t="s">
        <v>2122</v>
      </c>
      <c r="F103" s="3252"/>
      <c r="G103" s="2016" t="s">
        <v>2123</v>
      </c>
      <c r="H103" s="2823">
        <f>IF(D36="正常操作",H104+H105+H106,H105+H106)</f>
        <v>0</v>
      </c>
      <c r="I103" s="134"/>
    </row>
    <row r="104" spans="1:35" ht="18.75" customHeight="1">
      <c r="A104" s="3213" t="s">
        <v>2124</v>
      </c>
      <c r="B104" s="2817" t="s">
        <v>2119</v>
      </c>
      <c r="C104" s="2818">
        <f ca="1">H118</f>
        <v>5784</v>
      </c>
      <c r="D104" s="2819"/>
      <c r="E104" s="1862" t="s">
        <v>2125</v>
      </c>
      <c r="F104" s="1853"/>
      <c r="G104" s="2016" t="s">
        <v>2123</v>
      </c>
      <c r="H104" s="2824">
        <f>IF(D36="同一抵押权人同一抵押物续贷",C36&amp;"（续贷，未扣减，详见特别提示）",C36)</f>
        <v>0</v>
      </c>
      <c r="I104" s="134"/>
    </row>
    <row r="105" spans="1:35" ht="18.75" customHeight="1" thickBot="1">
      <c r="A105" s="3214"/>
      <c r="B105" s="2820" t="s">
        <v>2121</v>
      </c>
      <c r="C105" s="2821">
        <f ca="1">I118</f>
        <v>45455</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10" t="str">
        <f>IF(项目基本情况!E8="已注销","——","3.房地产抵押价值")</f>
        <v>3.房地产抵押价值</v>
      </c>
      <c r="F107" s="3211"/>
      <c r="G107" s="2015" t="s">
        <v>2119</v>
      </c>
      <c r="H107" s="2823">
        <f ca="1">IF(E107="——","——",H101-H103)</f>
        <v>5784</v>
      </c>
      <c r="I107" s="134"/>
    </row>
    <row r="108" spans="1:35" ht="18.75" customHeight="1">
      <c r="A108" s="134"/>
      <c r="B108" s="134"/>
      <c r="C108" s="134"/>
      <c r="D108" s="134"/>
      <c r="E108" s="3210"/>
      <c r="F108" s="3211"/>
      <c r="G108" s="2015" t="s">
        <v>2121</v>
      </c>
      <c r="H108" s="2783">
        <f ca="1">ROUND(H107*10000/'数据-汇总表'!E3,0)</f>
        <v>33537</v>
      </c>
      <c r="I108" s="134"/>
    </row>
    <row r="109" spans="1:35" ht="18.75" customHeight="1">
      <c r="A109" s="134"/>
      <c r="B109" s="134"/>
      <c r="C109" s="134"/>
      <c r="D109" s="134"/>
      <c r="E109" s="3210" t="str">
        <f>IF(项目基本情况!E8="已注销及未注销","4.抵押担保权已注销时的房地产抵押价值",IF(项目基本情况!E8="已注销","3.抵押担保权已注销时的房地产抵押价值","——"))</f>
        <v>——</v>
      </c>
      <c r="F109" s="3211"/>
      <c r="G109" s="2015" t="s">
        <v>2119</v>
      </c>
      <c r="H109" s="2826" t="str">
        <f>IF(E109="——","——",H101-H105-H106)</f>
        <v>——</v>
      </c>
      <c r="I109" s="134"/>
    </row>
    <row r="110" spans="1:35" ht="18.75" customHeight="1">
      <c r="A110" s="134"/>
      <c r="B110" s="134"/>
      <c r="C110" s="134"/>
      <c r="D110" s="134"/>
      <c r="E110" s="3210"/>
      <c r="F110" s="3211"/>
      <c r="G110" s="2015" t="s">
        <v>2121</v>
      </c>
      <c r="H110" s="2783" t="str">
        <f>IF(H109="——","——",ROUND(H109*10000/'数据-汇总表'!E3,0))</f>
        <v>——</v>
      </c>
      <c r="I110" s="134"/>
    </row>
    <row r="111" spans="1:35" ht="18.75" customHeight="1">
      <c r="A111" s="134"/>
      <c r="B111" s="134"/>
      <c r="C111" s="134"/>
      <c r="D111" s="134"/>
      <c r="E111" s="3245" t="str">
        <f>IF(项目基本情况!E9="抵押净值",IF(OR(项目基本情况!E8="已注销",项目基本情况!E8="房地产抵押价值"),"4.抵押净值","5.抵押净值"),"——")</f>
        <v>4.抵押净值</v>
      </c>
      <c r="F111" s="3212"/>
      <c r="G111" s="2015" t="s">
        <v>2119</v>
      </c>
      <c r="H111" s="2823">
        <f ca="1">IF(E111="——","——",N59)</f>
        <v>4879</v>
      </c>
      <c r="I111" s="134"/>
    </row>
    <row r="112" spans="1:35" ht="18.75" customHeight="1" thickBot="1">
      <c r="A112" s="134"/>
      <c r="B112" s="134"/>
      <c r="C112" s="134"/>
      <c r="D112" s="134"/>
      <c r="E112" s="3246"/>
      <c r="F112" s="3247"/>
      <c r="G112" s="2018" t="s">
        <v>2121</v>
      </c>
      <c r="H112" s="2827">
        <f ca="1">IF(E111="——","——",N61)</f>
        <v>28289</v>
      </c>
      <c r="I112" s="134"/>
    </row>
    <row r="113" spans="1:27" ht="18.75" customHeight="1">
      <c r="A113" s="134"/>
      <c r="B113" s="134"/>
      <c r="C113" s="134"/>
      <c r="D113" s="134"/>
      <c r="E113" s="3215" t="s">
        <v>2127</v>
      </c>
      <c r="F113" s="3215"/>
      <c r="G113" s="3215"/>
      <c r="H113" s="3215"/>
      <c r="I113" s="134"/>
    </row>
    <row r="114" spans="1:27" ht="3.75" customHeight="1">
      <c r="A114" s="1935"/>
      <c r="B114" s="1935"/>
      <c r="C114" s="1935"/>
      <c r="D114" s="1935"/>
      <c r="E114" s="1997"/>
      <c r="F114" s="1997"/>
      <c r="G114" s="1997"/>
      <c r="H114" s="1997"/>
      <c r="I114" s="1935"/>
    </row>
    <row r="115" spans="1:27" ht="18.75" customHeight="1">
      <c r="A115" s="3228" t="s">
        <v>2129</v>
      </c>
      <c r="B115" s="3229"/>
      <c r="C115" s="3229"/>
      <c r="D115" s="3229"/>
      <c r="E115" s="3229"/>
      <c r="F115" s="3229"/>
      <c r="G115" s="3229"/>
      <c r="H115" s="3229"/>
      <c r="I115" s="3230"/>
    </row>
    <row r="116" spans="1:27" ht="27" customHeight="1">
      <c r="A116" s="3181" t="s">
        <v>2130</v>
      </c>
      <c r="B116" s="3216" t="s">
        <v>2131</v>
      </c>
      <c r="C116" s="3216" t="s">
        <v>2132</v>
      </c>
      <c r="D116" s="3232" t="s">
        <v>2133</v>
      </c>
      <c r="E116" s="3233"/>
      <c r="F116" s="3224" t="s">
        <v>2134</v>
      </c>
      <c r="G116" s="3224"/>
      <c r="H116" s="3181" t="s">
        <v>2135</v>
      </c>
      <c r="I116" s="3181"/>
    </row>
    <row r="117" spans="1:27" ht="18.75" customHeight="1">
      <c r="A117" s="3181"/>
      <c r="B117" s="3217"/>
      <c r="C117" s="3217"/>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1272.47</v>
      </c>
      <c r="C118" s="2554">
        <f>M19</f>
        <v>0</v>
      </c>
      <c r="D118" s="2554">
        <f ca="1">ROUND(IF(D32="总价",C34,E118*B118/10000),0)</f>
        <v>4807</v>
      </c>
      <c r="E118" s="2554">
        <f ca="1">ROUND(IF(C33="自定义",IF(D32="楼面单价",C34,D118*10000/B118),I118-G118),0)</f>
        <v>37777</v>
      </c>
      <c r="F118" s="2554">
        <f ca="1">ROUND(IF(D32="总价",C35,G118*B118/10000),0)</f>
        <v>977</v>
      </c>
      <c r="G118" s="2554">
        <f ca="1">ROUND(IF(D32="楼面单价",C35,F118*10000/B118),0)</f>
        <v>7678</v>
      </c>
      <c r="H118" s="2554">
        <f ca="1">ROUND(IF(D32="总价",C32,I118*B118/10000),0)</f>
        <v>5784</v>
      </c>
      <c r="I118" s="2554">
        <f ca="1">ROUND(IF(D32="楼面单价",C32,H118*10000/B118),0)</f>
        <v>45455</v>
      </c>
    </row>
    <row r="119" spans="1:27" ht="18.75" customHeight="1">
      <c r="A119" s="3181" t="s">
        <v>2139</v>
      </c>
      <c r="B119" s="3181"/>
      <c r="C119" s="3181"/>
      <c r="D119" s="3221" t="str">
        <f ca="1">NUMBERSTRING(INT(D118*10000),2)&amp;"元整"</f>
        <v>肆仟捌佰零柒万元整</v>
      </c>
      <c r="E119" s="3223"/>
      <c r="F119" s="3221" t="str">
        <f ca="1">NUMBERSTRING(INT(F118*10000),2)&amp;"元整"</f>
        <v>玖佰柒拾柒万元整</v>
      </c>
      <c r="G119" s="3223"/>
      <c r="H119" s="3221" t="str">
        <f ca="1">NUMBERSTRING(INT(H118*10000),2)&amp;"元整"</f>
        <v>伍仟柒佰捌拾肆万元整</v>
      </c>
      <c r="I119" s="3223"/>
    </row>
    <row r="120" spans="1:27" ht="18.75" customHeight="1">
      <c r="A120" s="3248" t="str">
        <f>IF(项目基本情况!B9="房地产市场价值","",MID(E103,3,LEN(E103)-2))</f>
        <v>估价师知悉的法定优先受偿款</v>
      </c>
      <c r="B120" s="3249"/>
      <c r="C120" s="3250"/>
      <c r="D120" s="3248">
        <f>H103</f>
        <v>0</v>
      </c>
      <c r="E120" s="3249"/>
      <c r="F120" s="3249"/>
      <c r="G120" s="3249"/>
      <c r="H120" s="3249"/>
      <c r="I120" s="3250"/>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5" t="s">
        <v>2139</v>
      </c>
      <c r="B121" s="3226"/>
      <c r="C121" s="3227"/>
      <c r="D121" s="3221" t="str">
        <f>IF(D120=0,"零元整",NUMBERSTRING(INT(D120*10000),2)&amp;"元整")</f>
        <v>零元整</v>
      </c>
      <c r="E121" s="3222"/>
      <c r="F121" s="3222"/>
      <c r="G121" s="3222"/>
      <c r="H121" s="3222"/>
      <c r="I121" s="3223"/>
      <c r="AA121" s="734"/>
    </row>
    <row r="122" spans="1:27" ht="18.75" customHeight="1">
      <c r="A122" s="3212" t="str">
        <f>IF(项目基本情况!B9="房地产市场价值","",MID(E107,3,LEN(E107)-2))</f>
        <v>房地产抵押价值</v>
      </c>
      <c r="B122" s="3212"/>
      <c r="C122" s="3212"/>
      <c r="D122" s="3248">
        <f ca="1">H107</f>
        <v>5784</v>
      </c>
      <c r="E122" s="3249"/>
      <c r="F122" s="3249"/>
      <c r="G122" s="3249"/>
      <c r="H122" s="3249"/>
      <c r="I122" s="3250"/>
      <c r="AA122" s="734"/>
    </row>
    <row r="123" spans="1:27" ht="18.75" customHeight="1">
      <c r="A123" s="3181" t="s">
        <v>2139</v>
      </c>
      <c r="B123" s="3181"/>
      <c r="C123" s="3181"/>
      <c r="D123" s="3221" t="str">
        <f ca="1">NUMBERSTRING(INT(D122*10000),2)&amp;"元整"</f>
        <v>伍仟柒佰捌拾肆万元整</v>
      </c>
      <c r="E123" s="3222"/>
      <c r="F123" s="3222"/>
      <c r="G123" s="3222"/>
      <c r="H123" s="3222"/>
      <c r="I123" s="3223"/>
      <c r="AA123" s="734"/>
    </row>
    <row r="124" spans="1:27" ht="18.75" customHeight="1">
      <c r="A124" s="3212" t="str">
        <f>IF(项目基本情况!B9="房地产市场价值","",MID(E109,3,LEN(E109)-2))</f>
        <v/>
      </c>
      <c r="B124" s="3212"/>
      <c r="C124" s="3212"/>
      <c r="D124" s="3248" t="str">
        <f>H109</f>
        <v>——</v>
      </c>
      <c r="E124" s="3249"/>
      <c r="F124" s="3249"/>
      <c r="G124" s="3249"/>
      <c r="H124" s="3249"/>
      <c r="I124" s="3250"/>
      <c r="AA124" s="734"/>
    </row>
    <row r="125" spans="1:27" ht="18.75" customHeight="1">
      <c r="A125" s="3181" t="s">
        <v>2139</v>
      </c>
      <c r="B125" s="3181"/>
      <c r="C125" s="3181"/>
      <c r="D125" s="3221" t="e">
        <f>NUMBERSTRING(INT(D124*10000),2)&amp;"元整"</f>
        <v>#VALUE!</v>
      </c>
      <c r="E125" s="3222"/>
      <c r="F125" s="3222"/>
      <c r="G125" s="3222"/>
      <c r="H125" s="3222"/>
      <c r="I125" s="3223"/>
      <c r="AA125" s="734"/>
    </row>
    <row r="126" spans="1:27" ht="18.75" customHeight="1">
      <c r="A126" s="3212" t="str">
        <f>IF(项目基本情况!B9="房地产市场价值","",MID(E111,3,LEN(E111)-2))</f>
        <v>抵押净值</v>
      </c>
      <c r="B126" s="3212"/>
      <c r="C126" s="3212"/>
      <c r="D126" s="3248">
        <f ca="1">H111</f>
        <v>4879</v>
      </c>
      <c r="E126" s="3249"/>
      <c r="F126" s="3249"/>
      <c r="G126" s="3249"/>
      <c r="H126" s="3249"/>
      <c r="I126" s="3250"/>
      <c r="AA126" s="734"/>
    </row>
    <row r="127" spans="1:27" ht="18.75" customHeight="1">
      <c r="A127" s="3181" t="s">
        <v>2139</v>
      </c>
      <c r="B127" s="3181"/>
      <c r="C127" s="3181"/>
      <c r="D127" s="3221" t="str">
        <f ca="1">NUMBERSTRING(INT(D126*10000),2)&amp;"元整"</f>
        <v>肆仟捌佰柒拾玖万元整</v>
      </c>
      <c r="E127" s="3222"/>
      <c r="F127" s="3222"/>
      <c r="G127" s="3222"/>
      <c r="H127" s="3222"/>
      <c r="I127" s="3223"/>
      <c r="AA127" s="734"/>
    </row>
    <row r="128" spans="1:27" ht="21.75" customHeight="1">
      <c r="A128" s="3231" t="s">
        <v>2140</v>
      </c>
      <c r="B128" s="3231"/>
      <c r="C128" s="3231"/>
      <c r="D128" s="3231"/>
      <c r="E128" s="3231"/>
      <c r="F128" s="3231"/>
      <c r="G128" s="3231"/>
      <c r="H128" s="3231"/>
      <c r="I128" s="3231"/>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776</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4499</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34</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34</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34</v>
      </c>
      <c r="D10" s="954">
        <f ca="1">IF(B1="",'数据-汇总表'!E6,IF(INDIRECT("'数据-取费表'!c"&amp;$G$1)="住宅",INDIRECT("'数据-取费表'!s"&amp;$G$1),INDIRECT("'数据-取费表'!k"&amp;$G$1)+INDIRECT("'数据-取费表'!s"&amp;$G$1)))</f>
        <v>1724.67</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34</v>
      </c>
      <c r="D19" s="958">
        <f ca="1">D9+D10</f>
        <v>1724.67</v>
      </c>
      <c r="E19" s="217">
        <f>'数据-取费表'!B31</f>
        <v>200</v>
      </c>
      <c r="F19" s="237"/>
      <c r="G19" s="2044"/>
    </row>
    <row r="20" spans="1:7" s="220" customFormat="1" ht="13.5" customHeight="1">
      <c r="A20" s="261" t="s">
        <v>2180</v>
      </c>
      <c r="B20" s="216" t="s">
        <v>2181</v>
      </c>
      <c r="C20" s="238">
        <f ca="1">ROUND((C5+C19)*F20,0)</f>
        <v>1</v>
      </c>
      <c r="D20" s="238"/>
      <c r="E20" s="238"/>
      <c r="F20" s="239">
        <f>'数据-取费表'!B37</f>
        <v>0.02</v>
      </c>
      <c r="G20" s="240" t="s">
        <v>2182</v>
      </c>
    </row>
    <row r="21" spans="1:7" s="220" customFormat="1" ht="13.5" customHeight="1">
      <c r="A21" s="261" t="s">
        <v>2183</v>
      </c>
      <c r="B21" s="216" t="s">
        <v>2184</v>
      </c>
      <c r="C21" s="241">
        <f>F21</f>
        <v>2.5000000000000001E-2</v>
      </c>
      <c r="D21" s="242" t="s">
        <v>2185</v>
      </c>
      <c r="E21" s="238"/>
      <c r="F21" s="239">
        <f>'数据-取费表'!B38</f>
        <v>2.5000000000000001E-2</v>
      </c>
      <c r="G21" s="240" t="s">
        <v>2186</v>
      </c>
    </row>
    <row r="22" spans="1:7" s="220" customFormat="1" ht="13.5" customHeight="1">
      <c r="A22" s="261" t="s">
        <v>2187</v>
      </c>
      <c r="B22" s="216" t="s">
        <v>2188</v>
      </c>
      <c r="C22" s="1264">
        <f ca="1">ROUND(SUM(C23:C25),0)</f>
        <v>6</v>
      </c>
      <c r="D22" s="241">
        <f ca="1">C26</f>
        <v>1.1999999999999999E-3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3</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3</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1.1999999999999999E-3</v>
      </c>
      <c r="D26" s="244"/>
      <c r="E26" s="247"/>
      <c r="F26" s="245"/>
      <c r="G26" s="249"/>
    </row>
    <row r="27" spans="1:7" s="220" customFormat="1" ht="24.75">
      <c r="A27" s="261" t="s">
        <v>2199</v>
      </c>
      <c r="B27" s="250" t="s">
        <v>2200</v>
      </c>
      <c r="C27" s="251">
        <f ca="1">C28</f>
        <v>11</v>
      </c>
      <c r="D27" s="241">
        <f ca="1">C29</f>
        <v>4.0000000000000001E-3</v>
      </c>
      <c r="E27" s="242" t="s">
        <v>2201</v>
      </c>
      <c r="F27" s="252">
        <f ca="1">IF(B1="",'数据-取费表'!Q16,INDIRECT("'数据-取费表'!q"&amp;$G$1))</f>
        <v>0.16</v>
      </c>
      <c r="G27" s="253" t="s">
        <v>2202</v>
      </c>
    </row>
    <row r="28" spans="1:7" s="220" customFormat="1" ht="13.5" customHeight="1">
      <c r="A28" s="888" t="s">
        <v>791</v>
      </c>
      <c r="B28" s="254" t="s">
        <v>2203</v>
      </c>
      <c r="C28" s="255">
        <f ca="1">ROUND((C5+C19+C20)*F27*'数据-取费表'!B21/'数据-取费表'!B20,0)</f>
        <v>11</v>
      </c>
      <c r="D28" s="241"/>
      <c r="E28" s="242"/>
      <c r="F28" s="252"/>
      <c r="G28" s="253"/>
    </row>
    <row r="29" spans="1:7" s="220" customFormat="1" ht="13.5" customHeight="1">
      <c r="A29" s="888" t="s">
        <v>792</v>
      </c>
      <c r="B29" s="254" t="s">
        <v>2204</v>
      </c>
      <c r="C29" s="244">
        <f ca="1">ROUND(C21*F27*'数据-取费表'!B21/'数据-取费表'!B20,4)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94</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705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642</v>
      </c>
      <c r="D34" s="223"/>
      <c r="E34" s="226"/>
      <c r="F34" s="263">
        <f ca="1">IF('数据-取费表'!B24=0,1,IF(B1="",'数据-取费表'!N16,INDIRECT("'数据-取费表'!n"&amp;$G$1)))</f>
        <v>1</v>
      </c>
      <c r="G34" s="225" t="s">
        <v>2213</v>
      </c>
    </row>
    <row r="35" spans="1:7" ht="13.5" customHeight="1">
      <c r="A35" s="888" t="s">
        <v>796</v>
      </c>
      <c r="B35" s="221" t="s">
        <v>2214</v>
      </c>
      <c r="C35" s="226">
        <f ca="1">ROUND(C34*F35,0)</f>
        <v>19</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34</v>
      </c>
      <c r="D37" s="223">
        <f ca="1">D19</f>
        <v>1724.67</v>
      </c>
      <c r="E37" s="255">
        <f>'数据-取费表'!B35</f>
        <v>200</v>
      </c>
      <c r="F37" s="265"/>
      <c r="G37" s="267" t="s">
        <v>2219</v>
      </c>
    </row>
    <row r="38" spans="1:7" ht="13.5" customHeight="1">
      <c r="A38" s="888" t="s">
        <v>799</v>
      </c>
      <c r="B38" s="221" t="s">
        <v>2220</v>
      </c>
      <c r="C38" s="226">
        <f ca="1">ROUND(C34*F38,0)</f>
        <v>10</v>
      </c>
      <c r="D38" s="226"/>
      <c r="E38" s="226"/>
      <c r="F38" s="265">
        <f>'数据-取费表'!B36</f>
        <v>1.4999999999999999E-2</v>
      </c>
      <c r="G38" s="225" t="s">
        <v>2215</v>
      </c>
    </row>
    <row r="39" spans="1:7" s="220" customFormat="1" ht="13.5" customHeight="1">
      <c r="A39" s="261" t="s">
        <v>2221</v>
      </c>
      <c r="B39" s="216" t="s">
        <v>2222</v>
      </c>
      <c r="C39" s="238">
        <f ca="1">ROUND(C33*F20,0)</f>
        <v>14</v>
      </c>
      <c r="D39" s="238"/>
      <c r="E39" s="238"/>
      <c r="F39" s="2537">
        <f>F20</f>
        <v>0.02</v>
      </c>
      <c r="G39" s="240" t="s">
        <v>2223</v>
      </c>
    </row>
    <row r="40" spans="1:7" s="220" customFormat="1" ht="13.5" customHeight="1">
      <c r="A40" s="261" t="s">
        <v>2224</v>
      </c>
      <c r="B40" s="216" t="s">
        <v>2225</v>
      </c>
      <c r="C40" s="1497">
        <f>F21</f>
        <v>2.5000000000000001E-2</v>
      </c>
      <c r="D40" s="242" t="s">
        <v>2226</v>
      </c>
      <c r="E40" s="238"/>
      <c r="F40" s="2537">
        <f>F21</f>
        <v>2.5000000000000001E-2</v>
      </c>
      <c r="G40" s="240" t="s">
        <v>2227</v>
      </c>
    </row>
    <row r="41" spans="1:7" s="220" customFormat="1" ht="13.5" customHeight="1">
      <c r="A41" s="261" t="s">
        <v>2228</v>
      </c>
      <c r="B41" s="216" t="s">
        <v>2229</v>
      </c>
      <c r="C41" s="238">
        <f ca="1">ROUND(SUM(C42:C43),0)</f>
        <v>34</v>
      </c>
      <c r="D41" s="241">
        <f ca="1">C44</f>
        <v>1.1999999999999999E-3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33</v>
      </c>
      <c r="D42" s="244"/>
      <c r="E42" s="244"/>
      <c r="F42" s="245"/>
      <c r="G42" s="3264" t="s">
        <v>2231</v>
      </c>
    </row>
    <row r="43" spans="1:7" ht="13.5" customHeight="1">
      <c r="A43" s="888" t="s">
        <v>792</v>
      </c>
      <c r="B43" s="221" t="s">
        <v>2232</v>
      </c>
      <c r="C43" s="244">
        <f ca="1">ROUND(IF('数据-取费表'!B22&lt;=1,C39*F22*'数据-取费表'!B21/2,C39*(POWER((1+F22),'数据-取费表'!B21/2)-1)),0)</f>
        <v>1</v>
      </c>
      <c r="D43" s="244"/>
      <c r="E43" s="244"/>
      <c r="F43" s="245"/>
      <c r="G43" s="3265"/>
    </row>
    <row r="44" spans="1:7" ht="13.5" customHeight="1">
      <c r="A44" s="888" t="s">
        <v>793</v>
      </c>
      <c r="B44" s="221" t="s">
        <v>2233</v>
      </c>
      <c r="C44" s="244">
        <f ca="1">ROUND(IF('数据-取费表'!B22&lt;=1,C40*F22*'数据-取费表'!B21/2,C40*(POWER((1+F22),'数据-取费表'!B21/2)-1)),4)</f>
        <v>1.1999999999999999E-3</v>
      </c>
      <c r="D44" s="244"/>
      <c r="E44" s="244"/>
      <c r="F44" s="245"/>
      <c r="G44" s="3266"/>
    </row>
    <row r="45" spans="1:7" s="220" customFormat="1" ht="13.5" customHeight="1">
      <c r="A45" s="261" t="s">
        <v>2234</v>
      </c>
      <c r="B45" s="250" t="s">
        <v>2200</v>
      </c>
      <c r="C45" s="251">
        <f ca="1">C46</f>
        <v>115</v>
      </c>
      <c r="D45" s="241">
        <f ca="1">C47</f>
        <v>4.0000000000000001E-3</v>
      </c>
      <c r="E45" s="242" t="s">
        <v>2226</v>
      </c>
      <c r="F45" s="2539">
        <f ca="1">F27</f>
        <v>0.16</v>
      </c>
      <c r="G45" s="253" t="s">
        <v>2235</v>
      </c>
    </row>
    <row r="46" spans="1:7" s="220" customFormat="1" ht="13.5" customHeight="1">
      <c r="A46" s="888" t="s">
        <v>791</v>
      </c>
      <c r="B46" s="254" t="s">
        <v>2236</v>
      </c>
      <c r="C46" s="255">
        <f ca="1">ROUND((C33+C39)*F27,0)</f>
        <v>115</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947</v>
      </c>
      <c r="D49" s="238"/>
      <c r="E49" s="238"/>
      <c r="F49" s="270"/>
      <c r="G49" s="240" t="s">
        <v>2241</v>
      </c>
    </row>
    <row r="50" spans="1:7" s="264" customFormat="1" ht="24">
      <c r="A50" s="261" t="s">
        <v>2242</v>
      </c>
      <c r="B50" s="216" t="s">
        <v>2243</v>
      </c>
      <c r="C50" s="238"/>
      <c r="D50" s="238"/>
      <c r="E50" s="238"/>
      <c r="F50" s="270">
        <f>IF('数据-取费表'!B24=0,'数据-取费表'!N16,1)</f>
        <v>0.72</v>
      </c>
      <c r="G50" s="253" t="s">
        <v>2244</v>
      </c>
    </row>
    <row r="51" spans="1:7" ht="16.5" customHeight="1">
      <c r="A51" s="261" t="s">
        <v>2245</v>
      </c>
      <c r="B51" s="216" t="s">
        <v>2246</v>
      </c>
      <c r="C51" s="238">
        <f ca="1">ROUND(C49*F50,0)</f>
        <v>682</v>
      </c>
      <c r="D51" s="238"/>
      <c r="E51" s="238"/>
      <c r="F51" s="270"/>
      <c r="G51" s="240" t="s">
        <v>2247</v>
      </c>
    </row>
    <row r="52" spans="1:7" s="214" customFormat="1" ht="16.5" thickBot="1">
      <c r="A52" s="271" t="s">
        <v>2248</v>
      </c>
      <c r="B52" s="272"/>
      <c r="C52" s="273">
        <f ca="1">C31+C51</f>
        <v>776</v>
      </c>
      <c r="D52" s="272"/>
      <c r="E52" s="272"/>
      <c r="F52" s="272"/>
      <c r="G52" s="274"/>
    </row>
    <row r="55" spans="1:7" ht="15">
      <c r="B55" s="276" t="s">
        <v>2249</v>
      </c>
      <c r="C55" s="277"/>
    </row>
    <row r="56" spans="1:7">
      <c r="B56" s="279" t="s">
        <v>1478</v>
      </c>
      <c r="C56" s="281">
        <f ca="1">1-C57</f>
        <v>0.121</v>
      </c>
    </row>
    <row r="57" spans="1:7">
      <c r="B57" s="279" t="s">
        <v>1479</v>
      </c>
      <c r="C57" s="280">
        <f ca="1">ROUND(C51/C52,3)</f>
        <v>0.879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5" t="str">
        <f>项目基本情况!B1</f>
        <v>北京市房地产抵押价值预评估</v>
      </c>
      <c r="C37" s="3075"/>
      <c r="D37" s="3075"/>
      <c r="E37" s="3075"/>
      <c r="F37" s="3075"/>
      <c r="G37" s="3075"/>
      <c r="H37" s="3075"/>
      <c r="I37" s="3075"/>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8</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1724.67</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1724.67</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34</v>
      </c>
      <c r="D20" s="955">
        <f ca="1">IF(C1="",'数据-汇总表'!E6,IF(INDIRECT("'数据-取费表'!c"&amp;$K$1)="住宅",INDIRECT("'数据-取费表'!s"&amp;$K$1),INDIRECT("'数据-取费表'!k"&amp;$K$1)+INDIRECT("'数据-取费表'!s"&amp;$K$1)))</f>
        <v>1724.67</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2.5000000000000001E-2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0.16</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3" sqref="D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27</v>
      </c>
      <c r="E1" s="1402"/>
      <c r="F1" s="2067" t="s">
        <v>3069</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5822</v>
      </c>
      <c r="C2" s="2069" t="s">
        <v>70</v>
      </c>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45757</v>
      </c>
      <c r="C3" s="360" t="s">
        <v>2466</v>
      </c>
      <c r="D3" s="359">
        <f>IF(D1="",'数据-汇总表'!E3,SUMIF('数据-汇总表'!$C19:$C33,D1,'数据-汇总表'!$E19:$E33))</f>
        <v>1272.47</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85" t="s">
        <v>2468</v>
      </c>
      <c r="D4" s="3286"/>
      <c r="E4" s="3287" t="s">
        <v>2469</v>
      </c>
      <c r="F4" s="3288"/>
      <c r="G4" s="3285" t="s">
        <v>2470</v>
      </c>
      <c r="H4" s="3286"/>
      <c r="I4" s="3285" t="s">
        <v>2471</v>
      </c>
      <c r="J4" s="3286"/>
      <c r="K4" s="567" t="s">
        <v>2472</v>
      </c>
      <c r="L4" s="2946"/>
      <c r="M4" s="2947"/>
      <c r="N4" s="2947"/>
      <c r="O4" s="2947"/>
      <c r="P4" s="3289" t="s">
        <v>2473</v>
      </c>
      <c r="Q4" s="3290"/>
      <c r="R4" s="3295" t="s">
        <v>2469</v>
      </c>
      <c r="S4" s="3296"/>
      <c r="T4" s="3295" t="s">
        <v>2470</v>
      </c>
      <c r="U4" s="3296"/>
      <c r="V4" s="3301" t="s">
        <v>2471</v>
      </c>
      <c r="W4" s="3301"/>
      <c r="X4" s="2146"/>
      <c r="Y4" s="3295" t="s">
        <v>2473</v>
      </c>
      <c r="Z4" s="3296"/>
      <c r="AA4" s="3314" t="s">
        <v>2469</v>
      </c>
      <c r="AB4" s="3314" t="s">
        <v>2470</v>
      </c>
      <c r="AC4" s="3282" t="s">
        <v>2471</v>
      </c>
    </row>
    <row r="5" spans="1:29" ht="15.75" thickBot="1">
      <c r="A5" s="364"/>
      <c r="B5" s="365"/>
      <c r="C5" s="3311" t="s">
        <v>2364</v>
      </c>
      <c r="D5" s="3306"/>
      <c r="E5" s="3317" t="s">
        <v>3132</v>
      </c>
      <c r="F5" s="3318"/>
      <c r="G5" s="3305" t="s">
        <v>3098</v>
      </c>
      <c r="H5" s="3306"/>
      <c r="I5" s="3305" t="s">
        <v>3099</v>
      </c>
      <c r="J5" s="3306"/>
      <c r="K5" s="567"/>
      <c r="L5" s="2946"/>
      <c r="M5" s="2947"/>
      <c r="N5" s="2947"/>
      <c r="O5" s="2947"/>
      <c r="P5" s="3291"/>
      <c r="Q5" s="3292"/>
      <c r="R5" s="3297"/>
      <c r="S5" s="3298"/>
      <c r="T5" s="3297"/>
      <c r="U5" s="3298"/>
      <c r="V5" s="3302"/>
      <c r="W5" s="3302"/>
      <c r="X5" s="1541"/>
      <c r="Y5" s="3297"/>
      <c r="Z5" s="3298"/>
      <c r="AA5" s="3315"/>
      <c r="AB5" s="3315"/>
      <c r="AC5" s="3283"/>
    </row>
    <row r="6" spans="1:29" ht="15.75" hidden="1" thickBot="1">
      <c r="A6" s="366"/>
      <c r="B6" s="367"/>
      <c r="C6" s="3303"/>
      <c r="D6" s="3304"/>
      <c r="E6" s="3312"/>
      <c r="F6" s="3313"/>
      <c r="G6" s="3303"/>
      <c r="H6" s="3304"/>
      <c r="I6" s="3303"/>
      <c r="J6" s="3304"/>
      <c r="K6" s="567" t="s">
        <v>2369</v>
      </c>
      <c r="L6" s="2946"/>
      <c r="M6" s="2947"/>
      <c r="N6" s="2947"/>
      <c r="O6" s="2947"/>
      <c r="P6" s="3293"/>
      <c r="Q6" s="3294"/>
      <c r="R6" s="3297"/>
      <c r="S6" s="3298"/>
      <c r="T6" s="3299"/>
      <c r="U6" s="3300"/>
      <c r="V6" s="3302"/>
      <c r="W6" s="3302"/>
      <c r="X6" s="1541"/>
      <c r="Y6" s="3299"/>
      <c r="Z6" s="3300"/>
      <c r="AA6" s="3316"/>
      <c r="AB6" s="3316"/>
      <c r="AC6" s="3284"/>
    </row>
    <row r="7" spans="1:29" s="113" customFormat="1" ht="15.75" thickBot="1">
      <c r="A7" s="368" t="s">
        <v>2370</v>
      </c>
      <c r="B7" s="369"/>
      <c r="C7" s="370">
        <f>'数据-取费表'!B2</f>
        <v>44230</v>
      </c>
      <c r="D7" s="371">
        <v>100</v>
      </c>
      <c r="E7" s="372">
        <f>C7</f>
        <v>44230</v>
      </c>
      <c r="F7" s="373">
        <f>SUMIF(59:59,YEAR(E7)&amp;"-"&amp;MONTH(E7),60:60)</f>
        <v>100</v>
      </c>
      <c r="G7" s="372">
        <f>E7</f>
        <v>44230</v>
      </c>
      <c r="H7" s="371">
        <f>SUMIF(59:59,YEAR(G7)&amp;"-"&amp;MONTH(G7),60:60)</f>
        <v>100</v>
      </c>
      <c r="I7" s="372">
        <f>E7</f>
        <v>44230</v>
      </c>
      <c r="J7" s="371">
        <f>SUMIF(59:59,YEAR(I7)&amp;"-"&amp;MONTH(I7),60:60)</f>
        <v>100</v>
      </c>
      <c r="K7" s="568"/>
      <c r="L7" s="2948"/>
      <c r="M7" s="2949"/>
      <c r="N7" s="2949"/>
      <c r="O7" s="2949"/>
      <c r="P7" s="3307" t="s">
        <v>2371</v>
      </c>
      <c r="Q7" s="3310"/>
      <c r="R7" s="710" t="s">
        <v>17</v>
      </c>
      <c r="S7" s="711">
        <f t="shared" ref="S7:S15" si="0">F7</f>
        <v>100</v>
      </c>
      <c r="T7" s="710" t="s">
        <v>17</v>
      </c>
      <c r="U7" s="711">
        <f t="shared" ref="U7:U15" si="1">H7</f>
        <v>100</v>
      </c>
      <c r="V7" s="710" t="s">
        <v>17</v>
      </c>
      <c r="W7" s="711">
        <f t="shared" ref="W7:W15" si="2">J7</f>
        <v>100</v>
      </c>
      <c r="X7" s="712"/>
      <c r="Y7" s="3309" t="s">
        <v>2371</v>
      </c>
      <c r="Z7" s="3308"/>
      <c r="AA7" s="713">
        <f>D7/F7</f>
        <v>1</v>
      </c>
      <c r="AB7" s="713">
        <f>D7/H7</f>
        <v>1</v>
      </c>
      <c r="AC7" s="2147">
        <f>D7/J7</f>
        <v>1</v>
      </c>
    </row>
    <row r="8" spans="1:29" s="113" customFormat="1" ht="15.75" thickBot="1">
      <c r="A8" s="368" t="s">
        <v>2372</v>
      </c>
      <c r="B8" s="369"/>
      <c r="C8" s="374" t="s">
        <v>2474</v>
      </c>
      <c r="D8" s="371">
        <v>100</v>
      </c>
      <c r="E8" s="374" t="s">
        <v>3072</v>
      </c>
      <c r="F8" s="373">
        <f>SUMIF(62:62,E8,63:63)-SUMIF(62:62,C8,63:63)+100</f>
        <v>100</v>
      </c>
      <c r="G8" s="374" t="s">
        <v>3072</v>
      </c>
      <c r="H8" s="371">
        <f>SUMIF(62:62,G8,63:63)-SUMIF(62:62,C8,63:63)+100</f>
        <v>100</v>
      </c>
      <c r="I8" s="374" t="s">
        <v>3072</v>
      </c>
      <c r="J8" s="371">
        <f>SUMIF(62:62,I8,63:63)-SUMIF(62:62,C8,63:63)+100</f>
        <v>100</v>
      </c>
      <c r="K8" s="568"/>
      <c r="L8" s="2948"/>
      <c r="M8" s="2949"/>
      <c r="N8" s="2949"/>
      <c r="O8" s="2949"/>
      <c r="P8" s="3307" t="s">
        <v>2374</v>
      </c>
      <c r="Q8" s="3308"/>
      <c r="R8" s="710" t="s">
        <v>17</v>
      </c>
      <c r="S8" s="711">
        <f t="shared" si="0"/>
        <v>100</v>
      </c>
      <c r="T8" s="710" t="s">
        <v>17</v>
      </c>
      <c r="U8" s="711">
        <f t="shared" si="1"/>
        <v>100</v>
      </c>
      <c r="V8" s="710" t="s">
        <v>17</v>
      </c>
      <c r="W8" s="711">
        <f t="shared" si="2"/>
        <v>100</v>
      </c>
      <c r="X8" s="712"/>
      <c r="Y8" s="3309" t="s">
        <v>2374</v>
      </c>
      <c r="Z8" s="3308"/>
      <c r="AA8" s="713">
        <f t="shared" ref="AA8:AA47" si="3">D8/F8</f>
        <v>1</v>
      </c>
      <c r="AB8" s="713">
        <f t="shared" ref="AB8:AB47" si="4">D8/H8</f>
        <v>1</v>
      </c>
      <c r="AC8" s="2147">
        <f t="shared" ref="AC8:AC47" si="5">D8/J8</f>
        <v>1</v>
      </c>
    </row>
    <row r="9" spans="1:29" s="113" customFormat="1">
      <c r="A9" s="375" t="s">
        <v>2375</v>
      </c>
      <c r="B9" s="67" t="s">
        <v>2376</v>
      </c>
      <c r="C9" s="3065" t="s">
        <v>3071</v>
      </c>
      <c r="D9" s="131">
        <v>100</v>
      </c>
      <c r="E9" s="379" t="s">
        <v>27</v>
      </c>
      <c r="F9" s="131">
        <f>SUMIF(64:64,E9,65:65)-SUMIF(64:64,C9,65:65)+100</f>
        <v>100</v>
      </c>
      <c r="G9" s="377" t="s">
        <v>27</v>
      </c>
      <c r="H9" s="131">
        <f>SUMIF(64:64,G9,65:65)-SUMIF(64:64,C9,65:65)+100</f>
        <v>100</v>
      </c>
      <c r="I9" s="377" t="s">
        <v>27</v>
      </c>
      <c r="J9" s="131">
        <f>SUMIF(64:64,I9,65:65)-SUMIF(64:64,C9,65:65)+100</f>
        <v>100</v>
      </c>
      <c r="K9" s="568"/>
      <c r="L9" s="2948"/>
      <c r="M9" s="2949"/>
      <c r="N9" s="2949"/>
      <c r="O9" s="2949"/>
      <c r="P9" s="3267" t="s">
        <v>2377</v>
      </c>
      <c r="Q9" s="1529" t="str">
        <f t="shared" ref="Q9:Q15" si="6">B9</f>
        <v>用途</v>
      </c>
      <c r="R9" s="710" t="s">
        <v>17</v>
      </c>
      <c r="S9" s="711">
        <f t="shared" si="0"/>
        <v>100</v>
      </c>
      <c r="T9" s="710" t="s">
        <v>17</v>
      </c>
      <c r="U9" s="711">
        <f t="shared" si="1"/>
        <v>100</v>
      </c>
      <c r="V9" s="710" t="s">
        <v>17</v>
      </c>
      <c r="W9" s="711">
        <f t="shared" si="2"/>
        <v>100</v>
      </c>
      <c r="X9" s="712"/>
      <c r="Y9" s="3168" t="s">
        <v>2378</v>
      </c>
      <c r="Z9" s="55" t="str">
        <f t="shared" ref="Z9:Z15" si="7">Q9</f>
        <v>用途</v>
      </c>
      <c r="AA9" s="713">
        <f t="shared" si="3"/>
        <v>1</v>
      </c>
      <c r="AB9" s="713">
        <f t="shared" si="4"/>
        <v>1</v>
      </c>
      <c r="AC9" s="2147">
        <f t="shared" si="5"/>
        <v>1</v>
      </c>
    </row>
    <row r="10" spans="1:29" s="386" customFormat="1" ht="27.75" thickBot="1">
      <c r="A10" s="380"/>
      <c r="B10" s="381" t="s">
        <v>2379</v>
      </c>
      <c r="C10" s="382" t="s">
        <v>3070</v>
      </c>
      <c r="D10" s="132">
        <v>100</v>
      </c>
      <c r="E10" s="382" t="s">
        <v>3070</v>
      </c>
      <c r="F10" s="132">
        <f>SUMIF(66:66,E10,67:67)-SUMIF(66:66,C10,67:67)+100</f>
        <v>100</v>
      </c>
      <c r="G10" s="382" t="s">
        <v>3070</v>
      </c>
      <c r="H10" s="132">
        <f>SUMIF(66:66,G10,67:67)-SUMIF(66:66,C10,67:67)+100</f>
        <v>100</v>
      </c>
      <c r="I10" s="382" t="s">
        <v>3070</v>
      </c>
      <c r="J10" s="132">
        <f>SUMIF(66:66,I10,67:67)-SUMIF(66:66,C10,67:67)+100</f>
        <v>100</v>
      </c>
      <c r="K10" s="569">
        <v>1</v>
      </c>
      <c r="L10" s="2950"/>
      <c r="M10" s="2951"/>
      <c r="N10" s="2951"/>
      <c r="O10" s="2951"/>
      <c r="P10" s="3267"/>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2147">
        <f t="shared" si="5"/>
        <v>1</v>
      </c>
    </row>
    <row r="11" spans="1:29" ht="15.75" hidden="1" thickBot="1">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2"/>
      <c r="M11" s="2947"/>
      <c r="N11" s="2947"/>
      <c r="O11" s="2947"/>
      <c r="P11" s="3267"/>
      <c r="Q11" s="1529" t="str">
        <f t="shared" si="6"/>
        <v>容积率</v>
      </c>
      <c r="R11" s="710" t="s">
        <v>17</v>
      </c>
      <c r="S11" s="711">
        <f t="shared" si="0"/>
        <v>100</v>
      </c>
      <c r="T11" s="710" t="s">
        <v>17</v>
      </c>
      <c r="U11" s="711">
        <f t="shared" si="1"/>
        <v>100</v>
      </c>
      <c r="V11" s="710" t="s">
        <v>17</v>
      </c>
      <c r="W11" s="711">
        <f t="shared" si="2"/>
        <v>100</v>
      </c>
      <c r="X11" s="712"/>
      <c r="Y11" s="3168"/>
      <c r="Z11" s="55" t="str">
        <f t="shared" si="7"/>
        <v>容积率</v>
      </c>
      <c r="AA11" s="713">
        <f t="shared" si="3"/>
        <v>1</v>
      </c>
      <c r="AB11" s="713">
        <f t="shared" si="4"/>
        <v>1</v>
      </c>
      <c r="AC11" s="2147">
        <f t="shared" si="5"/>
        <v>1</v>
      </c>
    </row>
    <row r="12" spans="1:29" s="113" customFormat="1" ht="15" hidden="1">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67"/>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2147">
        <f>D12/J12</f>
        <v>1</v>
      </c>
    </row>
    <row r="13" spans="1:29" ht="15" hidden="1">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67"/>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2147">
        <f t="shared" si="5"/>
        <v>1</v>
      </c>
    </row>
    <row r="14" spans="1:29" ht="15.75" hidden="1"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67"/>
      <c r="Q14" s="1529">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2147">
        <f t="shared" si="5"/>
        <v>1</v>
      </c>
    </row>
    <row r="15" spans="1:29" ht="15">
      <c r="A15" s="399" t="s">
        <v>2381</v>
      </c>
      <c r="B15" s="585" t="s">
        <v>2509</v>
      </c>
      <c r="C15" s="2149">
        <f>估价对象房地状况!C5</f>
        <v>0</v>
      </c>
      <c r="D15" s="400">
        <v>100</v>
      </c>
      <c r="E15" s="403"/>
      <c r="F15" s="400">
        <f>SUMIF(77:77,E16,78:78)-SUMIF(77:77,C16,78:78)+100</f>
        <v>100</v>
      </c>
      <c r="G15" s="401"/>
      <c r="H15" s="400">
        <f>SUMIF(77:77,G16,78:78)-SUMIF(77:77,C16,78:78)+100</f>
        <v>100</v>
      </c>
      <c r="I15" s="401"/>
      <c r="J15" s="400">
        <f>SUMIF(77:77,I16,78:78)-SUMIF(77:77,C16,78:78)+100</f>
        <v>100</v>
      </c>
      <c r="K15" s="571">
        <v>3</v>
      </c>
      <c r="L15" s="2953"/>
      <c r="M15" s="2947"/>
      <c r="N15" s="2947"/>
      <c r="O15" s="2947"/>
      <c r="P15" s="3273" t="s">
        <v>2382</v>
      </c>
      <c r="Q15" s="1538" t="str">
        <f t="shared" si="6"/>
        <v>办公集聚程度</v>
      </c>
      <c r="R15" s="714" t="s">
        <v>17</v>
      </c>
      <c r="S15" s="715">
        <f t="shared" si="0"/>
        <v>100</v>
      </c>
      <c r="T15" s="714" t="s">
        <v>17</v>
      </c>
      <c r="U15" s="715">
        <f t="shared" si="1"/>
        <v>100</v>
      </c>
      <c r="V15" s="714" t="s">
        <v>17</v>
      </c>
      <c r="W15" s="715">
        <f t="shared" si="2"/>
        <v>100</v>
      </c>
      <c r="X15" s="1541"/>
      <c r="Y15" s="3275" t="s">
        <v>2382</v>
      </c>
      <c r="Z15" s="1542" t="str">
        <f t="shared" si="7"/>
        <v>办公集聚程度</v>
      </c>
      <c r="AA15" s="1539">
        <f t="shared" si="3"/>
        <v>1</v>
      </c>
      <c r="AB15" s="1539">
        <f t="shared" si="4"/>
        <v>1</v>
      </c>
      <c r="AC15" s="2150">
        <f t="shared" si="5"/>
        <v>1</v>
      </c>
    </row>
    <row r="16" spans="1:29" ht="15">
      <c r="A16" s="387"/>
      <c r="B16" s="586"/>
      <c r="C16" s="2092" t="s">
        <v>3081</v>
      </c>
      <c r="D16" s="407"/>
      <c r="E16" s="406" t="s">
        <v>3081</v>
      </c>
      <c r="F16" s="407"/>
      <c r="G16" s="406" t="s">
        <v>3081</v>
      </c>
      <c r="H16" s="409"/>
      <c r="I16" s="406" t="s">
        <v>3081</v>
      </c>
      <c r="J16" s="407"/>
      <c r="K16" s="572"/>
      <c r="L16" s="2953"/>
      <c r="M16" s="2947"/>
      <c r="N16" s="2947"/>
      <c r="O16" s="2947"/>
      <c r="P16" s="3274"/>
      <c r="Q16" s="1538"/>
      <c r="R16" s="714"/>
      <c r="S16" s="715"/>
      <c r="T16" s="714"/>
      <c r="U16" s="715"/>
      <c r="V16" s="714"/>
      <c r="W16" s="715"/>
      <c r="X16" s="1541"/>
      <c r="Y16" s="3276"/>
      <c r="Z16" s="1542"/>
      <c r="AA16" s="1539">
        <v>1</v>
      </c>
      <c r="AB16" s="1539">
        <v>1</v>
      </c>
      <c r="AC16" s="2150">
        <v>1</v>
      </c>
    </row>
    <row r="17" spans="1:29" ht="15">
      <c r="A17" s="387"/>
      <c r="B17" s="587" t="s">
        <v>1946</v>
      </c>
      <c r="C17" s="2151">
        <f>估价对象房地状况!C6</f>
        <v>0</v>
      </c>
      <c r="D17" s="409">
        <v>100</v>
      </c>
      <c r="E17" s="413"/>
      <c r="F17" s="409">
        <f>SUMIF(79:79,E18,80:80)-SUMIF(79:79,C18,80:80)+100</f>
        <v>100</v>
      </c>
      <c r="G17" s="413"/>
      <c r="H17" s="414">
        <f>SUMIF(79:79,G18,80:80)-SUMIF(79:79,C18,80:80)+100</f>
        <v>100</v>
      </c>
      <c r="I17" s="413"/>
      <c r="J17" s="414">
        <f>SUMIF(79:79,I18,80:80)-SUMIF(79:79,C18,80:80)+100</f>
        <v>100</v>
      </c>
      <c r="K17" s="571">
        <v>2</v>
      </c>
      <c r="L17" s="2953"/>
      <c r="M17" s="2947"/>
      <c r="N17" s="2947"/>
      <c r="O17" s="2947"/>
      <c r="P17" s="3274"/>
      <c r="Q17" s="1538" t="str">
        <f>B17</f>
        <v>交通便捷度</v>
      </c>
      <c r="R17" s="714" t="s">
        <v>17</v>
      </c>
      <c r="S17" s="715">
        <f>F17</f>
        <v>100</v>
      </c>
      <c r="T17" s="714" t="s">
        <v>17</v>
      </c>
      <c r="U17" s="715">
        <f>H17</f>
        <v>100</v>
      </c>
      <c r="V17" s="714" t="s">
        <v>17</v>
      </c>
      <c r="W17" s="715">
        <f>J17</f>
        <v>100</v>
      </c>
      <c r="X17" s="1541"/>
      <c r="Y17" s="3276"/>
      <c r="Z17" s="1542" t="str">
        <f>Q17</f>
        <v>交通便捷度</v>
      </c>
      <c r="AA17" s="1539">
        <f t="shared" si="3"/>
        <v>1</v>
      </c>
      <c r="AB17" s="1539">
        <f t="shared" si="4"/>
        <v>1</v>
      </c>
      <c r="AC17" s="2150">
        <f t="shared" si="5"/>
        <v>1</v>
      </c>
    </row>
    <row r="18" spans="1:29" ht="15">
      <c r="A18" s="387"/>
      <c r="B18" s="588"/>
      <c r="C18" s="2152" t="s">
        <v>3081</v>
      </c>
      <c r="D18" s="409"/>
      <c r="E18" s="2090" t="s">
        <v>3081</v>
      </c>
      <c r="F18" s="409"/>
      <c r="G18" s="2090" t="s">
        <v>3081</v>
      </c>
      <c r="H18" s="407"/>
      <c r="I18" s="2090" t="s">
        <v>3081</v>
      </c>
      <c r="J18" s="407"/>
      <c r="K18" s="572"/>
      <c r="L18" s="2953"/>
      <c r="M18" s="2947"/>
      <c r="N18" s="2947"/>
      <c r="O18" s="2947"/>
      <c r="P18" s="3274"/>
      <c r="Q18" s="1538"/>
      <c r="R18" s="714"/>
      <c r="S18" s="715"/>
      <c r="T18" s="714"/>
      <c r="U18" s="715"/>
      <c r="V18" s="714"/>
      <c r="W18" s="715"/>
      <c r="X18" s="1541"/>
      <c r="Y18" s="3276"/>
      <c r="Z18" s="1542"/>
      <c r="AA18" s="1539">
        <v>1</v>
      </c>
      <c r="AB18" s="1539">
        <v>1</v>
      </c>
      <c r="AC18" s="2150">
        <v>1</v>
      </c>
    </row>
    <row r="19" spans="1:29" ht="15">
      <c r="A19" s="387"/>
      <c r="B19" s="587" t="s">
        <v>2510</v>
      </c>
      <c r="C19" s="2151">
        <f>估价对象房地状况!C7</f>
        <v>0</v>
      </c>
      <c r="D19" s="414">
        <v>100</v>
      </c>
      <c r="E19" s="418"/>
      <c r="F19" s="414">
        <f>SUMIF(81:81,E20,82:82)-SUMIF(81:81,C20,82:82)+100</f>
        <v>100</v>
      </c>
      <c r="G19" s="418"/>
      <c r="H19" s="409">
        <f>SUMIF(81:81,G20,82:82)-SUMIF(81:81,C20,82:82)+100</f>
        <v>100</v>
      </c>
      <c r="I19" s="418"/>
      <c r="J19" s="409">
        <f>SUMIF(81:81,I20,82:82)-SUMIF(81:81,C20,82:82)+100</f>
        <v>100</v>
      </c>
      <c r="K19" s="571">
        <v>2</v>
      </c>
      <c r="L19" s="2953"/>
      <c r="M19" s="2947"/>
      <c r="N19" s="2947"/>
      <c r="O19" s="2947"/>
      <c r="P19" s="3274"/>
      <c r="Q19" s="1538" t="str">
        <f>B19</f>
        <v>公共配套设施</v>
      </c>
      <c r="R19" s="714" t="s">
        <v>17</v>
      </c>
      <c r="S19" s="715">
        <f>F19</f>
        <v>100</v>
      </c>
      <c r="T19" s="714" t="s">
        <v>17</v>
      </c>
      <c r="U19" s="715">
        <f>H19</f>
        <v>100</v>
      </c>
      <c r="V19" s="714" t="s">
        <v>17</v>
      </c>
      <c r="W19" s="715">
        <f>J19</f>
        <v>100</v>
      </c>
      <c r="X19" s="1541"/>
      <c r="Y19" s="3276"/>
      <c r="Z19" s="1542" t="str">
        <f>Q19</f>
        <v>公共配套设施</v>
      </c>
      <c r="AA19" s="1539">
        <f t="shared" si="3"/>
        <v>1</v>
      </c>
      <c r="AB19" s="1539">
        <f t="shared" si="4"/>
        <v>1</v>
      </c>
      <c r="AC19" s="2150">
        <f t="shared" si="5"/>
        <v>1</v>
      </c>
    </row>
    <row r="20" spans="1:29" ht="15">
      <c r="A20" s="387"/>
      <c r="B20" s="588"/>
      <c r="C20" s="2092" t="s">
        <v>3081</v>
      </c>
      <c r="D20" s="407"/>
      <c r="E20" s="2092" t="s">
        <v>3081</v>
      </c>
      <c r="F20" s="407"/>
      <c r="G20" s="2092" t="s">
        <v>3081</v>
      </c>
      <c r="H20" s="407"/>
      <c r="I20" s="2092" t="s">
        <v>3081</v>
      </c>
      <c r="J20" s="407"/>
      <c r="K20" s="572"/>
      <c r="L20" s="2953"/>
      <c r="M20" s="2947"/>
      <c r="N20" s="2947"/>
      <c r="O20" s="2947"/>
      <c r="P20" s="3274"/>
      <c r="Q20" s="1538"/>
      <c r="R20" s="714"/>
      <c r="S20" s="715"/>
      <c r="T20" s="714"/>
      <c r="U20" s="715"/>
      <c r="V20" s="714"/>
      <c r="W20" s="715"/>
      <c r="X20" s="1541"/>
      <c r="Y20" s="3276"/>
      <c r="Z20" s="1542"/>
      <c r="AA20" s="1539">
        <v>1</v>
      </c>
      <c r="AB20" s="1539">
        <v>1</v>
      </c>
      <c r="AC20" s="2150">
        <v>1</v>
      </c>
    </row>
    <row r="21" spans="1:29" ht="15">
      <c r="A21" s="387"/>
      <c r="B21" s="589" t="s">
        <v>2511</v>
      </c>
      <c r="C21" s="2151">
        <f>估价对象房地状况!C8</f>
        <v>0</v>
      </c>
      <c r="D21" s="409">
        <v>100</v>
      </c>
      <c r="E21" s="418"/>
      <c r="F21" s="414">
        <f>SUMIF(83:83,E22,84:84)-SUMIF(83:83,C22,84:84)+100</f>
        <v>100</v>
      </c>
      <c r="G21" s="418"/>
      <c r="H21" s="409">
        <f>SUMIF(83:83,G22,84:84)-SUMIF(83:83,C22,84:84)+100</f>
        <v>100</v>
      </c>
      <c r="I21" s="418"/>
      <c r="J21" s="409">
        <f>SUMIF(83:83,I22,84:84)-SUMIF(83:83,C22,84:84)+100</f>
        <v>100</v>
      </c>
      <c r="K21" s="571">
        <v>2</v>
      </c>
      <c r="L21" s="2953"/>
      <c r="M21" s="2947"/>
      <c r="N21" s="2947"/>
      <c r="O21" s="2947"/>
      <c r="P21" s="3274"/>
      <c r="Q21" s="1538" t="str">
        <f>B21</f>
        <v>基础设施水平</v>
      </c>
      <c r="R21" s="714" t="s">
        <v>17</v>
      </c>
      <c r="S21" s="715">
        <f>F21</f>
        <v>100</v>
      </c>
      <c r="T21" s="714" t="s">
        <v>17</v>
      </c>
      <c r="U21" s="715">
        <f>H21</f>
        <v>100</v>
      </c>
      <c r="V21" s="714" t="s">
        <v>17</v>
      </c>
      <c r="W21" s="715">
        <f>J21</f>
        <v>100</v>
      </c>
      <c r="X21" s="1541"/>
      <c r="Y21" s="3276"/>
      <c r="Z21" s="1542" t="str">
        <f>Q21</f>
        <v>基础设施水平</v>
      </c>
      <c r="AA21" s="1539">
        <f t="shared" ref="AA21" si="8">D21/F21</f>
        <v>1</v>
      </c>
      <c r="AB21" s="1539">
        <f t="shared" ref="AB21" si="9">D21/H21</f>
        <v>1</v>
      </c>
      <c r="AC21" s="2150">
        <f t="shared" ref="AC21" si="10">D21/J21</f>
        <v>1</v>
      </c>
    </row>
    <row r="22" spans="1:29" ht="15">
      <c r="A22" s="387"/>
      <c r="B22" s="589"/>
      <c r="C22" s="2152" t="s">
        <v>3082</v>
      </c>
      <c r="D22" s="407"/>
      <c r="E22" s="406" t="s">
        <v>3082</v>
      </c>
      <c r="F22" s="407"/>
      <c r="G22" s="406" t="s">
        <v>3082</v>
      </c>
      <c r="H22" s="407"/>
      <c r="I22" s="406" t="s">
        <v>3082</v>
      </c>
      <c r="J22" s="407"/>
      <c r="K22" s="1292"/>
      <c r="L22" s="2953"/>
      <c r="M22" s="2947"/>
      <c r="N22" s="2947"/>
      <c r="O22" s="2947"/>
      <c r="P22" s="3274"/>
      <c r="Q22" s="1538"/>
      <c r="R22" s="714"/>
      <c r="S22" s="715"/>
      <c r="T22" s="714"/>
      <c r="U22" s="715"/>
      <c r="V22" s="714"/>
      <c r="W22" s="715"/>
      <c r="X22" s="1541"/>
      <c r="Y22" s="3276"/>
      <c r="Z22" s="1542"/>
      <c r="AA22" s="1539">
        <v>1</v>
      </c>
      <c r="AB22" s="1539">
        <v>1</v>
      </c>
      <c r="AC22" s="2150">
        <v>1</v>
      </c>
    </row>
    <row r="23" spans="1:29" ht="15">
      <c r="A23" s="387"/>
      <c r="B23" s="587" t="s">
        <v>2512</v>
      </c>
      <c r="C23" s="2151">
        <f>估价对象房地状况!C9</f>
        <v>0</v>
      </c>
      <c r="D23" s="409">
        <v>100</v>
      </c>
      <c r="E23" s="413"/>
      <c r="F23" s="409">
        <f>SUMIF(85:85,E24,86:86)-SUMIF(85:85,C24,86:86)+100</f>
        <v>100</v>
      </c>
      <c r="G23" s="413"/>
      <c r="H23" s="409">
        <f>SUMIF(85:85,G24,86:86)-SUMIF(85:85,C24,86:86)+100</f>
        <v>100</v>
      </c>
      <c r="I23" s="413"/>
      <c r="J23" s="409">
        <f>SUMIF(85:85,I24,86:86)-SUMIF(85:85,C24,86:86)+100</f>
        <v>100</v>
      </c>
      <c r="K23" s="571">
        <v>3</v>
      </c>
      <c r="L23" s="2953"/>
      <c r="M23" s="2947"/>
      <c r="N23" s="2947"/>
      <c r="O23" s="2947"/>
      <c r="P23" s="3274"/>
      <c r="Q23" s="1538" t="str">
        <f>B23</f>
        <v>环境质量</v>
      </c>
      <c r="R23" s="714" t="s">
        <v>17</v>
      </c>
      <c r="S23" s="715">
        <f>F23</f>
        <v>100</v>
      </c>
      <c r="T23" s="714" t="s">
        <v>17</v>
      </c>
      <c r="U23" s="715">
        <f>H23</f>
        <v>100</v>
      </c>
      <c r="V23" s="714" t="s">
        <v>17</v>
      </c>
      <c r="W23" s="715">
        <f>J23</f>
        <v>100</v>
      </c>
      <c r="X23" s="1541"/>
      <c r="Y23" s="3276"/>
      <c r="Z23" s="1542" t="str">
        <f>Q23</f>
        <v>环境质量</v>
      </c>
      <c r="AA23" s="1539">
        <f t="shared" si="3"/>
        <v>1</v>
      </c>
      <c r="AB23" s="1539">
        <f t="shared" si="4"/>
        <v>1</v>
      </c>
      <c r="AC23" s="2150">
        <f t="shared" si="5"/>
        <v>1</v>
      </c>
    </row>
    <row r="24" spans="1:29" ht="15">
      <c r="A24" s="387"/>
      <c r="B24" s="589"/>
      <c r="C24" s="2092" t="s">
        <v>3081</v>
      </c>
      <c r="D24" s="407"/>
      <c r="E24" s="2085" t="s">
        <v>3081</v>
      </c>
      <c r="F24" s="407"/>
      <c r="G24" s="2085" t="s">
        <v>3081</v>
      </c>
      <c r="H24" s="407"/>
      <c r="I24" s="2085" t="s">
        <v>3081</v>
      </c>
      <c r="J24" s="407"/>
      <c r="K24" s="572"/>
      <c r="L24" s="2953"/>
      <c r="M24" s="2947"/>
      <c r="N24" s="2947"/>
      <c r="O24" s="2947"/>
      <c r="P24" s="3274"/>
      <c r="Q24" s="1538"/>
      <c r="R24" s="714"/>
      <c r="S24" s="715"/>
      <c r="T24" s="714"/>
      <c r="U24" s="715"/>
      <c r="V24" s="714"/>
      <c r="W24" s="715"/>
      <c r="X24" s="1541"/>
      <c r="Y24" s="3276"/>
      <c r="Z24" s="1542"/>
      <c r="AA24" s="1539">
        <v>1</v>
      </c>
      <c r="AB24" s="1539">
        <v>1</v>
      </c>
      <c r="AC24" s="2150">
        <v>1</v>
      </c>
    </row>
    <row r="25" spans="1:29" ht="27" hidden="1">
      <c r="A25" s="364"/>
      <c r="B25" s="587" t="s">
        <v>2513</v>
      </c>
      <c r="C25" s="2096"/>
      <c r="D25" s="394">
        <v>100</v>
      </c>
      <c r="E25" s="393"/>
      <c r="F25" s="394">
        <f>SUMIF(87:87,E26,88:88)-SUMIF(87:87,C26,88:88)+100</f>
        <v>100</v>
      </c>
      <c r="G25" s="393"/>
      <c r="H25" s="394">
        <f>SUMIF(87:87,G26,88:88)-SUMIF(87:87,C26,88:88)+100</f>
        <v>100</v>
      </c>
      <c r="I25" s="393"/>
      <c r="J25" s="394">
        <f>SUMIF(87:87,I26,88:88)-SUMIF(87:87,C26,88:88)+100</f>
        <v>100</v>
      </c>
      <c r="K25" s="571"/>
      <c r="L25" s="2953"/>
      <c r="M25" s="2947"/>
      <c r="N25" s="2947"/>
      <c r="O25" s="2947"/>
      <c r="P25" s="3274"/>
      <c r="Q25" s="1538" t="str">
        <f>B25</f>
        <v>毗邻道路的类型与等级</v>
      </c>
      <c r="R25" s="714" t="s">
        <v>17</v>
      </c>
      <c r="S25" s="715">
        <f>F25</f>
        <v>100</v>
      </c>
      <c r="T25" s="714" t="s">
        <v>17</v>
      </c>
      <c r="U25" s="715">
        <f>H25</f>
        <v>100</v>
      </c>
      <c r="V25" s="714" t="s">
        <v>17</v>
      </c>
      <c r="W25" s="715">
        <f>J25</f>
        <v>100</v>
      </c>
      <c r="X25" s="1541"/>
      <c r="Y25" s="3276"/>
      <c r="Z25" s="1542" t="str">
        <f>Q25</f>
        <v>毗邻道路的类型与等级</v>
      </c>
      <c r="AA25" s="1539">
        <f t="shared" si="3"/>
        <v>1</v>
      </c>
      <c r="AB25" s="1539">
        <f t="shared" si="4"/>
        <v>1</v>
      </c>
      <c r="AC25" s="2150">
        <f t="shared" si="5"/>
        <v>1</v>
      </c>
    </row>
    <row r="26" spans="1:29" ht="15" hidden="1">
      <c r="A26" s="364"/>
      <c r="B26" s="588"/>
      <c r="C26" s="590"/>
      <c r="D26" s="394"/>
      <c r="E26" s="573"/>
      <c r="F26" s="394"/>
      <c r="G26" s="573"/>
      <c r="H26" s="394"/>
      <c r="I26" s="573"/>
      <c r="J26" s="394"/>
      <c r="K26" s="572"/>
      <c r="L26" s="2953"/>
      <c r="M26" s="2947"/>
      <c r="N26" s="2947"/>
      <c r="O26" s="2947"/>
      <c r="P26" s="3274"/>
      <c r="Q26" s="1538"/>
      <c r="R26" s="714"/>
      <c r="S26" s="715"/>
      <c r="T26" s="714"/>
      <c r="U26" s="715"/>
      <c r="V26" s="714"/>
      <c r="W26" s="715"/>
      <c r="X26" s="1541"/>
      <c r="Y26" s="3276"/>
      <c r="Z26" s="1542"/>
      <c r="AA26" s="1539">
        <v>1</v>
      </c>
      <c r="AB26" s="1539">
        <v>1</v>
      </c>
      <c r="AC26" s="2150">
        <v>1</v>
      </c>
    </row>
    <row r="27" spans="1:29" ht="15.75" thickBot="1">
      <c r="A27" s="387"/>
      <c r="B27" s="588" t="s">
        <v>2481</v>
      </c>
      <c r="C27" s="590" t="s">
        <v>3083</v>
      </c>
      <c r="D27" s="394">
        <v>100</v>
      </c>
      <c r="E27" s="573" t="s">
        <v>3083</v>
      </c>
      <c r="F27" s="394">
        <f>SUMIF(89:89,E27,90:90)-SUMIF(89:89,C27,90:90)+100</f>
        <v>100</v>
      </c>
      <c r="G27" s="573" t="s">
        <v>3087</v>
      </c>
      <c r="H27" s="394">
        <f>SUMIF(89:89,G27,90:90)-SUMIF(89:89,C27,90:90)+100</f>
        <v>104</v>
      </c>
      <c r="I27" s="573" t="s">
        <v>3085</v>
      </c>
      <c r="J27" s="394">
        <f>SUMIF(89:89,I27,90:90)-SUMIF(89:89,C27,90:90)+100</f>
        <v>102</v>
      </c>
      <c r="K27" s="569">
        <v>2</v>
      </c>
      <c r="L27" s="2953"/>
      <c r="M27" s="2947"/>
      <c r="N27" s="2947"/>
      <c r="O27" s="2947"/>
      <c r="P27" s="3274"/>
      <c r="Q27" s="1538" t="str">
        <f t="shared" ref="Q27:Q47" si="11">B27</f>
        <v>楼层</v>
      </c>
      <c r="R27" s="714" t="s">
        <v>17</v>
      </c>
      <c r="S27" s="715">
        <f>F27</f>
        <v>100</v>
      </c>
      <c r="T27" s="714" t="s">
        <v>17</v>
      </c>
      <c r="U27" s="715">
        <f>H27</f>
        <v>104</v>
      </c>
      <c r="V27" s="714" t="s">
        <v>17</v>
      </c>
      <c r="W27" s="715">
        <f>J27</f>
        <v>102</v>
      </c>
      <c r="X27" s="1541"/>
      <c r="Y27" s="3276"/>
      <c r="Z27" s="1542" t="str">
        <f>Q27</f>
        <v>楼层</v>
      </c>
      <c r="AA27" s="1539">
        <f t="shared" si="3"/>
        <v>1</v>
      </c>
      <c r="AB27" s="1539">
        <f t="shared" si="4"/>
        <v>0.96153846153846156</v>
      </c>
      <c r="AC27" s="2150">
        <f t="shared" si="5"/>
        <v>0.98039215686274506</v>
      </c>
    </row>
    <row r="28" spans="1:29" s="113" customFormat="1" ht="15" hidden="1">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74"/>
      <c r="Q28" s="1529" t="str">
        <f t="shared" si="11"/>
        <v>朝向</v>
      </c>
      <c r="R28" s="710" t="s">
        <v>17</v>
      </c>
      <c r="S28" s="711">
        <f>F28</f>
        <v>100</v>
      </c>
      <c r="T28" s="710" t="s">
        <v>17</v>
      </c>
      <c r="U28" s="711">
        <f>H28</f>
        <v>100</v>
      </c>
      <c r="V28" s="710" t="s">
        <v>17</v>
      </c>
      <c r="W28" s="711">
        <f>J28</f>
        <v>100</v>
      </c>
      <c r="X28" s="712"/>
      <c r="Y28" s="3276"/>
      <c r="Z28" s="55" t="str">
        <f>Q28</f>
        <v>朝向</v>
      </c>
      <c r="AA28" s="1539">
        <f>D28/F28</f>
        <v>1</v>
      </c>
      <c r="AB28" s="1539">
        <f>D28/H28</f>
        <v>1</v>
      </c>
      <c r="AC28" s="2150">
        <f>D28/J28</f>
        <v>1</v>
      </c>
    </row>
    <row r="29" spans="1:29" ht="15" hidden="1">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74"/>
      <c r="Q29" s="1538">
        <f t="shared" si="11"/>
        <v>111</v>
      </c>
      <c r="R29" s="714" t="s">
        <v>17</v>
      </c>
      <c r="S29" s="715">
        <f t="shared" ref="S29:S47" si="12">F29</f>
        <v>100</v>
      </c>
      <c r="T29" s="714" t="s">
        <v>17</v>
      </c>
      <c r="U29" s="715">
        <f t="shared" ref="U29:U47" si="13">H29</f>
        <v>100</v>
      </c>
      <c r="V29" s="714" t="s">
        <v>17</v>
      </c>
      <c r="W29" s="715">
        <f t="shared" ref="W29:W47" si="14">J29</f>
        <v>100</v>
      </c>
      <c r="X29" s="1541"/>
      <c r="Y29" s="3276"/>
      <c r="Z29" s="1542">
        <f t="shared" ref="Z29:Z47" si="15">Q29</f>
        <v>111</v>
      </c>
      <c r="AA29" s="1539">
        <f t="shared" si="3"/>
        <v>1</v>
      </c>
      <c r="AB29" s="1539">
        <f t="shared" si="4"/>
        <v>1</v>
      </c>
      <c r="AC29" s="2150">
        <f t="shared" si="5"/>
        <v>1</v>
      </c>
    </row>
    <row r="30" spans="1:29" ht="15" hidden="1">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74"/>
      <c r="Q30" s="1538">
        <f t="shared" si="11"/>
        <v>111</v>
      </c>
      <c r="R30" s="714" t="s">
        <v>17</v>
      </c>
      <c r="S30" s="715">
        <f t="shared" si="12"/>
        <v>100</v>
      </c>
      <c r="T30" s="714" t="s">
        <v>17</v>
      </c>
      <c r="U30" s="715">
        <f t="shared" si="13"/>
        <v>100</v>
      </c>
      <c r="V30" s="714" t="s">
        <v>17</v>
      </c>
      <c r="W30" s="715">
        <f t="shared" si="14"/>
        <v>100</v>
      </c>
      <c r="X30" s="1541"/>
      <c r="Y30" s="3276"/>
      <c r="Z30" s="1542">
        <f t="shared" si="15"/>
        <v>111</v>
      </c>
      <c r="AA30" s="1539">
        <f t="shared" si="3"/>
        <v>1</v>
      </c>
      <c r="AB30" s="1539">
        <f t="shared" si="4"/>
        <v>1</v>
      </c>
      <c r="AC30" s="2150">
        <f t="shared" si="5"/>
        <v>1</v>
      </c>
    </row>
    <row r="31" spans="1:29" ht="15" hidden="1">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74"/>
      <c r="Q31" s="1538">
        <f t="shared" si="11"/>
        <v>111</v>
      </c>
      <c r="R31" s="714" t="s">
        <v>17</v>
      </c>
      <c r="S31" s="715">
        <f t="shared" si="12"/>
        <v>100</v>
      </c>
      <c r="T31" s="714" t="s">
        <v>17</v>
      </c>
      <c r="U31" s="715">
        <f t="shared" si="13"/>
        <v>100</v>
      </c>
      <c r="V31" s="714" t="s">
        <v>17</v>
      </c>
      <c r="W31" s="715">
        <f t="shared" si="14"/>
        <v>100</v>
      </c>
      <c r="X31" s="1541"/>
      <c r="Y31" s="3276"/>
      <c r="Z31" s="1542">
        <f t="shared" si="15"/>
        <v>111</v>
      </c>
      <c r="AA31" s="1539">
        <f t="shared" si="3"/>
        <v>1</v>
      </c>
      <c r="AB31" s="1539">
        <f t="shared" si="4"/>
        <v>1</v>
      </c>
      <c r="AC31" s="2150">
        <f t="shared" si="5"/>
        <v>1</v>
      </c>
    </row>
    <row r="32" spans="1:29" ht="15.75" hidden="1"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74"/>
      <c r="Q32" s="1538">
        <f t="shared" si="11"/>
        <v>111</v>
      </c>
      <c r="R32" s="714" t="s">
        <v>17</v>
      </c>
      <c r="S32" s="715">
        <f t="shared" si="12"/>
        <v>100</v>
      </c>
      <c r="T32" s="714" t="s">
        <v>17</v>
      </c>
      <c r="U32" s="715">
        <f t="shared" si="13"/>
        <v>100</v>
      </c>
      <c r="V32" s="714" t="s">
        <v>17</v>
      </c>
      <c r="W32" s="715">
        <f t="shared" si="14"/>
        <v>100</v>
      </c>
      <c r="X32" s="1541"/>
      <c r="Y32" s="3276"/>
      <c r="Z32" s="1542">
        <f t="shared" si="15"/>
        <v>111</v>
      </c>
      <c r="AA32" s="1539">
        <f t="shared" si="3"/>
        <v>1</v>
      </c>
      <c r="AB32" s="1539">
        <f t="shared" si="4"/>
        <v>1</v>
      </c>
      <c r="AC32" s="2150">
        <f t="shared" si="5"/>
        <v>1</v>
      </c>
    </row>
    <row r="33" spans="1:29" ht="15">
      <c r="A33" s="399" t="s">
        <v>2385</v>
      </c>
      <c r="B33" s="67" t="s">
        <v>2515</v>
      </c>
      <c r="C33" s="2155" t="s">
        <v>3089</v>
      </c>
      <c r="D33" s="426">
        <v>100</v>
      </c>
      <c r="E33" s="2155" t="s">
        <v>3089</v>
      </c>
      <c r="F33" s="420">
        <f>SUMIF(101:101,E33,102:102)-SUMIF(101:101,C33,102:102)+100</f>
        <v>100</v>
      </c>
      <c r="G33" s="2155" t="s">
        <v>3089</v>
      </c>
      <c r="H33" s="394">
        <f>SUMIF(101:101,G33,102:102)-SUMIF(101:101,C33,102:102)+100</f>
        <v>100</v>
      </c>
      <c r="I33" s="2155" t="s">
        <v>3089</v>
      </c>
      <c r="J33" s="426">
        <f>SUMIF(101:101,I33,102:102)-SUMIF(101:101,C33,102:102)+100</f>
        <v>100</v>
      </c>
      <c r="K33" s="569">
        <v>5</v>
      </c>
      <c r="L33" s="2953"/>
      <c r="M33" s="2947"/>
      <c r="N33" s="2947"/>
      <c r="O33" s="2947"/>
      <c r="P33" s="3277" t="s">
        <v>2387</v>
      </c>
      <c r="Q33" s="1538" t="str">
        <f t="shared" si="11"/>
        <v>建筑类型</v>
      </c>
      <c r="R33" s="714" t="s">
        <v>17</v>
      </c>
      <c r="S33" s="715">
        <f t="shared" si="12"/>
        <v>100</v>
      </c>
      <c r="T33" s="714" t="s">
        <v>17</v>
      </c>
      <c r="U33" s="715">
        <f t="shared" si="13"/>
        <v>100</v>
      </c>
      <c r="V33" s="714" t="s">
        <v>17</v>
      </c>
      <c r="W33" s="715">
        <f t="shared" si="14"/>
        <v>100</v>
      </c>
      <c r="X33" s="1541"/>
      <c r="Y33" s="3280" t="s">
        <v>2387</v>
      </c>
      <c r="Z33" s="1542" t="str">
        <f t="shared" si="15"/>
        <v>建筑类型</v>
      </c>
      <c r="AA33" s="1539">
        <f t="shared" si="3"/>
        <v>1</v>
      </c>
      <c r="AB33" s="1539">
        <f t="shared" si="4"/>
        <v>1</v>
      </c>
      <c r="AC33" s="2150">
        <f t="shared" si="5"/>
        <v>1</v>
      </c>
    </row>
    <row r="34" spans="1:29" s="430" customFormat="1" ht="15">
      <c r="A34" s="427"/>
      <c r="B34" s="381" t="s">
        <v>2388</v>
      </c>
      <c r="C34" s="428">
        <f>'数据-汇总表'!F19</f>
        <v>1272.47</v>
      </c>
      <c r="D34" s="132">
        <v>100</v>
      </c>
      <c r="E34" s="389">
        <v>1267</v>
      </c>
      <c r="F34" s="384">
        <f>LOOKUP(E34,104:104,105:105)-LOOKUP(C34,104:104,105:105)+100</f>
        <v>100</v>
      </c>
      <c r="G34" s="388">
        <v>1500</v>
      </c>
      <c r="H34" s="132">
        <f>LOOKUP(G34,104:104,105:105)-LOOKUP(C34,104:104,105:105)+100</f>
        <v>100</v>
      </c>
      <c r="I34" s="388">
        <v>1100</v>
      </c>
      <c r="J34" s="132">
        <f>LOOKUP(I34,104:104,105:105)-LOOKUP(C34,104:104,105:105)+100</f>
        <v>100</v>
      </c>
      <c r="K34" s="570"/>
      <c r="L34" s="2952"/>
      <c r="M34" s="2954"/>
      <c r="N34" s="2954"/>
      <c r="O34" s="2954"/>
      <c r="P34" s="3278"/>
      <c r="Q34" s="716" t="str">
        <f t="shared" si="11"/>
        <v>项目建筑规模</v>
      </c>
      <c r="R34" s="717" t="s">
        <v>17</v>
      </c>
      <c r="S34" s="718">
        <f t="shared" si="12"/>
        <v>100</v>
      </c>
      <c r="T34" s="717" t="s">
        <v>17</v>
      </c>
      <c r="U34" s="718">
        <f t="shared" si="13"/>
        <v>100</v>
      </c>
      <c r="V34" s="717" t="s">
        <v>17</v>
      </c>
      <c r="W34" s="718">
        <f t="shared" si="14"/>
        <v>100</v>
      </c>
      <c r="X34" s="719"/>
      <c r="Y34" s="3280"/>
      <c r="Z34" s="720" t="str">
        <f t="shared" si="15"/>
        <v>项目建筑规模</v>
      </c>
      <c r="AA34" s="1539">
        <f t="shared" si="3"/>
        <v>1</v>
      </c>
      <c r="AB34" s="1539">
        <f t="shared" si="4"/>
        <v>1</v>
      </c>
      <c r="AC34" s="2150">
        <f t="shared" si="5"/>
        <v>1</v>
      </c>
    </row>
    <row r="35" spans="1:29" ht="15">
      <c r="A35" s="431"/>
      <c r="B35" s="381" t="s">
        <v>2389</v>
      </c>
      <c r="C35" s="3068" t="s">
        <v>3091</v>
      </c>
      <c r="D35" s="394">
        <v>100</v>
      </c>
      <c r="E35" s="3068" t="s">
        <v>3091</v>
      </c>
      <c r="F35" s="420">
        <f>SUMIF(106:106,E35,107:107)-SUMIF(106:106,C35,107:107)+100</f>
        <v>100</v>
      </c>
      <c r="G35" s="3068" t="s">
        <v>3091</v>
      </c>
      <c r="H35" s="394">
        <f>SUMIF(106:106,G35,107:107)-SUMIF(106:106,C35,107:107)+100</f>
        <v>100</v>
      </c>
      <c r="I35" s="3068" t="s">
        <v>3091</v>
      </c>
      <c r="J35" s="394">
        <f>SUMIF(106:106,I35,107:107)-SUMIF(106:106,C35,107:107)+100</f>
        <v>100</v>
      </c>
      <c r="K35" s="569">
        <v>2</v>
      </c>
      <c r="L35" s="2953"/>
      <c r="M35" s="2947"/>
      <c r="N35" s="2947"/>
      <c r="O35" s="2947"/>
      <c r="P35" s="3278"/>
      <c r="Q35" s="1538" t="str">
        <f t="shared" si="11"/>
        <v>建筑结构</v>
      </c>
      <c r="R35" s="714" t="s">
        <v>17</v>
      </c>
      <c r="S35" s="715">
        <f t="shared" si="12"/>
        <v>100</v>
      </c>
      <c r="T35" s="714" t="s">
        <v>17</v>
      </c>
      <c r="U35" s="715">
        <f t="shared" si="13"/>
        <v>100</v>
      </c>
      <c r="V35" s="714" t="s">
        <v>17</v>
      </c>
      <c r="W35" s="715">
        <f t="shared" si="14"/>
        <v>100</v>
      </c>
      <c r="X35" s="1541"/>
      <c r="Y35" s="3280"/>
      <c r="Z35" s="1542" t="str">
        <f t="shared" si="15"/>
        <v>建筑结构</v>
      </c>
      <c r="AA35" s="1539">
        <f t="shared" si="3"/>
        <v>1</v>
      </c>
      <c r="AB35" s="1539">
        <f t="shared" si="4"/>
        <v>1</v>
      </c>
      <c r="AC35" s="2150">
        <f t="shared" si="5"/>
        <v>1</v>
      </c>
    </row>
    <row r="36" spans="1:29" ht="15">
      <c r="A36" s="431"/>
      <c r="B36" s="381" t="s">
        <v>2483</v>
      </c>
      <c r="C36" s="3068" t="s">
        <v>3092</v>
      </c>
      <c r="D36" s="394">
        <v>100</v>
      </c>
      <c r="E36" s="3068" t="s">
        <v>3092</v>
      </c>
      <c r="F36" s="420">
        <f>SUMIF(108:108,E36,109:109)-SUMIF(108:108,C36,109:109)+100</f>
        <v>100</v>
      </c>
      <c r="G36" s="3068" t="s">
        <v>3092</v>
      </c>
      <c r="H36" s="394">
        <f>SUMIF(108:108,G36,109:109)-SUMIF(108:108,C36,109:109)+100</f>
        <v>100</v>
      </c>
      <c r="I36" s="3068" t="s">
        <v>3092</v>
      </c>
      <c r="J36" s="394">
        <f>SUMIF(108:108,I36,109:109)-SUMIF(108:108,C36,109:109)+100</f>
        <v>100</v>
      </c>
      <c r="K36" s="569">
        <v>2</v>
      </c>
      <c r="L36" s="2953"/>
      <c r="M36" s="2947"/>
      <c r="N36" s="2947"/>
      <c r="O36" s="2947"/>
      <c r="P36" s="3278"/>
      <c r="Q36" s="1538" t="str">
        <f t="shared" si="11"/>
        <v>公共部分装修</v>
      </c>
      <c r="R36" s="714" t="s">
        <v>17</v>
      </c>
      <c r="S36" s="715">
        <f t="shared" si="12"/>
        <v>100</v>
      </c>
      <c r="T36" s="714" t="s">
        <v>17</v>
      </c>
      <c r="U36" s="715">
        <f t="shared" si="13"/>
        <v>100</v>
      </c>
      <c r="V36" s="714" t="s">
        <v>17</v>
      </c>
      <c r="W36" s="715">
        <f t="shared" si="14"/>
        <v>100</v>
      </c>
      <c r="X36" s="1541"/>
      <c r="Y36" s="3280"/>
      <c r="Z36" s="1542" t="str">
        <f t="shared" si="15"/>
        <v>公共部分装修</v>
      </c>
      <c r="AA36" s="1539">
        <f t="shared" si="3"/>
        <v>1</v>
      </c>
      <c r="AB36" s="1539">
        <f t="shared" si="4"/>
        <v>1</v>
      </c>
      <c r="AC36" s="2150">
        <f t="shared" si="5"/>
        <v>1</v>
      </c>
    </row>
    <row r="37" spans="1:29" ht="15">
      <c r="A37" s="431"/>
      <c r="B37" s="381" t="s">
        <v>2484</v>
      </c>
      <c r="C37" s="433">
        <f>'数据-取费表'!N6</f>
        <v>0.72</v>
      </c>
      <c r="D37" s="394">
        <v>100</v>
      </c>
      <c r="E37" s="433">
        <f>ROUND((1-(2021-2006)/60),2)</f>
        <v>0.75</v>
      </c>
      <c r="F37" s="420">
        <f>LOOKUP(E37,111:111,112:112)-LOOKUP(C37,111:111,112:112)+100</f>
        <v>100</v>
      </c>
      <c r="G37" s="433">
        <f>ROUND((1-(2021-2007)/60),2)</f>
        <v>0.77</v>
      </c>
      <c r="H37" s="420">
        <f>LOOKUP(G37,111:111,112:112)-LOOKUP(C37,111:111,112:112)+100</f>
        <v>100</v>
      </c>
      <c r="I37" s="433">
        <f>ROUND((1-(2021-2004)/60),2)</f>
        <v>0.72</v>
      </c>
      <c r="J37" s="394">
        <f>LOOKUP(I37,111:111,112:112)-LOOKUP(C37,111:111,112:112)+100</f>
        <v>100</v>
      </c>
      <c r="K37" s="569">
        <v>2</v>
      </c>
      <c r="L37" s="2953"/>
      <c r="M37" s="2947"/>
      <c r="N37" s="2947"/>
      <c r="O37" s="2947"/>
      <c r="P37" s="3278"/>
      <c r="Q37" s="1538" t="str">
        <f t="shared" si="11"/>
        <v>成新度</v>
      </c>
      <c r="R37" s="714" t="s">
        <v>17</v>
      </c>
      <c r="S37" s="715">
        <f t="shared" si="12"/>
        <v>100</v>
      </c>
      <c r="T37" s="714" t="s">
        <v>17</v>
      </c>
      <c r="U37" s="715">
        <f t="shared" si="13"/>
        <v>100</v>
      </c>
      <c r="V37" s="714" t="s">
        <v>17</v>
      </c>
      <c r="W37" s="715">
        <f t="shared" si="14"/>
        <v>100</v>
      </c>
      <c r="X37" s="1541"/>
      <c r="Y37" s="3280"/>
      <c r="Z37" s="1542" t="str">
        <f t="shared" si="15"/>
        <v>成新度</v>
      </c>
      <c r="AA37" s="1539">
        <f t="shared" si="3"/>
        <v>1</v>
      </c>
      <c r="AB37" s="1539">
        <f t="shared" si="4"/>
        <v>1</v>
      </c>
      <c r="AC37" s="2150">
        <f t="shared" si="5"/>
        <v>1</v>
      </c>
    </row>
    <row r="38" spans="1:29" s="113" customFormat="1" ht="15">
      <c r="A38" s="432"/>
      <c r="B38" s="381" t="s">
        <v>2516</v>
      </c>
      <c r="C38" s="3068" t="s">
        <v>3093</v>
      </c>
      <c r="D38" s="132">
        <v>100</v>
      </c>
      <c r="E38" s="3068" t="s">
        <v>3093</v>
      </c>
      <c r="F38" s="420">
        <f>SUMIF(113:113,E38,114:114)-SUMIF(113:113,C38,114:114)+100</f>
        <v>100</v>
      </c>
      <c r="G38" s="3068" t="s">
        <v>3093</v>
      </c>
      <c r="H38" s="394">
        <f>SUMIF(113:113,G38,114:114)-SUMIF(113:113,C38,114:114)+100</f>
        <v>100</v>
      </c>
      <c r="I38" s="3068" t="s">
        <v>3093</v>
      </c>
      <c r="J38" s="394">
        <f>SUMIF(113:113,I38,114:114)-SUMIF(113:113,C38,114:114)+100</f>
        <v>100</v>
      </c>
      <c r="K38" s="569">
        <v>2</v>
      </c>
      <c r="L38" s="2948"/>
      <c r="M38" s="2949"/>
      <c r="N38" s="2949"/>
      <c r="O38" s="2949"/>
      <c r="P38" s="3278"/>
      <c r="Q38" s="1529" t="str">
        <f t="shared" si="11"/>
        <v>写字楼等级</v>
      </c>
      <c r="R38" s="710" t="s">
        <v>17</v>
      </c>
      <c r="S38" s="711">
        <f t="shared" si="12"/>
        <v>100</v>
      </c>
      <c r="T38" s="710" t="s">
        <v>17</v>
      </c>
      <c r="U38" s="711">
        <f t="shared" si="13"/>
        <v>100</v>
      </c>
      <c r="V38" s="710" t="s">
        <v>17</v>
      </c>
      <c r="W38" s="711">
        <f t="shared" si="14"/>
        <v>100</v>
      </c>
      <c r="X38" s="712"/>
      <c r="Y38" s="3280"/>
      <c r="Z38" s="55" t="str">
        <f t="shared" si="15"/>
        <v>写字楼等级</v>
      </c>
      <c r="AA38" s="713">
        <f t="shared" si="3"/>
        <v>1</v>
      </c>
      <c r="AB38" s="713">
        <f t="shared" si="4"/>
        <v>1</v>
      </c>
      <c r="AC38" s="2147">
        <f t="shared" si="5"/>
        <v>1</v>
      </c>
    </row>
    <row r="39" spans="1:29" ht="15">
      <c r="A39" s="431"/>
      <c r="B39" s="381" t="s">
        <v>2517</v>
      </c>
      <c r="C39" s="3068" t="s">
        <v>3094</v>
      </c>
      <c r="D39" s="394">
        <v>100</v>
      </c>
      <c r="E39" s="3068" t="s">
        <v>3094</v>
      </c>
      <c r="F39" s="420">
        <f>SUMIF(115:115,E39,116:116)-SUMIF(115:115,C39,116:116)+100</f>
        <v>100</v>
      </c>
      <c r="G39" s="3068" t="s">
        <v>3094</v>
      </c>
      <c r="H39" s="394">
        <f>SUMIF(115:115,G39,116:116)-SUMIF(115:115,C39,116:116)+100</f>
        <v>100</v>
      </c>
      <c r="I39" s="3068" t="s">
        <v>3094</v>
      </c>
      <c r="J39" s="394">
        <f>SUMIF(115:115,I39,116:116)-SUMIF(115:115,C39,116:116)+100</f>
        <v>100</v>
      </c>
      <c r="K39" s="569">
        <v>2</v>
      </c>
      <c r="L39" s="2953"/>
      <c r="M39" s="2947"/>
      <c r="N39" s="2947"/>
      <c r="O39" s="2947"/>
      <c r="P39" s="3278" t="s">
        <v>2387</v>
      </c>
      <c r="Q39" s="1538" t="str">
        <f t="shared" si="11"/>
        <v>物业管理</v>
      </c>
      <c r="R39" s="714" t="s">
        <v>17</v>
      </c>
      <c r="S39" s="715">
        <f t="shared" si="12"/>
        <v>100</v>
      </c>
      <c r="T39" s="714" t="s">
        <v>17</v>
      </c>
      <c r="U39" s="715">
        <f t="shared" si="13"/>
        <v>100</v>
      </c>
      <c r="V39" s="714" t="s">
        <v>17</v>
      </c>
      <c r="W39" s="715">
        <f t="shared" si="14"/>
        <v>100</v>
      </c>
      <c r="X39" s="1541"/>
      <c r="Y39" s="3280" t="s">
        <v>2387</v>
      </c>
      <c r="Z39" s="1542" t="str">
        <f t="shared" si="15"/>
        <v>物业管理</v>
      </c>
      <c r="AA39" s="1539">
        <f t="shared" si="3"/>
        <v>1</v>
      </c>
      <c r="AB39" s="1539">
        <f t="shared" si="4"/>
        <v>1</v>
      </c>
      <c r="AC39" s="2150">
        <f t="shared" si="5"/>
        <v>1</v>
      </c>
    </row>
    <row r="40" spans="1:29" ht="15">
      <c r="A40" s="431"/>
      <c r="B40" s="381" t="s">
        <v>2485</v>
      </c>
      <c r="C40" s="3068" t="s">
        <v>3095</v>
      </c>
      <c r="D40" s="394">
        <v>100</v>
      </c>
      <c r="E40" s="3068" t="s">
        <v>3095</v>
      </c>
      <c r="F40" s="420">
        <f>SUMIF(117:117,E40,118:118)-SUMIF(117:117,C40,118:118)+100</f>
        <v>100</v>
      </c>
      <c r="G40" s="3068" t="s">
        <v>3095</v>
      </c>
      <c r="H40" s="394">
        <f>SUMIF(117:117,G40,118:118)-SUMIF(117:117,C40,118:118)+100</f>
        <v>100</v>
      </c>
      <c r="I40" s="3068" t="s">
        <v>3095</v>
      </c>
      <c r="J40" s="394">
        <f>SUMIF(117:117,I40,118:118)-SUMIF(117:117,C40,118:118)+100</f>
        <v>100</v>
      </c>
      <c r="K40" s="569">
        <v>2</v>
      </c>
      <c r="L40" s="2953"/>
      <c r="M40" s="2947"/>
      <c r="N40" s="2947"/>
      <c r="O40" s="2947"/>
      <c r="P40" s="3278"/>
      <c r="Q40" s="1538" t="str">
        <f t="shared" si="11"/>
        <v>市政基础设施</v>
      </c>
      <c r="R40" s="714" t="s">
        <v>17</v>
      </c>
      <c r="S40" s="715">
        <f t="shared" si="12"/>
        <v>100</v>
      </c>
      <c r="T40" s="714" t="s">
        <v>17</v>
      </c>
      <c r="U40" s="715">
        <f t="shared" si="13"/>
        <v>100</v>
      </c>
      <c r="V40" s="714" t="s">
        <v>17</v>
      </c>
      <c r="W40" s="715">
        <f t="shared" si="14"/>
        <v>100</v>
      </c>
      <c r="X40" s="1541"/>
      <c r="Y40" s="3280"/>
      <c r="Z40" s="1542" t="str">
        <f t="shared" si="15"/>
        <v>市政基础设施</v>
      </c>
      <c r="AA40" s="1539">
        <f t="shared" si="3"/>
        <v>1</v>
      </c>
      <c r="AB40" s="1539">
        <f t="shared" si="4"/>
        <v>1</v>
      </c>
      <c r="AC40" s="2150">
        <f t="shared" si="5"/>
        <v>1</v>
      </c>
    </row>
    <row r="41" spans="1:29" ht="15">
      <c r="A41" s="431"/>
      <c r="B41" s="381" t="s">
        <v>2487</v>
      </c>
      <c r="C41" s="3069" t="s">
        <v>3096</v>
      </c>
      <c r="D41" s="394">
        <v>100</v>
      </c>
      <c r="E41" s="3069" t="s">
        <v>3096</v>
      </c>
      <c r="F41" s="420">
        <f>SUMIF(119:119,E41,120:120)-SUMIF(119:119,C41,120:120)+100</f>
        <v>100</v>
      </c>
      <c r="G41" s="3069" t="s">
        <v>3096</v>
      </c>
      <c r="H41" s="394">
        <f>SUMIF(119:119,G41,120:120)-SUMIF(119:119,C41,120:120)+100</f>
        <v>100</v>
      </c>
      <c r="I41" s="3069" t="s">
        <v>3096</v>
      </c>
      <c r="J41" s="394">
        <f>SUMIF(119:119,I41,120:120)-SUMIF(119:119,C41,120:120)+100</f>
        <v>100</v>
      </c>
      <c r="K41" s="569">
        <v>5</v>
      </c>
      <c r="L41" s="2953"/>
      <c r="M41" s="2947"/>
      <c r="N41" s="2947"/>
      <c r="O41" s="2947"/>
      <c r="P41" s="3278"/>
      <c r="Q41" s="1538" t="str">
        <f t="shared" si="11"/>
        <v>层高</v>
      </c>
      <c r="R41" s="714" t="s">
        <v>17</v>
      </c>
      <c r="S41" s="715">
        <f t="shared" si="12"/>
        <v>100</v>
      </c>
      <c r="T41" s="714" t="s">
        <v>17</v>
      </c>
      <c r="U41" s="715">
        <f t="shared" si="13"/>
        <v>100</v>
      </c>
      <c r="V41" s="714" t="s">
        <v>17</v>
      </c>
      <c r="W41" s="715">
        <f t="shared" si="14"/>
        <v>100</v>
      </c>
      <c r="X41" s="1541"/>
      <c r="Y41" s="3280"/>
      <c r="Z41" s="1542" t="str">
        <f t="shared" si="15"/>
        <v>层高</v>
      </c>
      <c r="AA41" s="1539">
        <f t="shared" si="3"/>
        <v>1</v>
      </c>
      <c r="AB41" s="1539">
        <f t="shared" si="4"/>
        <v>1</v>
      </c>
      <c r="AC41" s="2150">
        <f t="shared" si="5"/>
        <v>1</v>
      </c>
    </row>
    <row r="42" spans="1:29" s="430" customFormat="1" ht="15" hidden="1">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78"/>
      <c r="Q42" s="716" t="str">
        <f t="shared" si="11"/>
        <v>单套建筑面积</v>
      </c>
      <c r="R42" s="717" t="s">
        <v>17</v>
      </c>
      <c r="S42" s="718">
        <f t="shared" si="12"/>
        <v>100</v>
      </c>
      <c r="T42" s="717" t="s">
        <v>17</v>
      </c>
      <c r="U42" s="718">
        <f t="shared" si="13"/>
        <v>100</v>
      </c>
      <c r="V42" s="717" t="s">
        <v>17</v>
      </c>
      <c r="W42" s="718">
        <f t="shared" si="14"/>
        <v>100</v>
      </c>
      <c r="X42" s="719"/>
      <c r="Y42" s="3280"/>
      <c r="Z42" s="720" t="str">
        <f t="shared" si="15"/>
        <v>单套建筑面积</v>
      </c>
      <c r="AA42" s="1539">
        <f t="shared" si="3"/>
        <v>1</v>
      </c>
      <c r="AB42" s="1539">
        <f t="shared" si="4"/>
        <v>1</v>
      </c>
      <c r="AC42" s="2150">
        <f t="shared" si="5"/>
        <v>1</v>
      </c>
    </row>
    <row r="43" spans="1:29" ht="15">
      <c r="A43" s="431"/>
      <c r="B43" s="381" t="s">
        <v>2490</v>
      </c>
      <c r="C43" s="3068" t="s">
        <v>3092</v>
      </c>
      <c r="D43" s="394">
        <v>100</v>
      </c>
      <c r="E43" s="3068" t="s">
        <v>3092</v>
      </c>
      <c r="F43" s="420">
        <f>SUMIF(123:123,E43,124:124)-SUMIF(123:123,C43,124:124)+100</f>
        <v>100</v>
      </c>
      <c r="G43" s="3068" t="s">
        <v>3092</v>
      </c>
      <c r="H43" s="394">
        <f>SUMIF(123:123,G43,124:124)-SUMIF(123:123,C43,124:124)+100</f>
        <v>100</v>
      </c>
      <c r="I43" s="3068" t="s">
        <v>3092</v>
      </c>
      <c r="J43" s="394">
        <f>SUMIF(123:123,I43,124:124)-SUMIF(123:123,C43,124:124)+100</f>
        <v>100</v>
      </c>
      <c r="K43" s="569">
        <v>3</v>
      </c>
      <c r="L43" s="2953"/>
      <c r="M43" s="2947"/>
      <c r="N43" s="2947"/>
      <c r="O43" s="2947"/>
      <c r="P43" s="3278"/>
      <c r="Q43" s="1538" t="str">
        <f t="shared" si="11"/>
        <v>内部装修</v>
      </c>
      <c r="R43" s="714" t="s">
        <v>17</v>
      </c>
      <c r="S43" s="715">
        <f t="shared" si="12"/>
        <v>100</v>
      </c>
      <c r="T43" s="714" t="s">
        <v>17</v>
      </c>
      <c r="U43" s="715">
        <f t="shared" si="13"/>
        <v>100</v>
      </c>
      <c r="V43" s="714" t="s">
        <v>17</v>
      </c>
      <c r="W43" s="715">
        <f t="shared" si="14"/>
        <v>100</v>
      </c>
      <c r="X43" s="1541"/>
      <c r="Y43" s="3280"/>
      <c r="Z43" s="1542" t="str">
        <f t="shared" si="15"/>
        <v>内部装修</v>
      </c>
      <c r="AA43" s="1539">
        <f t="shared" si="3"/>
        <v>1</v>
      </c>
      <c r="AB43" s="1539">
        <f t="shared" si="4"/>
        <v>1</v>
      </c>
      <c r="AC43" s="2150">
        <f t="shared" si="5"/>
        <v>1</v>
      </c>
    </row>
    <row r="44" spans="1:29" ht="15.75" thickBot="1">
      <c r="A44" s="431"/>
      <c r="B44" s="381" t="s">
        <v>2398</v>
      </c>
      <c r="C44" s="3068" t="s">
        <v>3097</v>
      </c>
      <c r="D44" s="394">
        <v>100</v>
      </c>
      <c r="E44" s="3068" t="s">
        <v>3097</v>
      </c>
      <c r="F44" s="420">
        <f>SUMIF(125:125,E44,126:126)-SUMIF(125:125,C44,126:126)+100</f>
        <v>100</v>
      </c>
      <c r="G44" s="3068" t="s">
        <v>3097</v>
      </c>
      <c r="H44" s="394">
        <f>SUMIF(125:125,G44,126:126)-SUMIF(125:125,C44,126:126)+100</f>
        <v>100</v>
      </c>
      <c r="I44" s="3068" t="s">
        <v>3097</v>
      </c>
      <c r="J44" s="394">
        <f>SUMIF(125:125,I44,126:126)-SUMIF(125:125,C44,126:126)+100</f>
        <v>100</v>
      </c>
      <c r="K44" s="569">
        <v>2</v>
      </c>
      <c r="L44" s="2953"/>
      <c r="M44" s="2947"/>
      <c r="N44" s="2947"/>
      <c r="O44" s="2947"/>
      <c r="P44" s="3278"/>
      <c r="Q44" s="1538" t="str">
        <f t="shared" si="11"/>
        <v>内部装修维护情况</v>
      </c>
      <c r="R44" s="714" t="s">
        <v>17</v>
      </c>
      <c r="S44" s="715">
        <f t="shared" si="12"/>
        <v>100</v>
      </c>
      <c r="T44" s="714" t="s">
        <v>17</v>
      </c>
      <c r="U44" s="715">
        <f t="shared" si="13"/>
        <v>100</v>
      </c>
      <c r="V44" s="714" t="s">
        <v>17</v>
      </c>
      <c r="W44" s="715">
        <f t="shared" si="14"/>
        <v>100</v>
      </c>
      <c r="X44" s="1541"/>
      <c r="Y44" s="3280"/>
      <c r="Z44" s="1542" t="str">
        <f t="shared" si="15"/>
        <v>内部装修维护情况</v>
      </c>
      <c r="AA44" s="1539">
        <f t="shared" si="3"/>
        <v>1</v>
      </c>
      <c r="AB44" s="1539">
        <f t="shared" si="4"/>
        <v>1</v>
      </c>
      <c r="AC44" s="2150">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78"/>
      <c r="Q45" s="1529">
        <f t="shared" si="11"/>
        <v>111</v>
      </c>
      <c r="R45" s="710" t="s">
        <v>17</v>
      </c>
      <c r="S45" s="711">
        <f t="shared" si="12"/>
        <v>100</v>
      </c>
      <c r="T45" s="710" t="s">
        <v>17</v>
      </c>
      <c r="U45" s="711">
        <f t="shared" si="13"/>
        <v>100</v>
      </c>
      <c r="V45" s="710" t="s">
        <v>17</v>
      </c>
      <c r="W45" s="711">
        <f t="shared" si="14"/>
        <v>100</v>
      </c>
      <c r="X45" s="712"/>
      <c r="Y45" s="3280"/>
      <c r="Z45" s="55">
        <f t="shared" si="15"/>
        <v>111</v>
      </c>
      <c r="AA45" s="713">
        <f t="shared" si="3"/>
        <v>1</v>
      </c>
      <c r="AB45" s="713">
        <f t="shared" si="4"/>
        <v>1</v>
      </c>
      <c r="AC45" s="2147">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78"/>
      <c r="Q46" s="1538">
        <f t="shared" si="11"/>
        <v>111</v>
      </c>
      <c r="R46" s="714" t="s">
        <v>17</v>
      </c>
      <c r="S46" s="715">
        <f t="shared" si="12"/>
        <v>100</v>
      </c>
      <c r="T46" s="714" t="s">
        <v>17</v>
      </c>
      <c r="U46" s="715">
        <f t="shared" si="13"/>
        <v>100</v>
      </c>
      <c r="V46" s="714" t="s">
        <v>17</v>
      </c>
      <c r="W46" s="715">
        <f t="shared" si="14"/>
        <v>100</v>
      </c>
      <c r="X46" s="1541"/>
      <c r="Y46" s="3280"/>
      <c r="Z46" s="1542">
        <f t="shared" si="15"/>
        <v>111</v>
      </c>
      <c r="AA46" s="1539">
        <f t="shared" si="3"/>
        <v>1</v>
      </c>
      <c r="AB46" s="1539">
        <f t="shared" si="4"/>
        <v>1</v>
      </c>
      <c r="AC46" s="2150">
        <f t="shared" si="5"/>
        <v>1</v>
      </c>
    </row>
    <row r="47" spans="1:29" ht="15.75" hidden="1"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79"/>
      <c r="Q47" s="1538">
        <f t="shared" si="11"/>
        <v>111</v>
      </c>
      <c r="R47" s="714" t="s">
        <v>17</v>
      </c>
      <c r="S47" s="715">
        <f t="shared" si="12"/>
        <v>100</v>
      </c>
      <c r="T47" s="714" t="s">
        <v>17</v>
      </c>
      <c r="U47" s="715">
        <f t="shared" si="13"/>
        <v>100</v>
      </c>
      <c r="V47" s="714" t="s">
        <v>17</v>
      </c>
      <c r="W47" s="715">
        <f t="shared" si="14"/>
        <v>100</v>
      </c>
      <c r="X47" s="1541"/>
      <c r="Y47" s="3281"/>
      <c r="Z47" s="1542">
        <f t="shared" si="15"/>
        <v>111</v>
      </c>
      <c r="AA47" s="1539">
        <f t="shared" si="3"/>
        <v>1</v>
      </c>
      <c r="AB47" s="1539">
        <f t="shared" si="4"/>
        <v>1</v>
      </c>
      <c r="AC47" s="2150">
        <f t="shared" si="5"/>
        <v>1</v>
      </c>
    </row>
    <row r="48" spans="1:29" ht="15">
      <c r="A48" s="438" t="s">
        <v>2399</v>
      </c>
      <c r="B48" s="439"/>
      <c r="C48" s="1316" t="s">
        <v>1</v>
      </c>
      <c r="D48" s="1317"/>
      <c r="E48" s="1318">
        <v>45000</v>
      </c>
      <c r="F48" s="1319"/>
      <c r="G48" s="1320">
        <v>46000</v>
      </c>
      <c r="H48" s="1321"/>
      <c r="I48" s="1318">
        <v>49000</v>
      </c>
      <c r="J48" s="444"/>
      <c r="K48" s="723"/>
      <c r="L48" s="2955"/>
      <c r="M48" s="2947"/>
      <c r="N48" s="2947"/>
      <c r="O48" s="2947"/>
      <c r="P48" s="3267" t="str">
        <f>A48</f>
        <v>成交单价（元/平方米）</v>
      </c>
      <c r="Q48" s="3268"/>
      <c r="R48" s="3269">
        <f>E48</f>
        <v>45000</v>
      </c>
      <c r="S48" s="3269"/>
      <c r="T48" s="3269">
        <f>G48</f>
        <v>46000</v>
      </c>
      <c r="U48" s="3269"/>
      <c r="V48" s="3269">
        <f>I48</f>
        <v>49000</v>
      </c>
      <c r="W48" s="3269"/>
      <c r="X48" s="405"/>
      <c r="Y48" s="721"/>
      <c r="Z48" s="405"/>
      <c r="AA48" s="405"/>
      <c r="AB48" s="405"/>
      <c r="AC48" s="586"/>
    </row>
    <row r="49" spans="1:29" ht="15.75" thickBot="1">
      <c r="A49" s="445" t="s">
        <v>2491</v>
      </c>
      <c r="B49" s="446"/>
      <c r="C49" s="1322">
        <f>R50</f>
        <v>45757</v>
      </c>
      <c r="D49" s="2540" t="s">
        <v>2880</v>
      </c>
      <c r="E49" s="1323">
        <f>R49</f>
        <v>45000</v>
      </c>
      <c r="F49" s="2541"/>
      <c r="G49" s="1322">
        <f>T49</f>
        <v>44231</v>
      </c>
      <c r="H49" s="2541"/>
      <c r="I49" s="1323">
        <f>V49</f>
        <v>48039</v>
      </c>
      <c r="J49" s="2541"/>
      <c r="K49" s="2543">
        <f>F49+H49+J49</f>
        <v>0</v>
      </c>
      <c r="L49" s="2955"/>
      <c r="M49" s="2947"/>
      <c r="N49" s="2947"/>
      <c r="O49" s="2947"/>
      <c r="P49" s="3267" t="str">
        <f>A49</f>
        <v>比较价值（元/平方米）</v>
      </c>
      <c r="Q49" s="3268"/>
      <c r="R49" s="3269">
        <f>IF(F1="售价",ROUND(PRODUCT(R48,AA7:AA47),0),ROUND(PRODUCT(R48,AA7:AA47),1))</f>
        <v>45000</v>
      </c>
      <c r="S49" s="3269"/>
      <c r="T49" s="3269">
        <f>IF(F1="售价",ROUND(PRODUCT(T48,AB7:AB47),0),ROUND(PRODUCT(T48,AB7:AB47),1))</f>
        <v>44231</v>
      </c>
      <c r="U49" s="3269"/>
      <c r="V49" s="3269">
        <f>IF(F1="售价",ROUND(PRODUCT(V48,AC7:AC47),0),ROUND(PRODUCT(V48,AC7:AC47),1))</f>
        <v>48039</v>
      </c>
      <c r="W49" s="3269"/>
      <c r="X49" s="405"/>
      <c r="Y49" s="405"/>
      <c r="Z49" s="405"/>
      <c r="AA49" s="405"/>
      <c r="AB49" s="405"/>
      <c r="AC49" s="586"/>
    </row>
    <row r="50" spans="1:29" ht="15.75" thickBot="1">
      <c r="A50" s="449" t="s">
        <v>2492</v>
      </c>
      <c r="B50" s="450"/>
      <c r="C50" s="1325">
        <f>R50</f>
        <v>45757</v>
      </c>
      <c r="D50" s="1325"/>
      <c r="E50" s="1325"/>
      <c r="F50" s="1325"/>
      <c r="G50" s="1325"/>
      <c r="H50" s="1325"/>
      <c r="I50" s="1325"/>
      <c r="J50" s="451"/>
      <c r="K50" s="724"/>
      <c r="L50" s="2955"/>
      <c r="M50" s="2947"/>
      <c r="N50" s="2947"/>
      <c r="O50" s="2947"/>
      <c r="P50" s="3270" t="str">
        <f>A50</f>
        <v>估价对象XX用房的比较价值（楼面单价，元/平方米）</v>
      </c>
      <c r="Q50" s="3271"/>
      <c r="R50" s="3272">
        <f>IF(F1="售价",ROUND(IF(D49="简单平均",AVERAGE(R49:V49),R49*F49+T49*H49+V49*J49),0),ROUND(IF(D49="简单平均",AVERAGE(R49:V49),R49*F49+T49*H49+V49*J49),1))</f>
        <v>45757</v>
      </c>
      <c r="S50" s="3272"/>
      <c r="T50" s="3272"/>
      <c r="U50" s="3272"/>
      <c r="V50" s="3272"/>
      <c r="W50" s="3272"/>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f>IF(E48&lt;E49,E49/E48-1,E48/E49-1)</f>
        <v>0</v>
      </c>
      <c r="F53" s="457" t="str">
        <f>IF(OR(E53&gt;=0.3,E53&lt;=-0.3),"超过30%","")</f>
        <v/>
      </c>
      <c r="G53" s="456">
        <f>IF(G48&lt;G49,G49/G48-1,G48/G49-1)</f>
        <v>3.9994573941353417E-2</v>
      </c>
      <c r="H53" s="457" t="str">
        <f>IF(OR(G53&gt;=0.3,G53&lt;=-0.3),"超过30%","")</f>
        <v/>
      </c>
      <c r="I53" s="456">
        <f>IF(I48&lt;I49,I49/I48-1,I48/I49-1)</f>
        <v>2.000457961239821E-2</v>
      </c>
      <c r="J53" s="457" t="str">
        <f>IF(OR(I53&gt;=0.3,I53&lt;=-0.3),"超过30%","")</f>
        <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f>IF(E49&lt;G49,G49/E49-1,E49/G49-1)</f>
        <v>1.738599624697601E-2</v>
      </c>
      <c r="F54" s="457" t="str">
        <f>IF(OR(E54&gt;=0.2,E54&lt;=-0.2),"超过20%","")</f>
        <v/>
      </c>
      <c r="G54" s="456">
        <f>IF(G49&lt;I49,I49/G49-1,G49/I49-1)</f>
        <v>8.6093463860188457E-2</v>
      </c>
      <c r="H54" s="457" t="str">
        <f>IF(OR(G54&gt;=0.2,G54&lt;=-0.2),"超过20%","")</f>
        <v/>
      </c>
      <c r="I54" s="456">
        <f>IF(I49&lt;E49,E49/I49-1,I49/E49-1)</f>
        <v>6.7533333333333223E-2</v>
      </c>
      <c r="J54" s="457" t="str">
        <f>IF(OR(I54&gt;=0.2,I54&lt;=-0.2),"超过20%","")</f>
        <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f>IF(E48&lt;G48,G48/E48-1,E48/G48-1)</f>
        <v>2.2222222222222143E-2</v>
      </c>
      <c r="F55" s="457" t="str">
        <f>IF(OR(E55&gt;=0.3,E55&lt;=-0.3),"超过30%","")</f>
        <v/>
      </c>
      <c r="G55" s="456">
        <f>IF(G48&lt;I48,I48/G48-1,G48/I48-1)</f>
        <v>6.5217391304347894E-2</v>
      </c>
      <c r="H55" s="457" t="str">
        <f>IF(OR(G55&gt;=0.3,G55&lt;=-0.3),"超过30%","")</f>
        <v/>
      </c>
      <c r="I55" s="456">
        <f>IF(I48&lt;E48,E48/I48-1,I48/E48-1)</f>
        <v>8.8888888888888795E-2</v>
      </c>
      <c r="J55" s="457" t="str">
        <f>IF(OR(I55&gt;=0.3,I55&lt;=-0.3),"超过30%","")</f>
        <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2021-2</v>
      </c>
      <c r="D59" s="1347">
        <f>EDATE(C59,-1)</f>
        <v>44197</v>
      </c>
      <c r="E59" s="1347">
        <f>EDATE(D59,-1)</f>
        <v>44166</v>
      </c>
      <c r="F59" s="1347">
        <f t="shared" ref="F59:O59" si="16">EDATE(E59,-1)</f>
        <v>44136</v>
      </c>
      <c r="G59" s="1347">
        <f t="shared" si="16"/>
        <v>44105</v>
      </c>
      <c r="H59" s="1347">
        <f t="shared" si="16"/>
        <v>44075</v>
      </c>
      <c r="I59" s="1347">
        <f t="shared" si="16"/>
        <v>44044</v>
      </c>
      <c r="J59" s="1347">
        <f t="shared" si="16"/>
        <v>44013</v>
      </c>
      <c r="K59" s="1347">
        <f t="shared" si="16"/>
        <v>43983</v>
      </c>
      <c r="L59" s="1347">
        <f t="shared" si="16"/>
        <v>43952</v>
      </c>
      <c r="M59" s="1347">
        <f t="shared" si="16"/>
        <v>43922</v>
      </c>
      <c r="N59" s="1347">
        <f t="shared" si="16"/>
        <v>43891</v>
      </c>
      <c r="O59" s="1347">
        <f t="shared" si="16"/>
        <v>43862</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v>100</v>
      </c>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t="str">
        <f>C9</f>
        <v>办公</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v>0</v>
      </c>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97</v>
      </c>
      <c r="E78" s="501">
        <f>D78-$K15</f>
        <v>94</v>
      </c>
      <c r="F78" s="501">
        <f>E78-$K15</f>
        <v>91</v>
      </c>
      <c r="G78" s="501">
        <f>F78-$K15</f>
        <v>88</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98</v>
      </c>
      <c r="E80" s="501">
        <f>D80-$K17</f>
        <v>96</v>
      </c>
      <c r="F80" s="501">
        <f>E80-$K17</f>
        <v>94</v>
      </c>
      <c r="G80" s="501">
        <f>F80-$K17</f>
        <v>92</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98</v>
      </c>
      <c r="E82" s="501">
        <f>D82-$K19</f>
        <v>96</v>
      </c>
      <c r="F82" s="501">
        <f>E82-$K19</f>
        <v>94</v>
      </c>
      <c r="G82" s="501">
        <f>F82-$K19</f>
        <v>92</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98</v>
      </c>
      <c r="E84" s="501">
        <f>D84-$K21</f>
        <v>96</v>
      </c>
      <c r="F84" s="501">
        <f>E84-$K21</f>
        <v>94</v>
      </c>
      <c r="G84" s="501">
        <f>F84-$K21</f>
        <v>92</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97</v>
      </c>
      <c r="E86" s="501">
        <f>D86-$K23</f>
        <v>94</v>
      </c>
      <c r="F86" s="501">
        <f>E86-$K23</f>
        <v>91</v>
      </c>
      <c r="G86" s="501">
        <f>F86-$K23</f>
        <v>88</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3066" t="s">
        <v>3088</v>
      </c>
      <c r="D89" s="3066" t="s">
        <v>3086</v>
      </c>
      <c r="E89" s="3066" t="s">
        <v>3084</v>
      </c>
      <c r="F89" s="3066"/>
      <c r="G89" s="3066"/>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3067" t="s">
        <v>3090</v>
      </c>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85"/>
      <c r="O102" s="2985"/>
      <c r="P102" s="2993"/>
      <c r="Q102" s="2970"/>
      <c r="R102" s="2956"/>
      <c r="S102" s="2956"/>
      <c r="T102" s="2956"/>
      <c r="U102" s="2956"/>
      <c r="V102" s="2956"/>
      <c r="W102" s="2956"/>
      <c r="X102" s="2956"/>
      <c r="Y102" s="2956"/>
      <c r="Z102" s="2956"/>
      <c r="AA102" s="2956"/>
      <c r="AB102" s="2956"/>
      <c r="AC102" s="2956"/>
    </row>
    <row r="103" spans="1:29" ht="29.25" thickTop="1">
      <c r="A103" s="491"/>
      <c r="B103" s="495" t="s">
        <v>2435</v>
      </c>
      <c r="C103" s="535" t="str">
        <f>C104&amp;"(含)"&amp;"-"&amp;D104</f>
        <v>0(含)-1000</v>
      </c>
      <c r="D103" s="535" t="str">
        <f t="shared" ref="D103:L103" si="23">D104&amp;"(含)"&amp;"-"&amp;E104</f>
        <v>1000(含)-2000</v>
      </c>
      <c r="E103" s="535" t="str">
        <f t="shared" si="23"/>
        <v>2000(含)-3000</v>
      </c>
      <c r="F103" s="535" t="str">
        <f t="shared" si="23"/>
        <v>3000(含)-4000</v>
      </c>
      <c r="G103" s="535" t="str">
        <f t="shared" si="23"/>
        <v>4000(含)-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v>0</v>
      </c>
      <c r="D104" s="552">
        <v>1000</v>
      </c>
      <c r="E104" s="552">
        <v>2000</v>
      </c>
      <c r="F104" s="552">
        <v>3000</v>
      </c>
      <c r="G104" s="552">
        <v>4000</v>
      </c>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v>100</v>
      </c>
      <c r="D105" s="493">
        <v>99</v>
      </c>
      <c r="E105" s="493">
        <v>98</v>
      </c>
      <c r="F105" s="493">
        <v>97</v>
      </c>
      <c r="G105" s="493">
        <v>96</v>
      </c>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97</v>
      </c>
      <c r="E124" s="501">
        <f t="shared" si="30"/>
        <v>94</v>
      </c>
      <c r="F124" s="501">
        <f t="shared" si="30"/>
        <v>91</v>
      </c>
      <c r="G124" s="501">
        <f t="shared" si="30"/>
        <v>88</v>
      </c>
      <c r="H124" s="501">
        <f t="shared" si="30"/>
        <v>85</v>
      </c>
      <c r="I124" s="501">
        <f t="shared" si="30"/>
        <v>82</v>
      </c>
      <c r="J124" s="501">
        <f t="shared" si="30"/>
        <v>79</v>
      </c>
      <c r="K124" s="501">
        <f t="shared" si="30"/>
        <v>76</v>
      </c>
      <c r="L124" s="501">
        <f t="shared" si="30"/>
        <v>73</v>
      </c>
      <c r="M124" s="502">
        <f t="shared" si="30"/>
        <v>70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32.03</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5745</v>
      </c>
      <c r="C2" s="1573" t="s">
        <v>1481</v>
      </c>
      <c r="D2" s="1573"/>
      <c r="E2" s="1574"/>
      <c r="F2" s="1575"/>
      <c r="G2" s="2937"/>
      <c r="H2" s="2926"/>
      <c r="I2" s="2926"/>
      <c r="J2" s="2926"/>
      <c r="K2" s="2927"/>
      <c r="L2" s="2926"/>
      <c r="M2" s="2926"/>
    </row>
    <row r="3" spans="1:37" ht="18" customHeight="1" thickBot="1">
      <c r="A3" s="1576" t="s">
        <v>1482</v>
      </c>
      <c r="B3" s="1577">
        <f ca="1">IF(ISERROR(B2*10000/F43),0,ROUND(B2*10000/F43,0))</f>
        <v>45148</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334</v>
      </c>
      <c r="D5" s="1550" t="s">
        <v>1367</v>
      </c>
      <c r="E5" s="1203"/>
      <c r="F5" s="1204"/>
      <c r="G5" s="1570"/>
      <c r="H5" s="305">
        <v>1</v>
      </c>
      <c r="I5" s="306" t="s">
        <v>1366</v>
      </c>
      <c r="J5" s="1202">
        <f ca="1">J6+J10+J12</f>
        <v>0</v>
      </c>
      <c r="K5" s="1550" t="s">
        <v>1367</v>
      </c>
      <c r="L5" s="1203"/>
      <c r="M5" s="1204"/>
    </row>
    <row r="6" spans="1:37" ht="18" customHeight="1">
      <c r="A6" s="1201" t="s">
        <v>1003</v>
      </c>
      <c r="B6" s="3321" t="s">
        <v>1368</v>
      </c>
      <c r="C6" s="1206">
        <f ca="1">ROUND(F6*F8*F7*(1-F9)/10000,0)</f>
        <v>334</v>
      </c>
      <c r="D6" s="160" t="s">
        <v>2850</v>
      </c>
      <c r="E6" s="308" t="s">
        <v>1370</v>
      </c>
      <c r="F6" s="309">
        <f ca="1">INDIRECT("'数据-取费表'!u"&amp;$G$1)</f>
        <v>8</v>
      </c>
      <c r="G6" s="1570"/>
      <c r="H6" s="1201" t="s">
        <v>1003</v>
      </c>
      <c r="I6" s="3321" t="s">
        <v>1368</v>
      </c>
      <c r="J6" s="307">
        <f ca="1">ROUND(M6*M8*M7*(1-M9)/10000,0)</f>
        <v>0</v>
      </c>
      <c r="K6" s="160" t="s">
        <v>2849</v>
      </c>
      <c r="L6" s="308" t="s">
        <v>1370</v>
      </c>
      <c r="M6" s="309">
        <f ca="1">INDIRECT("'数据-取费表'!z"&amp;$G$1)</f>
        <v>0</v>
      </c>
    </row>
    <row r="7" spans="1:37" ht="18" customHeight="1">
      <c r="A7" s="1205"/>
      <c r="B7" s="3322"/>
      <c r="C7" s="1207"/>
      <c r="D7" s="313"/>
      <c r="E7" s="1208" t="s">
        <v>1371</v>
      </c>
      <c r="F7" s="309">
        <f ca="1">IF(INDIRECT("'数据-取费表'!ah"&amp;$G$1)="",INDIRECT("'数据-取费表'!k"&amp;$G$1),INDIRECT("'数据-取费表'!ah"&amp;$G$1))</f>
        <v>1272.47</v>
      </c>
      <c r="G7" s="1570"/>
      <c r="H7" s="310"/>
      <c r="I7" s="3322"/>
      <c r="J7" s="312"/>
      <c r="K7" s="313"/>
      <c r="L7" s="308" t="s">
        <v>1371</v>
      </c>
      <c r="M7" s="309">
        <f ca="1">F7</f>
        <v>1272.47</v>
      </c>
    </row>
    <row r="8" spans="1:37" ht="18" customHeight="1">
      <c r="A8" s="310"/>
      <c r="B8" s="3322"/>
      <c r="C8" s="312"/>
      <c r="D8" s="313"/>
      <c r="E8" s="308" t="s">
        <v>1372</v>
      </c>
      <c r="F8" s="309">
        <f ca="1">INDIRECT("'数据-取费表'!ai"&amp;$G$1)</f>
        <v>365</v>
      </c>
      <c r="G8" s="1570"/>
      <c r="H8" s="310"/>
      <c r="I8" s="3322"/>
      <c r="J8" s="312"/>
      <c r="K8" s="313"/>
      <c r="L8" s="308" t="s">
        <v>1372</v>
      </c>
      <c r="M8" s="309">
        <f ca="1">INDIRECT("'数据-取费表'!ai"&amp;$G$1)</f>
        <v>365</v>
      </c>
    </row>
    <row r="9" spans="1:37" ht="18" customHeight="1">
      <c r="A9" s="310"/>
      <c r="B9" s="3323"/>
      <c r="C9" s="312"/>
      <c r="D9" s="313"/>
      <c r="E9" s="308" t="s">
        <v>1373</v>
      </c>
      <c r="F9" s="318">
        <f ca="1">INDIRECT("'数据-取费表'!w"&amp;$G$1)</f>
        <v>0.1</v>
      </c>
      <c r="G9" s="1570"/>
      <c r="H9" s="310"/>
      <c r="I9" s="3323"/>
      <c r="J9" s="312"/>
      <c r="K9" s="313"/>
      <c r="L9" s="319" t="s">
        <v>1373</v>
      </c>
      <c r="M9" s="320">
        <f ca="1">INDIRECT("'数据-取费表'!ab"&amp;$G$1)</f>
        <v>0</v>
      </c>
    </row>
    <row r="10" spans="1:37" ht="18" customHeight="1">
      <c r="A10" s="1201" t="s">
        <v>1007</v>
      </c>
      <c r="B10" s="1551" t="s">
        <v>1374</v>
      </c>
      <c r="C10" s="3074">
        <f ca="1">ROUND(IF(F10="押一",C6/12*F11,IF(F10="押二",C6/12*2*F11,IF(F10="押三",C6/12*3*F11,C11*F11))),0)</f>
        <v>0</v>
      </c>
      <c r="D10" s="1552" t="s">
        <v>2858</v>
      </c>
      <c r="E10" s="319" t="s">
        <v>1375</v>
      </c>
      <c r="F10" s="1276" t="s">
        <v>3133</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531</v>
      </c>
      <c r="D13" s="1241" t="s">
        <v>1380</v>
      </c>
      <c r="E13" s="1241" t="s">
        <v>1381</v>
      </c>
      <c r="F13" s="1242">
        <f ca="1">INDIRECT("'数据-取费表'!y"&amp;$G$1)</f>
        <v>0.72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484</v>
      </c>
      <c r="D14" s="1531" t="s">
        <v>1383</v>
      </c>
      <c r="E14" s="1528"/>
      <c r="F14" s="325"/>
      <c r="G14" s="1570"/>
      <c r="H14" s="1113" t="s">
        <v>1003</v>
      </c>
      <c r="I14" s="308" t="s">
        <v>1384</v>
      </c>
      <c r="J14" s="24">
        <f ca="1">C29</f>
        <v>738</v>
      </c>
      <c r="K14" s="15"/>
      <c r="L14" s="916"/>
      <c r="M14" s="917"/>
    </row>
    <row r="15" spans="1:37" s="1583" customFormat="1" ht="18" customHeight="1" thickBot="1">
      <c r="A15" s="1113" t="s">
        <v>1004</v>
      </c>
      <c r="B15" s="308" t="s">
        <v>1385</v>
      </c>
      <c r="C15" s="24">
        <f ca="1">ROUND(C14*F15,0)</f>
        <v>15</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13</v>
      </c>
      <c r="K16" s="1247" t="s">
        <v>1390</v>
      </c>
      <c r="L16" s="1248"/>
      <c r="M16" s="1204"/>
    </row>
    <row r="17" spans="1:37" s="1583" customFormat="1" ht="18" customHeight="1">
      <c r="A17" s="1113" t="s">
        <v>1355</v>
      </c>
      <c r="B17" s="308" t="s">
        <v>1391</v>
      </c>
      <c r="C17" s="24">
        <f ca="1">ROUND(F17*(F43+INDIRECT("'数据-取费表'!S"&amp;$G$1))/10000,0)</f>
        <v>25</v>
      </c>
      <c r="D17" s="308" t="s">
        <v>1392</v>
      </c>
      <c r="E17" s="308" t="s">
        <v>1393</v>
      </c>
      <c r="F17" s="26">
        <f>'数据-取费表'!B35</f>
        <v>200</v>
      </c>
      <c r="G17" s="1582"/>
      <c r="H17" s="1113" t="s">
        <v>1003</v>
      </c>
      <c r="I17" s="308" t="s">
        <v>1394</v>
      </c>
      <c r="J17" s="2536">
        <f ca="1">ROUND(IF(AND(项目基本情况!B11="自然人",项目基本情况!B10="北京市"),J6*M17/(1+'数据-取费表'!C42),J18+J19+J20),0)</f>
        <v>6</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7</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531</v>
      </c>
      <c r="D19" s="136" t="s">
        <v>1401</v>
      </c>
      <c r="E19" s="1546"/>
      <c r="F19" s="26"/>
      <c r="G19" s="1570"/>
      <c r="H19" s="1113" t="s">
        <v>1004</v>
      </c>
      <c r="I19" s="308" t="s">
        <v>1402</v>
      </c>
      <c r="J19" s="24">
        <f ca="1">IF(K19="按租金收入计税",ROUND(J6*M19/(1+'数据-取费表'!C42),2),ROUND(C29*M19*0.7,2))</f>
        <v>6.2</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11</v>
      </c>
      <c r="D20" s="329" t="s">
        <v>1405</v>
      </c>
      <c r="E20" s="308" t="s">
        <v>1387</v>
      </c>
      <c r="F20" s="328">
        <f>'数据-取费表'!B37</f>
        <v>0.02</v>
      </c>
      <c r="G20" s="1582"/>
      <c r="H20" s="1113" t="s">
        <v>1354</v>
      </c>
      <c r="I20" s="160" t="s">
        <v>1406</v>
      </c>
      <c r="J20" s="25">
        <f ca="1">ROUND(M20*M21/10000,2)</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2.5000000000000001E-2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7.4</v>
      </c>
      <c r="K22" s="1530"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26</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-13</v>
      </c>
      <c r="K25" s="1255" t="s">
        <v>1429</v>
      </c>
      <c r="L25" s="1256"/>
      <c r="M25" s="1257"/>
    </row>
    <row r="26" spans="1:37">
      <c r="A26" s="1113" t="s">
        <v>1002</v>
      </c>
      <c r="B26" s="308" t="s">
        <v>1430</v>
      </c>
      <c r="C26" s="24">
        <f ca="1">ROUND((C19+C20)*F26,0)</f>
        <v>108</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738</v>
      </c>
      <c r="D29" s="1252"/>
      <c r="E29" s="1250"/>
      <c r="F29" s="1253"/>
      <c r="G29" s="1582"/>
      <c r="H29" s="340" t="s">
        <v>1001</v>
      </c>
      <c r="I29" s="341" t="s">
        <v>1444</v>
      </c>
      <c r="J29" s="342">
        <f ca="1">ROUND(J26/(1+F40)^F41,0)</f>
        <v>0</v>
      </c>
      <c r="K29" s="343" t="s">
        <v>1445</v>
      </c>
      <c r="L29" s="344"/>
      <c r="M29" s="345">
        <f ca="1">INDIRECT("'数据-取费表'!k"&amp;$G$1)</f>
        <v>1272.47</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67</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56</v>
      </c>
      <c r="D31" s="1531" t="s">
        <v>1395</v>
      </c>
      <c r="E31" s="1530" t="s">
        <v>1446</v>
      </c>
      <c r="F31" s="2535" t="str">
        <f>IF(项目基本情况!B11="企业","——",IF('数据-取费表'!B10="住宅",IF(F6*F7*F8/12/(1+'数据-取费表'!F30)&gt;100000,4%,2.5%),IF(F6*F7*F8/12/(1+'数据-取费表'!F30)&gt;100000,12%,7%)))</f>
        <v>——</v>
      </c>
      <c r="G31" s="1570"/>
      <c r="H31" s="3041" t="s">
        <v>3049</v>
      </c>
      <c r="I31" s="1584"/>
      <c r="J31" s="1585"/>
      <c r="K31" s="2703"/>
      <c r="L31" s="2929"/>
      <c r="M31" s="2930"/>
    </row>
    <row r="32" spans="1:37" ht="18" customHeight="1">
      <c r="A32" s="1113" t="s">
        <v>1002</v>
      </c>
      <c r="B32" s="308" t="s">
        <v>1398</v>
      </c>
      <c r="C32" s="24">
        <f ca="1">IF(项目基本情况!B11="自然人","——",ROUND(C6*F32/(1+'数据-取费表'!C42),2))</f>
        <v>17.809999999999999</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38.17</v>
      </c>
      <c r="D33" s="1556" t="s">
        <v>3073</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7.4</v>
      </c>
      <c r="D36" s="1530" t="s">
        <v>1447</v>
      </c>
      <c r="E36" s="308" t="s">
        <v>1387</v>
      </c>
      <c r="F36" s="334">
        <f ca="1">INDIRECT("'数据-取费表'!Ak"&amp;$G$1)</f>
        <v>0.01</v>
      </c>
      <c r="G36" s="1570"/>
      <c r="H36" s="2931"/>
      <c r="I36" s="1584"/>
      <c r="J36" s="1585"/>
      <c r="K36" s="2772"/>
      <c r="L36" s="2931"/>
      <c r="M36" s="2931"/>
    </row>
    <row r="37" spans="1:18" ht="18" customHeight="1">
      <c r="A37" s="1113" t="s">
        <v>1043</v>
      </c>
      <c r="B37" s="308" t="s">
        <v>1418</v>
      </c>
      <c r="C37" s="24">
        <f ca="1">ROUND(C13*F37,1)</f>
        <v>0.5</v>
      </c>
      <c r="D37" s="1530" t="s">
        <v>1419</v>
      </c>
      <c r="E37" s="308" t="s">
        <v>1420</v>
      </c>
      <c r="F37" s="336">
        <f ca="1">INDIRECT("'数据-取费表'!Al"&amp;$G$1)</f>
        <v>1E-3</v>
      </c>
      <c r="G37" s="1570"/>
      <c r="H37" s="2931"/>
      <c r="I37" s="1584"/>
      <c r="J37" s="1585"/>
      <c r="K37" s="2772"/>
      <c r="L37" s="2931"/>
      <c r="M37" s="2931"/>
    </row>
    <row r="38" spans="1:18" ht="18" customHeight="1" thickBot="1">
      <c r="A38" s="1249" t="s">
        <v>1358</v>
      </c>
      <c r="B38" s="1250" t="s">
        <v>1404</v>
      </c>
      <c r="C38" s="1251">
        <f ca="1">ROUND(C5*F38,1)</f>
        <v>3.3</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267</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5726</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32.03</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44999</v>
      </c>
      <c r="D43" s="343" t="s">
        <v>1453</v>
      </c>
      <c r="E43" s="344" t="s">
        <v>1454</v>
      </c>
      <c r="F43" s="345">
        <f ca="1">INDIRECT("'数据-取费表'!k"&amp;$G$1)</f>
        <v>1272.47</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-6770</v>
      </c>
      <c r="D46" s="1592" t="str">
        <f>C2</f>
        <v>万元</v>
      </c>
      <c r="E46" s="1586"/>
      <c r="F46" s="1586"/>
      <c r="I46" s="1593" t="s">
        <v>1486</v>
      </c>
      <c r="J46" s="1594"/>
      <c r="K46" s="1595"/>
      <c r="L46" s="1596">
        <f ca="1">IF(M47="住宅",0,IF(L48&gt;J51,L60,J60))</f>
        <v>19</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3074</v>
      </c>
      <c r="K47" s="1602" t="s">
        <v>1492</v>
      </c>
      <c r="L47" s="1603">
        <f ca="1">INDIRECT("'数据-取费表'!d"&amp;$G$1)</f>
        <v>50</v>
      </c>
      <c r="M47" s="1566" t="str">
        <f>IF(ISNUMBER(FIND("住宅",C1)),"住宅","非住宅")</f>
        <v>非住宅</v>
      </c>
      <c r="O47" s="1604" t="s">
        <v>1008</v>
      </c>
      <c r="P47" s="1605" t="s">
        <v>1493</v>
      </c>
      <c r="Q47" s="1606">
        <f ca="1">C40+J29</f>
        <v>5726</v>
      </c>
      <c r="R47" s="1606" t="s">
        <v>1494</v>
      </c>
    </row>
    <row r="48" spans="1:18" s="1570" customFormat="1" ht="28.5" thickBot="1">
      <c r="A48" s="1270" t="s">
        <v>1103</v>
      </c>
      <c r="B48" s="306" t="s">
        <v>1366</v>
      </c>
      <c r="C48" s="1545">
        <f ca="1">C49+C53+C55</f>
        <v>0</v>
      </c>
      <c r="D48" s="1272"/>
      <c r="E48" s="1273"/>
      <c r="F48" s="1093"/>
      <c r="G48" s="731"/>
      <c r="H48" s="732"/>
      <c r="I48" s="1607" t="s">
        <v>1495</v>
      </c>
      <c r="J48" s="1608" t="s">
        <v>3075</v>
      </c>
      <c r="K48" s="1609" t="s">
        <v>1496</v>
      </c>
      <c r="L48" s="1610">
        <f ca="1">INDIRECT("'数据-取费表'!f"&amp;$G$1)</f>
        <v>32.03</v>
      </c>
      <c r="O48" s="1604" t="s">
        <v>1009</v>
      </c>
      <c r="P48" s="1605" t="s">
        <v>1497</v>
      </c>
      <c r="Q48" s="1606">
        <f ca="1">J60</f>
        <v>19</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2004</v>
      </c>
      <c r="K49" s="1609" t="s">
        <v>1500</v>
      </c>
      <c r="L49" s="1613"/>
      <c r="O49" s="1614" t="s">
        <v>1010</v>
      </c>
      <c r="P49" s="1605" t="s">
        <v>1501</v>
      </c>
      <c r="Q49" s="1606">
        <f ca="1">C29</f>
        <v>738</v>
      </c>
      <c r="R49" s="1606" t="s">
        <v>1494</v>
      </c>
    </row>
    <row r="50" spans="1:18" s="1570" customFormat="1" ht="13.5" thickBot="1">
      <c r="A50" s="1107"/>
      <c r="B50" s="1110"/>
      <c r="C50" s="1278"/>
      <c r="D50" s="1084"/>
      <c r="E50" s="1187" t="s">
        <v>1371</v>
      </c>
      <c r="F50" s="1188">
        <f ca="1">F7</f>
        <v>1272.47</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43</v>
      </c>
      <c r="K51" s="1620" t="s">
        <v>1506</v>
      </c>
      <c r="L51" s="1621">
        <f ca="1">ROUND(-PV(INDIRECT("'数据-取费表'!h"&amp;$G$1),J51,(C39-C13*C76),0),0)</f>
        <v>3893</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32.03</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32.03</v>
      </c>
      <c r="K53" s="3319" t="s">
        <v>1513</v>
      </c>
      <c r="L53" s="3320"/>
      <c r="O53" s="1604" t="s">
        <v>1014</v>
      </c>
      <c r="P53" s="1605" t="s">
        <v>1514</v>
      </c>
      <c r="Q53" s="1606">
        <f ca="1">Q47+Q48</f>
        <v>5745</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0.183</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531</v>
      </c>
      <c r="D56" s="1633"/>
      <c r="E56" s="1634"/>
      <c r="F56" s="1626"/>
      <c r="I56" s="1635" t="s">
        <v>1519</v>
      </c>
      <c r="J56" s="1636" t="s">
        <v>3076</v>
      </c>
      <c r="K56" s="1607" t="s">
        <v>1520</v>
      </c>
      <c r="L56" s="1610" t="str">
        <f ca="1">IF(L48&lt;J51,"——",L48-J53)</f>
        <v>——</v>
      </c>
      <c r="O56" s="1604" t="s">
        <v>1008</v>
      </c>
      <c r="P56" s="1605" t="s">
        <v>1493</v>
      </c>
      <c r="Q56" s="1606">
        <f ca="1">C40+J29</f>
        <v>5726</v>
      </c>
      <c r="R56" s="1606" t="s">
        <v>1494</v>
      </c>
    </row>
    <row r="57" spans="1:18" s="1570" customFormat="1" ht="24.75" thickBot="1">
      <c r="A57" s="1637"/>
      <c r="B57" s="1081" t="s">
        <v>1443</v>
      </c>
      <c r="C57" s="244">
        <f ca="1">C29</f>
        <v>738</v>
      </c>
      <c r="D57" s="1638"/>
      <c r="E57" s="1639"/>
      <c r="F57" s="1640"/>
      <c r="I57" s="1641" t="s">
        <v>1521</v>
      </c>
      <c r="J57" s="1642">
        <f ca="1">IF(OR(M47="住宅",J51&lt;L48,J56="是"),"——",J51-L48)</f>
        <v>10.969999999999999</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70</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62</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295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19</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61.99</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12</v>
      </c>
      <c r="I62" s="1648" t="s">
        <v>1535</v>
      </c>
      <c r="J62" s="1649" t="s">
        <v>1536</v>
      </c>
      <c r="K62" s="1649" t="s">
        <v>1537</v>
      </c>
      <c r="L62" s="1649" t="s">
        <v>1538</v>
      </c>
      <c r="M62" s="1650" t="s">
        <v>1539</v>
      </c>
      <c r="O62" s="1604" t="s">
        <v>1014</v>
      </c>
      <c r="P62" s="1605" t="s">
        <v>1540</v>
      </c>
      <c r="Q62" s="1606">
        <f ca="1">Q56+Q57</f>
        <v>5726</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7.4</v>
      </c>
      <c r="D64" s="1095" t="s">
        <v>1467</v>
      </c>
      <c r="E64" s="1081" t="s">
        <v>1459</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0.5</v>
      </c>
      <c r="D65" s="1095" t="s">
        <v>1419</v>
      </c>
      <c r="E65" s="1081" t="s">
        <v>1420</v>
      </c>
      <c r="F65" s="336">
        <f t="shared" ca="1" si="0"/>
        <v>1E-3</v>
      </c>
      <c r="I65" s="1648" t="s">
        <v>1544</v>
      </c>
      <c r="J65" s="1649">
        <v>40</v>
      </c>
      <c r="K65" s="1649">
        <v>30</v>
      </c>
      <c r="L65" s="1649">
        <v>50</v>
      </c>
      <c r="M65" s="1651">
        <v>0.02</v>
      </c>
      <c r="O65" s="1604" t="s">
        <v>1008</v>
      </c>
      <c r="P65" s="1605" t="s">
        <v>1545</v>
      </c>
      <c r="Q65" s="1606">
        <f ca="1">C40+J29</f>
        <v>5726</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-70</v>
      </c>
      <c r="D67" s="1094" t="s">
        <v>1429</v>
      </c>
      <c r="E67" s="1099"/>
      <c r="F67" s="1100"/>
      <c r="O67" s="1614" t="s">
        <v>1010</v>
      </c>
      <c r="P67" s="1605" t="s">
        <v>1527</v>
      </c>
      <c r="Q67" s="1652">
        <f ca="1">L51</f>
        <v>3893</v>
      </c>
      <c r="R67" s="1606" t="s">
        <v>1547</v>
      </c>
    </row>
    <row r="68" spans="1:18" s="1570" customFormat="1" ht="16.5" thickBot="1">
      <c r="A68" s="1078" t="s">
        <v>1000</v>
      </c>
      <c r="B68" s="1079" t="s">
        <v>1450</v>
      </c>
      <c r="C68" s="307">
        <f ca="1">ROUND(C67*(1-((1+F70)/(1+F68))^F69)/(F68-F70),0)</f>
        <v>-1044</v>
      </c>
      <c r="D68" s="1096" t="s">
        <v>1434</v>
      </c>
      <c r="E68" s="1081" t="s">
        <v>1435</v>
      </c>
      <c r="F68" s="318">
        <f ca="1">F40</f>
        <v>5.5E-2</v>
      </c>
      <c r="O68" s="1614" t="s">
        <v>1011</v>
      </c>
      <c r="P68" s="1653" t="s">
        <v>1548</v>
      </c>
      <c r="Q68" s="1606">
        <f ca="1">ROUND(Q69-Q70*Q71,0)</f>
        <v>222</v>
      </c>
      <c r="R68" s="1606" t="s">
        <v>1019</v>
      </c>
    </row>
    <row r="69" spans="1:18" s="1570" customFormat="1" ht="13.5" thickBot="1">
      <c r="A69" s="1082"/>
      <c r="B69" s="1083"/>
      <c r="C69" s="312"/>
      <c r="D69" s="1101" t="s">
        <v>1438</v>
      </c>
      <c r="E69" s="1081" t="s">
        <v>1439</v>
      </c>
      <c r="F69" s="339">
        <f ca="1">F41</f>
        <v>32.03</v>
      </c>
      <c r="O69" s="1614" t="s">
        <v>1016</v>
      </c>
      <c r="P69" s="1653" t="s">
        <v>1549</v>
      </c>
      <c r="Q69" s="1606">
        <f ca="1">C39</f>
        <v>267</v>
      </c>
      <c r="R69" s="1606" t="s">
        <v>1494</v>
      </c>
    </row>
    <row r="70" spans="1:18" s="1570" customFormat="1" ht="13.5" thickBot="1">
      <c r="A70" s="1085"/>
      <c r="B70" s="1086"/>
      <c r="C70" s="316"/>
      <c r="D70" s="1097"/>
      <c r="E70" s="1081" t="s">
        <v>1442</v>
      </c>
      <c r="F70" s="1185"/>
      <c r="O70" s="1614" t="s">
        <v>1017</v>
      </c>
      <c r="P70" s="1653" t="s">
        <v>1550</v>
      </c>
      <c r="Q70" s="1606">
        <f ca="1">C13</f>
        <v>531</v>
      </c>
      <c r="R70" s="1606" t="s">
        <v>1494</v>
      </c>
    </row>
    <row r="71" spans="1:18" s="1570" customFormat="1" ht="13.5" thickBot="1">
      <c r="A71" s="1102" t="s">
        <v>1001</v>
      </c>
      <c r="B71" s="1103" t="s">
        <v>1452</v>
      </c>
      <c r="C71" s="342">
        <f ca="1">ROUND(C68*10000/F71,0)</f>
        <v>-8205</v>
      </c>
      <c r="D71" s="1104" t="s">
        <v>1453</v>
      </c>
      <c r="E71" s="1105" t="s">
        <v>1454</v>
      </c>
      <c r="F71" s="345">
        <f ca="1">F43</f>
        <v>1272.47</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45</v>
      </c>
      <c r="D75" s="1570"/>
      <c r="E75" s="1570"/>
      <c r="F75" s="1570"/>
      <c r="K75" s="1588"/>
      <c r="L75" s="1570"/>
      <c r="O75" s="1604" t="s">
        <v>1014</v>
      </c>
      <c r="P75" s="1605" t="s">
        <v>1514</v>
      </c>
      <c r="Q75" s="1606">
        <f ca="1">Q65+Q66</f>
        <v>5726</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0.83099999999999996</v>
      </c>
    </row>
    <row r="80" spans="1:18">
      <c r="B80" s="346" t="s">
        <v>1476</v>
      </c>
      <c r="C80" s="280">
        <f ca="1">ROUND(C75/C39,3)</f>
        <v>0.16900000000000001</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15" zoomScaleNormal="100" zoomScaleSheetLayoutView="100" zoomScalePageLayoutView="80" workbookViewId="0">
      <selection activeCell="B118" sqref="B118"/>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3061</v>
      </c>
      <c r="D1" s="1935"/>
      <c r="E1" s="1935"/>
      <c r="F1" s="1937" t="s">
        <v>1950</v>
      </c>
      <c r="G1" s="1748" t="s">
        <v>3101</v>
      </c>
      <c r="H1" s="1938" t="str">
        <f>IF(G1="现房","——","估价对象范围")</f>
        <v>——</v>
      </c>
      <c r="I1" s="1939" t="s">
        <v>3102</v>
      </c>
    </row>
    <row r="2" spans="1:12" ht="21.75" customHeight="1" thickBot="1">
      <c r="A2" s="3201" t="str">
        <f>项目基本情况!S2</f>
        <v>北京市房地产</v>
      </c>
      <c r="B2" s="3202"/>
      <c r="C2" s="3202"/>
      <c r="D2" s="3202"/>
      <c r="E2" s="3202"/>
      <c r="F2" s="3202"/>
      <c r="G2" s="3202"/>
      <c r="H2" s="3202"/>
      <c r="I2" s="3203"/>
    </row>
    <row r="3" spans="1:12" ht="12.75">
      <c r="A3" s="3205" t="s">
        <v>1951</v>
      </c>
      <c r="B3" s="3206"/>
      <c r="C3" s="3206"/>
      <c r="D3" s="3206"/>
      <c r="E3" s="3206"/>
      <c r="F3" s="3206"/>
      <c r="G3" s="3206"/>
      <c r="H3" s="3206"/>
      <c r="I3" s="3206"/>
    </row>
    <row r="4" spans="1:12" ht="14.25">
      <c r="A4" s="1942" t="s">
        <v>1952</v>
      </c>
      <c r="B4" s="1943" t="s">
        <v>1953</v>
      </c>
      <c r="C4" s="1944" t="s">
        <v>3131</v>
      </c>
      <c r="D4" s="1944" t="s">
        <v>3078</v>
      </c>
      <c r="E4" s="3207" t="s">
        <v>1954</v>
      </c>
      <c r="F4" s="3208"/>
      <c r="G4" s="3208"/>
      <c r="H4" s="3208"/>
      <c r="I4" s="3209"/>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81" t="s">
        <v>1955</v>
      </c>
      <c r="B5" s="3168">
        <v>25</v>
      </c>
      <c r="C5" s="3184"/>
      <c r="D5" s="3204"/>
      <c r="E5" s="136" t="s">
        <v>1956</v>
      </c>
      <c r="F5" s="1945"/>
      <c r="G5" s="1945"/>
      <c r="H5" s="1945"/>
      <c r="I5" s="1559"/>
    </row>
    <row r="6" spans="1:12" ht="12.75">
      <c r="A6" s="3181"/>
      <c r="B6" s="3168"/>
      <c r="C6" s="3185"/>
      <c r="D6" s="3204"/>
      <c r="E6" s="136" t="s">
        <v>1957</v>
      </c>
      <c r="F6" s="1945"/>
      <c r="G6" s="1945"/>
      <c r="H6" s="1945"/>
      <c r="I6" s="1559"/>
    </row>
    <row r="7" spans="1:12" ht="12.75">
      <c r="A7" s="3181"/>
      <c r="B7" s="3168"/>
      <c r="C7" s="3186"/>
      <c r="D7" s="3204"/>
      <c r="E7" s="136" t="s">
        <v>1958</v>
      </c>
      <c r="F7" s="1945"/>
      <c r="G7" s="1945"/>
      <c r="H7" s="1945"/>
      <c r="I7" s="1559"/>
    </row>
    <row r="8" spans="1:12" ht="12.75">
      <c r="A8" s="3181" t="s">
        <v>1959</v>
      </c>
      <c r="B8" s="3168">
        <v>15</v>
      </c>
      <c r="C8" s="3184"/>
      <c r="D8" s="3204"/>
      <c r="E8" s="136" t="s">
        <v>1960</v>
      </c>
      <c r="F8" s="1945"/>
      <c r="G8" s="1945"/>
      <c r="H8" s="1945"/>
      <c r="I8" s="1559"/>
    </row>
    <row r="9" spans="1:12" ht="12.75">
      <c r="A9" s="3181"/>
      <c r="B9" s="3168"/>
      <c r="C9" s="3186"/>
      <c r="D9" s="3204"/>
      <c r="E9" s="136" t="s">
        <v>1961</v>
      </c>
      <c r="F9" s="1945"/>
      <c r="G9" s="1945"/>
      <c r="H9" s="1945"/>
      <c r="I9" s="1559"/>
    </row>
    <row r="10" spans="1:12" ht="12.75">
      <c r="A10" s="3181" t="s">
        <v>1962</v>
      </c>
      <c r="B10" s="3168">
        <v>15</v>
      </c>
      <c r="C10" s="3184"/>
      <c r="D10" s="3204"/>
      <c r="E10" s="136" t="s">
        <v>1963</v>
      </c>
      <c r="F10" s="1945"/>
      <c r="G10" s="1945"/>
      <c r="H10" s="1945"/>
      <c r="I10" s="1559"/>
    </row>
    <row r="11" spans="1:12" ht="12.75">
      <c r="A11" s="3181"/>
      <c r="B11" s="3168"/>
      <c r="C11" s="3186"/>
      <c r="D11" s="3204"/>
      <c r="E11" s="136" t="s">
        <v>1964</v>
      </c>
      <c r="F11" s="1945"/>
      <c r="G11" s="1945"/>
      <c r="H11" s="1945"/>
      <c r="I11" s="1559"/>
    </row>
    <row r="12" spans="1:12" ht="12.75">
      <c r="A12" s="3181" t="s">
        <v>1965</v>
      </c>
      <c r="B12" s="3168">
        <v>15</v>
      </c>
      <c r="C12" s="3184"/>
      <c r="D12" s="3204"/>
      <c r="E12" s="136" t="s">
        <v>1966</v>
      </c>
      <c r="F12" s="1945"/>
      <c r="G12" s="1945"/>
      <c r="H12" s="1945"/>
      <c r="I12" s="1559"/>
    </row>
    <row r="13" spans="1:12" ht="12.75">
      <c r="A13" s="3181"/>
      <c r="B13" s="3168"/>
      <c r="C13" s="3186"/>
      <c r="D13" s="3204"/>
      <c r="E13" s="136" t="s">
        <v>1967</v>
      </c>
      <c r="F13" s="1945"/>
      <c r="G13" s="1945"/>
      <c r="H13" s="1945"/>
      <c r="I13" s="1559"/>
    </row>
    <row r="14" spans="1:12" ht="12.75">
      <c r="A14" s="3181" t="s">
        <v>1968</v>
      </c>
      <c r="B14" s="3168">
        <v>30</v>
      </c>
      <c r="C14" s="3184">
        <v>8</v>
      </c>
      <c r="D14" s="3204">
        <v>2</v>
      </c>
      <c r="E14" s="136" t="s">
        <v>1969</v>
      </c>
      <c r="F14" s="1945"/>
      <c r="G14" s="1945"/>
      <c r="H14" s="1945"/>
      <c r="I14" s="1559"/>
    </row>
    <row r="15" spans="1:12" ht="12.75">
      <c r="A15" s="3181"/>
      <c r="B15" s="3168"/>
      <c r="C15" s="3185"/>
      <c r="D15" s="3204"/>
      <c r="E15" s="136" t="s">
        <v>1970</v>
      </c>
      <c r="F15" s="1945"/>
      <c r="G15" s="1945"/>
      <c r="H15" s="1945"/>
      <c r="I15" s="1559"/>
    </row>
    <row r="16" spans="1:12" ht="12.75">
      <c r="A16" s="3181"/>
      <c r="B16" s="3168"/>
      <c r="C16" s="3186"/>
      <c r="D16" s="3204"/>
      <c r="E16" s="136" t="s">
        <v>1971</v>
      </c>
      <c r="F16" s="1945"/>
      <c r="G16" s="1945"/>
      <c r="H16" s="1945"/>
      <c r="I16" s="1559"/>
    </row>
    <row r="17" spans="1:36" ht="15">
      <c r="A17" s="1946" t="s">
        <v>1972</v>
      </c>
      <c r="B17" s="60"/>
      <c r="C17" s="137">
        <f>SUM(C5:C16)</f>
        <v>8</v>
      </c>
      <c r="D17" s="137">
        <f>SUM(D5:D16)</f>
        <v>2</v>
      </c>
      <c r="E17" s="134"/>
      <c r="F17" s="134"/>
      <c r="G17" s="134"/>
      <c r="H17" s="134"/>
      <c r="I17" s="134"/>
      <c r="K17" s="308"/>
      <c r="L17" s="308" t="s">
        <v>1973</v>
      </c>
      <c r="M17" s="308" t="s">
        <v>1974</v>
      </c>
    </row>
    <row r="18" spans="1:36" ht="31.9" customHeight="1" thickBot="1">
      <c r="A18" s="1947" t="s">
        <v>1975</v>
      </c>
      <c r="B18" s="1948"/>
      <c r="C18" s="138">
        <f>ROUND(C17/SUM(C17:D17),2)</f>
        <v>0.8</v>
      </c>
      <c r="D18" s="138">
        <f>1-C18</f>
        <v>0.19999999999999996</v>
      </c>
      <c r="E18" s="3191" t="s">
        <v>2873</v>
      </c>
      <c r="F18" s="3192"/>
      <c r="G18" s="3192"/>
      <c r="H18" s="3192"/>
      <c r="I18" s="3192"/>
      <c r="K18" s="308" t="s">
        <v>1976</v>
      </c>
      <c r="L18" s="308">
        <f>IF(C1="",'数据-汇总表'!E3,SUMIF(项目类型,C1,'数据-汇总表'!E17:E26)+SUMIF(项目类型,C1,'数据-汇总表'!I17:I26))</f>
        <v>452.2</v>
      </c>
      <c r="M18" s="308">
        <f>IF(C1="",'数据-汇总表'!E3,SUMIF(项目类型,C1,'数据-汇总表'!E17:E26))</f>
        <v>452.2</v>
      </c>
    </row>
    <row r="19" spans="1:36" ht="15">
      <c r="A19" s="1949" t="s">
        <v>1977</v>
      </c>
      <c r="B19" s="1950" t="s">
        <v>1978</v>
      </c>
      <c r="C19" s="139">
        <f ca="1">SUMIF(INDIRECT("'"&amp;C4&amp;"'"&amp;"!A:A"),'结果表-车库'!B19,INDIRECT("'"&amp;C4&amp;"'"&amp;"!B:B"))</f>
        <v>433</v>
      </c>
      <c r="D19" s="140">
        <f ca="1">SUMIF(INDIRECT("'"&amp;D4&amp;"'"&amp;"!A:A"),'结果表-车库'!B19,INDIRECT("'"&amp;D4&amp;"'"&amp;"!B:B"))</f>
        <v>205</v>
      </c>
      <c r="E19" s="1949" t="s">
        <v>1979</v>
      </c>
      <c r="F19" s="1950" t="s">
        <v>1978</v>
      </c>
      <c r="G19" s="141">
        <f ca="1">ROUND(C19*$C$18+D19*$D$18,0)</f>
        <v>387</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SUMIF(INDIRECT("'"&amp;C4&amp;"'"&amp;"!A:A"),'结果表-车库'!B20,INDIRECT("'"&amp;C4&amp;"'"&amp;"!B:B"))</f>
        <v>9575</v>
      </c>
      <c r="D20" s="143">
        <f ca="1">SUMIF(INDIRECT("'"&amp;D4&amp;"'"&amp;"!A:A"),'结果表-车库'!B20,INDIRECT("'"&amp;D4&amp;"'"&amp;"!B:B"))</f>
        <v>4529</v>
      </c>
      <c r="E20" s="1952"/>
      <c r="F20" s="1157" t="s">
        <v>1982</v>
      </c>
      <c r="G20" s="144">
        <f ca="1">ROUND(C20*$C$18+D20*$D$18,0)</f>
        <v>8566</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1.1121951219512196</v>
      </c>
      <c r="E22" s="134"/>
      <c r="F22" s="134"/>
      <c r="G22" s="134"/>
      <c r="H22" s="134"/>
      <c r="I22" s="134"/>
    </row>
    <row r="23" spans="1:36" ht="13.5" thickBot="1">
      <c r="A23" s="1935"/>
      <c r="B23" s="1935"/>
      <c r="C23" s="1935"/>
      <c r="D23" s="1935"/>
      <c r="E23" s="134"/>
      <c r="F23" s="134"/>
      <c r="G23" s="134"/>
      <c r="H23" s="134"/>
      <c r="I23" s="134"/>
    </row>
    <row r="24" spans="1:36" ht="14.25">
      <c r="A24" s="3175" t="s">
        <v>1986</v>
      </c>
      <c r="B24" s="1950" t="s">
        <v>1978</v>
      </c>
      <c r="C24" s="141">
        <f>IF(B30=0,0,D30)</f>
        <v>0</v>
      </c>
      <c r="D24" s="1957"/>
      <c r="E24" s="134"/>
      <c r="F24" s="134"/>
      <c r="G24" s="134"/>
      <c r="H24" s="134"/>
      <c r="I24" s="134"/>
    </row>
    <row r="25" spans="1:36" ht="14.25">
      <c r="A25" s="317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387</v>
      </c>
      <c r="D32" s="1963" t="s">
        <v>3103</v>
      </c>
      <c r="E32" s="134"/>
      <c r="F32" s="134"/>
      <c r="G32" s="134"/>
      <c r="H32" s="134"/>
      <c r="I32" s="134"/>
    </row>
    <row r="33" spans="1:15" ht="15">
      <c r="A33" s="894" t="s">
        <v>1993</v>
      </c>
      <c r="B33" s="1964"/>
      <c r="C33" s="1965" t="s">
        <v>3104</v>
      </c>
      <c r="D33" s="1966" t="s">
        <v>3078</v>
      </c>
      <c r="E33" s="1967" t="s">
        <v>1994</v>
      </c>
      <c r="F33" s="1968" t="str">
        <f>IF(D32="楼面单价","取值（单价）","取值（总价）")</f>
        <v>取值（总价）</v>
      </c>
      <c r="G33" s="134"/>
      <c r="H33" s="134"/>
      <c r="I33" s="134"/>
    </row>
    <row r="34" spans="1:15" ht="15">
      <c r="A34" s="1969"/>
      <c r="B34" s="1970" t="s">
        <v>1995</v>
      </c>
      <c r="C34" s="153">
        <f ca="1">IF(C33="自定义",F34,C32-C35)</f>
        <v>-156</v>
      </c>
      <c r="D34" s="970">
        <f ca="1">IF(C33="自定义",ROUND(C34/C32,3),IF(C33="收益比率",SUMIF(INDIRECT("'"&amp;D33&amp;"'"&amp;"!b:b"),"土地收益比率",INDIRECT("'"&amp;D33&amp;"'"&amp;"!c:c")),SUMIF(INDIRECT("'"&amp;D33&amp;"'"&amp;"!b:b"),"土地成本比率",INDIRECT("'"&amp;D33&amp;"'"&amp;"!c:c"))))</f>
        <v>-0.40300000000000002</v>
      </c>
      <c r="E34" s="1971" t="s">
        <v>1996</v>
      </c>
      <c r="F34" s="1500"/>
      <c r="G34" s="134"/>
      <c r="H34" s="134"/>
      <c r="I34" s="134"/>
    </row>
    <row r="35" spans="1:15" ht="15.75" thickBot="1">
      <c r="A35" s="1972"/>
      <c r="B35" s="1973" t="s">
        <v>1997</v>
      </c>
      <c r="C35" s="1332">
        <f ca="1">IF(C33="自定义",F35,ROUND(C32*D35,0))</f>
        <v>543</v>
      </c>
      <c r="D35" s="1333">
        <f ca="1">IF(C33="自定义",ROUND(C35/C32,3),IF(C33="收益比率",SUMIF(INDIRECT("'"&amp;D33&amp;"'"&amp;"!b:b"),"建筑物收益比率",INDIRECT("'"&amp;D33&amp;"'"&amp;"!c:c")),SUMIF(INDIRECT("'"&amp;D33&amp;"'"&amp;"!b:b"),"建筑物成本比率",INDIRECT("'"&amp;D33&amp;"'"&amp;"!c:c"))))</f>
        <v>1.403</v>
      </c>
      <c r="E35" s="1974" t="s">
        <v>1998</v>
      </c>
      <c r="F35" s="159"/>
      <c r="G35" s="134"/>
      <c r="H35" s="134"/>
      <c r="I35" s="134"/>
    </row>
    <row r="36" spans="1:15" ht="15.75" thickBot="1">
      <c r="A36" s="3195" t="s">
        <v>1999</v>
      </c>
      <c r="B36" s="1975" t="s">
        <v>2000</v>
      </c>
      <c r="C36" s="150"/>
      <c r="D36" s="1976"/>
      <c r="E36" s="1977"/>
      <c r="F36" s="1978"/>
      <c r="G36" s="134"/>
      <c r="H36" s="134"/>
      <c r="I36" s="134"/>
    </row>
    <row r="37" spans="1:15" ht="15.75" thickBot="1">
      <c r="A37" s="3196"/>
      <c r="B37" s="1862" t="s">
        <v>2001</v>
      </c>
      <c r="C37" s="152"/>
      <c r="D37" s="1301"/>
      <c r="E37" s="1301"/>
      <c r="F37" s="1978"/>
      <c r="G37" s="134"/>
      <c r="H37" s="134"/>
      <c r="I37" s="134"/>
    </row>
    <row r="38" spans="1:15" ht="15.75" thickBot="1">
      <c r="A38" s="3197"/>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72" t="s">
        <v>2013</v>
      </c>
      <c r="B45" s="3173"/>
      <c r="C45" s="3174"/>
      <c r="D45" s="160">
        <f ca="1">ROUND(H101*F45,0)</f>
        <v>387</v>
      </c>
      <c r="E45" s="161" t="s">
        <v>2014</v>
      </c>
      <c r="F45" s="162">
        <v>1</v>
      </c>
      <c r="G45" s="163" t="s">
        <v>2015</v>
      </c>
      <c r="H45" s="134"/>
      <c r="I45" s="134"/>
      <c r="J45" s="3253" t="s">
        <v>2016</v>
      </c>
      <c r="K45" s="3253"/>
      <c r="L45" s="3253"/>
      <c r="M45" s="3253"/>
      <c r="N45" s="3253"/>
      <c r="O45" s="3253"/>
    </row>
    <row r="46" spans="1:15" ht="14.25" customHeight="1">
      <c r="A46" s="3169" t="s">
        <v>2017</v>
      </c>
      <c r="B46" s="3170"/>
      <c r="C46" s="3170"/>
      <c r="D46" s="3170"/>
      <c r="E46" s="3170"/>
      <c r="F46" s="3170"/>
      <c r="G46" s="3171"/>
      <c r="H46" s="1994"/>
      <c r="I46" s="164"/>
      <c r="J46" s="3059">
        <v>1</v>
      </c>
      <c r="K46" s="3234" t="s">
        <v>2018</v>
      </c>
      <c r="L46" s="3234"/>
      <c r="M46" s="3254"/>
      <c r="N46" s="3254"/>
      <c r="O46" s="3254"/>
    </row>
    <row r="47" spans="1:15" ht="12" customHeight="1">
      <c r="A47" s="165" t="s">
        <v>2019</v>
      </c>
      <c r="B47" s="166"/>
      <c r="C47" s="167"/>
      <c r="D47" s="1247" t="s">
        <v>2020</v>
      </c>
      <c r="E47" s="308" t="s">
        <v>2021</v>
      </c>
      <c r="F47" s="168" t="s">
        <v>2022</v>
      </c>
      <c r="G47" s="2774" t="s">
        <v>2023</v>
      </c>
      <c r="H47" s="2775"/>
      <c r="I47" s="164"/>
      <c r="J47" s="3059">
        <v>2</v>
      </c>
      <c r="K47" s="3234" t="s">
        <v>2024</v>
      </c>
      <c r="L47" s="3234"/>
      <c r="M47" s="3255">
        <f>'数据-取费表'!B2</f>
        <v>44230</v>
      </c>
      <c r="N47" s="3255"/>
      <c r="O47" s="3255"/>
    </row>
    <row r="48" spans="1:15" ht="25.5">
      <c r="A48" s="3200" t="s">
        <v>2025</v>
      </c>
      <c r="B48" s="3183"/>
      <c r="C48" s="3183"/>
      <c r="D48" s="3061">
        <f ca="1">IF(H48="情况1",0,IF(H48="情况2",D52,IF(H48="情况3",D53,IF(H48="情况4",D54))))</f>
        <v>21</v>
      </c>
      <c r="E48" s="3052" t="str">
        <f>IF(H48="情况4","(销售额-原购置价)×税（费）率","销售额×税（费）率")</f>
        <v>(销售额-原购置价)×税（费）率</v>
      </c>
      <c r="F48" s="2776">
        <f>IF(H48="情况1","免征",'数据-取费表'!B41)</f>
        <v>5.6000000000000001E-2</v>
      </c>
      <c r="G48" s="2777" t="s">
        <v>2026</v>
      </c>
      <c r="H48" s="2778" t="s">
        <v>3113</v>
      </c>
      <c r="I48" s="1994"/>
      <c r="J48" s="3059">
        <v>3</v>
      </c>
      <c r="K48" s="3234" t="s">
        <v>2027</v>
      </c>
      <c r="L48" s="3234"/>
      <c r="M48" s="3256">
        <f ca="1">H101</f>
        <v>387</v>
      </c>
      <c r="N48" s="3256"/>
      <c r="O48" s="3256"/>
    </row>
    <row r="49" spans="1:35" ht="25.5" customHeight="1">
      <c r="A49" s="3056" t="s">
        <v>2028</v>
      </c>
      <c r="B49" s="3167" t="s">
        <v>2029</v>
      </c>
      <c r="C49" s="3167"/>
      <c r="D49" s="1777">
        <v>0</v>
      </c>
      <c r="E49" s="330" t="s">
        <v>2030</v>
      </c>
      <c r="F49" s="3046" t="s">
        <v>34</v>
      </c>
      <c r="G49" s="3240"/>
      <c r="H49" s="2530" t="s">
        <v>2876</v>
      </c>
      <c r="I49" s="2531"/>
      <c r="J49" s="3059">
        <v>4</v>
      </c>
      <c r="K49" s="3234" t="str">
        <f>IF(项目基本情况!E8="房地产抵押价值","房地产抵押价值","抵押担保权已注销时的房地产抵押价值")</f>
        <v>房地产抵押价值</v>
      </c>
      <c r="L49" s="3234"/>
      <c r="M49" s="3256">
        <f ca="1">IF(项目基本情况!E8="房地产抵押价值",H107,H109)</f>
        <v>387</v>
      </c>
      <c r="N49" s="3256"/>
      <c r="O49" s="3256"/>
    </row>
    <row r="50" spans="1:35" ht="25.5" customHeight="1">
      <c r="A50" s="2779"/>
      <c r="B50" s="3167" t="s">
        <v>2031</v>
      </c>
      <c r="C50" s="3167"/>
      <c r="D50" s="2780"/>
      <c r="E50" s="338"/>
      <c r="F50" s="3046"/>
      <c r="G50" s="3241"/>
      <c r="H50" s="2532" t="s">
        <v>2877</v>
      </c>
      <c r="I50" s="2531"/>
      <c r="J50" s="3253" t="s">
        <v>2032</v>
      </c>
      <c r="K50" s="3253"/>
      <c r="L50" s="3253"/>
      <c r="M50" s="3253"/>
      <c r="N50" s="3253"/>
      <c r="O50" s="3253"/>
    </row>
    <row r="51" spans="1:35" ht="20.45" customHeight="1">
      <c r="A51" s="2781"/>
      <c r="B51" s="3167" t="s">
        <v>2033</v>
      </c>
      <c r="C51" s="3167"/>
      <c r="D51" s="1247"/>
      <c r="E51" s="333"/>
      <c r="F51" s="3046"/>
      <c r="G51" s="3242"/>
      <c r="H51" s="2532" t="s">
        <v>2878</v>
      </c>
      <c r="I51" s="2531"/>
      <c r="J51" s="3058" t="s">
        <v>2034</v>
      </c>
      <c r="K51" s="3234" t="s">
        <v>2035</v>
      </c>
      <c r="L51" s="3234"/>
      <c r="M51" s="3058" t="s">
        <v>2036</v>
      </c>
      <c r="N51" s="3058" t="s">
        <v>2037</v>
      </c>
      <c r="O51" s="3058" t="s">
        <v>2038</v>
      </c>
    </row>
    <row r="52" spans="1:35" ht="24" customHeight="1">
      <c r="A52" s="3051" t="s">
        <v>2039</v>
      </c>
      <c r="B52" s="3167" t="s">
        <v>2040</v>
      </c>
      <c r="C52" s="3167"/>
      <c r="D52" s="1247">
        <f ca="1">ROUND(D45*'数据-取费表'!B41/(1+'数据-取费表'!C42),0)</f>
        <v>21</v>
      </c>
      <c r="E52" s="3052" t="s">
        <v>2041</v>
      </c>
      <c r="F52" s="2782">
        <f>'数据-取费表'!B41</f>
        <v>5.6000000000000001E-2</v>
      </c>
      <c r="G52" s="2783"/>
      <c r="H52" s="2772"/>
      <c r="I52" s="1995"/>
      <c r="J52" s="3059">
        <v>1</v>
      </c>
      <c r="K52" s="3235" t="s">
        <v>2042</v>
      </c>
      <c r="L52" s="3235"/>
      <c r="M52" s="2753">
        <f ca="1">D48</f>
        <v>21</v>
      </c>
      <c r="N52" s="3059" t="str">
        <f>E48</f>
        <v>(销售额-原购置价)×税（费）率</v>
      </c>
      <c r="O52" s="2754">
        <f>F48</f>
        <v>5.6000000000000001E-2</v>
      </c>
    </row>
    <row r="53" spans="1:35" ht="12" customHeight="1">
      <c r="A53" s="3051" t="s">
        <v>2043</v>
      </c>
      <c r="B53" s="3193" t="s">
        <v>3028</v>
      </c>
      <c r="C53" s="3194"/>
      <c r="D53" s="1247">
        <f ca="1">ROUND(D45*'数据-取费表'!B41/(1+'数据-取费表'!C42),0)</f>
        <v>21</v>
      </c>
      <c r="E53" s="3052" t="s">
        <v>2041</v>
      </c>
      <c r="F53" s="2782">
        <f>'数据-取费表'!B41</f>
        <v>5.6000000000000001E-2</v>
      </c>
      <c r="G53" s="2783"/>
      <c r="H53" s="2772"/>
      <c r="I53" s="1995"/>
      <c r="J53" s="3059">
        <v>2</v>
      </c>
      <c r="K53" s="3235" t="s">
        <v>2044</v>
      </c>
      <c r="L53" s="3235"/>
      <c r="M53" s="2753">
        <f t="shared" ref="M53:O54" ca="1" si="0">D55</f>
        <v>0</v>
      </c>
      <c r="N53" s="3059" t="str">
        <f t="shared" si="0"/>
        <v>销售额×税（费）率</v>
      </c>
      <c r="O53" s="2754">
        <f t="shared" si="0"/>
        <v>5.0000000000000001E-4</v>
      </c>
    </row>
    <row r="54" spans="1:35" ht="12" customHeight="1">
      <c r="A54" s="3051" t="s">
        <v>2045</v>
      </c>
      <c r="B54" s="3193" t="s">
        <v>3029</v>
      </c>
      <c r="C54" s="3194"/>
      <c r="D54" s="1247">
        <f ca="1">C68</f>
        <v>21</v>
      </c>
      <c r="E54" s="333" t="s">
        <v>2046</v>
      </c>
      <c r="F54" s="2782">
        <f>'数据-取费表'!B41</f>
        <v>5.6000000000000001E-2</v>
      </c>
      <c r="G54" s="2783"/>
      <c r="H54" s="2784"/>
      <c r="I54" s="1995"/>
      <c r="J54" s="3059">
        <v>3</v>
      </c>
      <c r="K54" s="3235" t="s">
        <v>2047</v>
      </c>
      <c r="L54" s="3235"/>
      <c r="M54" s="2753">
        <f t="shared" ca="1" si="0"/>
        <v>34</v>
      </c>
      <c r="N54" s="3059" t="str">
        <f t="shared" si="0"/>
        <v>增值额×税（费）率</v>
      </c>
      <c r="O54" s="2755" t="str">
        <f t="shared" si="0"/>
        <v>——</v>
      </c>
    </row>
    <row r="55" spans="1:35" ht="24" customHeight="1">
      <c r="A55" s="3182" t="s">
        <v>2048</v>
      </c>
      <c r="B55" s="3183"/>
      <c r="C55" s="3183"/>
      <c r="D55" s="3061">
        <f ca="1">IF(H55="个人住宅",0,ROUND(D45*I55,0))</f>
        <v>0</v>
      </c>
      <c r="E55" s="3052" t="s">
        <v>2049</v>
      </c>
      <c r="F55" s="2782">
        <f>IF(H55="正常",I55,"免征")</f>
        <v>5.0000000000000001E-4</v>
      </c>
      <c r="G55" s="2783"/>
      <c r="H55" s="2778" t="s">
        <v>3072</v>
      </c>
      <c r="I55" s="170">
        <f>'数据-取费表'!B49</f>
        <v>5.0000000000000001E-4</v>
      </c>
      <c r="J55" s="3059" t="str">
        <f>IF(H59="非个人房产","",4)</f>
        <v/>
      </c>
      <c r="K55" s="3235" t="str">
        <f>IF(H59="非个人房产","——","个人所得税")</f>
        <v>——</v>
      </c>
      <c r="L55" s="3235"/>
      <c r="M55" s="2756" t="str">
        <f>D59</f>
        <v>——</v>
      </c>
      <c r="N55" s="3060" t="str">
        <f>E59</f>
        <v>——</v>
      </c>
      <c r="O55" s="2757" t="str">
        <f>F59</f>
        <v>——</v>
      </c>
    </row>
    <row r="56" spans="1:35" ht="24.75">
      <c r="A56" s="3182" t="s">
        <v>2050</v>
      </c>
      <c r="B56" s="3183"/>
      <c r="C56" s="3183"/>
      <c r="D56" s="3061">
        <f ca="1">IF(H56="个人住宅",D57,D58)</f>
        <v>34</v>
      </c>
      <c r="E56" s="3052" t="s">
        <v>2051</v>
      </c>
      <c r="F56" s="2782" t="str">
        <f>IF(H56="正常",F58,"免征")</f>
        <v>——</v>
      </c>
      <c r="G56" s="2785" t="s">
        <v>2052</v>
      </c>
      <c r="H56" s="2786" t="s">
        <v>3072</v>
      </c>
      <c r="I56" s="1996"/>
      <c r="J56" s="3059" t="str">
        <f>IF(项目基本情况!K6="上海银行",IF(J55="",4,J55+1),"")</f>
        <v/>
      </c>
      <c r="K56" s="3258" t="str">
        <f>IF(项目基本情况!K6="上海银行","其他处置费用","")</f>
        <v/>
      </c>
      <c r="L56" s="3259"/>
      <c r="M56" s="2753" t="str">
        <f>IF(项目基本情况!K6="上海银行",M69,"")</f>
        <v/>
      </c>
      <c r="N56" s="3258" t="str">
        <f>IF(项目基本情况!K6="上海银行","包含处置中涉及的律师、诉讼、拍卖、评估等费用","")</f>
        <v/>
      </c>
      <c r="O56" s="3261"/>
    </row>
    <row r="57" spans="1:35" ht="12.75">
      <c r="A57" s="3051" t="s">
        <v>2028</v>
      </c>
      <c r="B57" s="3193" t="s">
        <v>2053</v>
      </c>
      <c r="C57" s="3194"/>
      <c r="D57" s="1777">
        <v>0</v>
      </c>
      <c r="E57" s="330" t="s">
        <v>2030</v>
      </c>
      <c r="F57" s="308"/>
      <c r="G57" s="2783"/>
      <c r="H57" s="2787"/>
      <c r="I57" s="1996"/>
      <c r="J57" s="3235">
        <f>IF(AND(J55="",J56=""),4,IF(项目基本情况!K6="上海银行",'结果表-车库'!J56+1,'结果表-车库'!J55+1))</f>
        <v>4</v>
      </c>
      <c r="K57" s="3235" t="s">
        <v>2054</v>
      </c>
      <c r="L57" s="2758" t="s">
        <v>2055</v>
      </c>
      <c r="M57" s="2759"/>
      <c r="N57" s="2760">
        <f ca="1">SUMIF(M52:M56,"&lt;9e307")</f>
        <v>55</v>
      </c>
      <c r="O57" s="2761"/>
      <c r="P57" s="2921">
        <f ca="1">N57/M49</f>
        <v>0.1421188630490956</v>
      </c>
    </row>
    <row r="58" spans="1:35" ht="24.75">
      <c r="A58" s="3051" t="s">
        <v>2039</v>
      </c>
      <c r="B58" s="3193" t="s">
        <v>2056</v>
      </c>
      <c r="C58" s="3167"/>
      <c r="D58" s="3061">
        <f ca="1">IF(H58="转让取得",C81,C97)</f>
        <v>34</v>
      </c>
      <c r="E58" s="3052" t="s">
        <v>2051</v>
      </c>
      <c r="F58" s="308" t="s">
        <v>34</v>
      </c>
      <c r="G58" s="2783"/>
      <c r="H58" s="2786" t="s">
        <v>3114</v>
      </c>
      <c r="I58" s="1996"/>
      <c r="J58" s="3235"/>
      <c r="K58" s="3235"/>
      <c r="L58" s="2758" t="s">
        <v>2057</v>
      </c>
      <c r="M58" s="2762"/>
      <c r="N58" s="2763" t="str">
        <f ca="1">NUMBERSTRING(INT(N57*10000),2)&amp;"元整"</f>
        <v>伍拾伍万元整</v>
      </c>
      <c r="O58" s="2764"/>
    </row>
    <row r="59" spans="1:35" ht="24.75" thickBot="1">
      <c r="A59" s="3238" t="s">
        <v>2058</v>
      </c>
      <c r="B59" s="3239"/>
      <c r="C59" s="3239"/>
      <c r="D59" s="2788" t="str">
        <f>IF(H59="非个人房产","——",IF(H59="个人住宅（满五唯一有凭证）",0,IF(H59="个人其他（无凭证）",ROUND(D45*F59,0),ROUND(C67*F59,0))))</f>
        <v>——</v>
      </c>
      <c r="E59" s="2789" t="str">
        <f>IF(H59="非个人房产","——",IF(H59="个人其他（无凭证）","销售额×税（费）率",IF(H59="个人住宅（满五唯一有凭证）","免征","差额计税")))</f>
        <v>——</v>
      </c>
      <c r="F59" s="2790" t="str">
        <f>IF(OR(H59="非个人房产",H59="个人住宅（满五唯一有凭证）"),"——",IF(H59="个人其他（有凭证）",20%,1%))</f>
        <v>——</v>
      </c>
      <c r="G59" s="2791" t="s">
        <v>2052</v>
      </c>
      <c r="H59" s="2534" t="s">
        <v>3115</v>
      </c>
      <c r="I59" s="2533" t="s">
        <v>2879</v>
      </c>
      <c r="J59" s="3236">
        <f>J57+1</f>
        <v>5</v>
      </c>
      <c r="K59" s="3235" t="s">
        <v>2059</v>
      </c>
      <c r="L59" s="3059" t="s">
        <v>2055</v>
      </c>
      <c r="M59" s="2765"/>
      <c r="N59" s="2766">
        <f ca="1">M49-N57</f>
        <v>332</v>
      </c>
      <c r="O59" s="2767"/>
    </row>
    <row r="60" spans="1:35" ht="12" customHeight="1">
      <c r="A60" s="1997"/>
      <c r="B60" s="1935"/>
      <c r="C60" s="1935"/>
      <c r="D60" s="1935"/>
      <c r="E60" s="1765"/>
      <c r="F60" s="1996"/>
      <c r="G60" s="1996"/>
      <c r="H60" s="1998"/>
      <c r="I60" s="134"/>
      <c r="J60" s="3237"/>
      <c r="K60" s="3235"/>
      <c r="L60" s="2758" t="s">
        <v>2057</v>
      </c>
      <c r="M60" s="2762"/>
      <c r="N60" s="2763" t="str">
        <f ca="1">NUMBERSTRING(INT(N59*10000),2)&amp;"元整"</f>
        <v>叁佰叁拾贰万元整</v>
      </c>
      <c r="O60" s="2764"/>
    </row>
    <row r="61" spans="1:35" ht="13.5" thickBot="1">
      <c r="A61" s="3180" t="s">
        <v>2060</v>
      </c>
      <c r="B61" s="3180"/>
      <c r="C61" s="3180"/>
      <c r="D61" s="3180"/>
      <c r="E61" s="3180"/>
      <c r="F61" s="1996"/>
      <c r="G61" s="1996"/>
      <c r="H61" s="1998"/>
      <c r="I61" s="134"/>
      <c r="J61" s="3059">
        <f>J59+1</f>
        <v>6</v>
      </c>
      <c r="K61" s="3235" t="s">
        <v>2061</v>
      </c>
      <c r="L61" s="3235"/>
      <c r="M61" s="2768"/>
      <c r="N61" s="2769">
        <f ca="1">ROUND(N59*10000/'数据-汇总表'!E3,0)</f>
        <v>1925</v>
      </c>
      <c r="O61" s="2770"/>
    </row>
    <row r="62" spans="1:35" ht="12.75">
      <c r="A62" s="3198" t="s">
        <v>2062</v>
      </c>
      <c r="B62" s="3199"/>
      <c r="C62" s="3055"/>
      <c r="D62" s="3055" t="s">
        <v>2063</v>
      </c>
      <c r="E62" s="171" t="s">
        <v>2064</v>
      </c>
      <c r="F62" s="1996"/>
      <c r="G62" s="1996"/>
      <c r="H62" s="1998"/>
      <c r="I62" s="134"/>
    </row>
    <row r="63" spans="1:35" ht="12.75">
      <c r="A63" s="178" t="s">
        <v>775</v>
      </c>
      <c r="B63" s="172" t="s">
        <v>2065</v>
      </c>
      <c r="C63" s="2792">
        <f ca="1">ROUND((C64+C65)/(1+'数据-取费表'!C42),0)</f>
        <v>369</v>
      </c>
      <c r="D63" s="172"/>
      <c r="E63" s="173"/>
      <c r="F63" s="1996"/>
      <c r="G63" s="1996"/>
      <c r="H63" s="1998"/>
      <c r="I63" s="134"/>
      <c r="J63" s="3260" t="s">
        <v>2066</v>
      </c>
      <c r="K63" s="3062" t="s">
        <v>2067</v>
      </c>
      <c r="L63" s="3062">
        <f ca="1">IF(M49&gt;10000,M49*0.5%,IF(AND(M49&gt;1000,M49&lt;=10000),M49*1%,IF(AND(M49&gt;100,M49&lt;=1000),M49*3%,IF(AND(M49&gt;10,M49&lt;=100),M49*5%,M49*8%))))</f>
        <v>11.61</v>
      </c>
      <c r="M63" s="308">
        <f ca="1">ROUND(L63,1)</f>
        <v>11.6</v>
      </c>
      <c r="N63" s="2771"/>
      <c r="Z63" s="1940"/>
      <c r="AI63" s="1941"/>
    </row>
    <row r="64" spans="1:35" ht="14.25" customHeight="1">
      <c r="A64" s="174" t="s">
        <v>770</v>
      </c>
      <c r="B64" s="175" t="s">
        <v>2068</v>
      </c>
      <c r="C64" s="2793">
        <f ca="1">D45</f>
        <v>387</v>
      </c>
      <c r="D64" s="175" t="s">
        <v>32</v>
      </c>
      <c r="E64" s="177"/>
      <c r="F64" s="1996"/>
      <c r="G64" s="1996"/>
      <c r="H64" s="1998"/>
      <c r="I64" s="134"/>
      <c r="J64" s="3260"/>
      <c r="K64" s="3062" t="s">
        <v>2069</v>
      </c>
      <c r="L64" s="3062">
        <f ca="1">IF(M49&gt;2000,M49*0.5%,IF(AND(M49&gt;1000,M49&lt;=2000),M49*0.6%,IF(AND(M49&gt;500,M49&lt;=1000),M49*0.7%,IF(AND(M49&gt;200,M49&lt;=500),M49*0.8%,IF(AND(M49&gt;100,M49&lt;=200),M49*0.9%,IF(AND(M49&gt;50,M49&lt;=100),M49*1%,IF(AND(M49&gt;20,M49&lt;=50),M49*1.5%,IF(AND(M49&gt;10,M49&lt;=20),M49*2%,IF(AND(M49&gt;1,M49&lt;=10),M49*2.5%)))))))))</f>
        <v>3.0960000000000001</v>
      </c>
      <c r="M64" s="308">
        <f t="shared" ref="M64:M65" ca="1" si="1">ROUND(L64,1)</f>
        <v>3.1</v>
      </c>
      <c r="N64" s="2772" t="s">
        <v>2070</v>
      </c>
      <c r="Z64" s="1940"/>
      <c r="AI64" s="1941"/>
    </row>
    <row r="65" spans="1:35" ht="14.25" customHeight="1">
      <c r="A65" s="174" t="s">
        <v>771</v>
      </c>
      <c r="B65" s="175" t="s">
        <v>2071</v>
      </c>
      <c r="C65" s="2794"/>
      <c r="D65" s="175"/>
      <c r="E65" s="177"/>
      <c r="F65" s="1996"/>
      <c r="G65" s="1996"/>
      <c r="H65" s="1998"/>
      <c r="I65" s="134"/>
      <c r="J65" s="3260"/>
      <c r="K65" s="3062" t="s">
        <v>2072</v>
      </c>
      <c r="L65" s="3062">
        <f ca="1">IF(M49&gt;1000,M49*0.1%,IF(AND(M49&gt;500,M49&lt;=1000),M49*0.5%,IF(AND(M49&gt;50,M49&lt;=500),M49*1%,IF(AND(M49&gt;1,M49&lt;=50),M49*1.5%))))</f>
        <v>3.87</v>
      </c>
      <c r="M65" s="308">
        <f t="shared" ca="1" si="1"/>
        <v>3.9</v>
      </c>
      <c r="N65" s="2772" t="s">
        <v>2070</v>
      </c>
      <c r="Z65" s="1940"/>
      <c r="AI65" s="1941"/>
    </row>
    <row r="66" spans="1:35" ht="14.25" customHeight="1">
      <c r="A66" s="178" t="s">
        <v>772</v>
      </c>
      <c r="B66" s="179" t="s">
        <v>2073</v>
      </c>
      <c r="C66" s="2795"/>
      <c r="D66" s="179" t="s">
        <v>32</v>
      </c>
      <c r="E66" s="1511" t="s">
        <v>1337</v>
      </c>
      <c r="F66" s="1996"/>
      <c r="G66" s="1996"/>
      <c r="H66" s="1998"/>
      <c r="I66" s="134"/>
      <c r="J66" s="3260"/>
      <c r="K66" s="3062" t="s">
        <v>2074</v>
      </c>
      <c r="L66" s="3062">
        <f ca="1">M49*0.5%</f>
        <v>1.9350000000000001</v>
      </c>
      <c r="M66" s="308">
        <f ca="1">IF(L66&gt;0.5,0.5,ROUND(L66,0))</f>
        <v>0.5</v>
      </c>
      <c r="N66" s="2772" t="s">
        <v>2075</v>
      </c>
      <c r="Z66" s="1940"/>
      <c r="AI66" s="1941"/>
    </row>
    <row r="67" spans="1:35" ht="14.25" customHeight="1">
      <c r="A67" s="178" t="s">
        <v>773</v>
      </c>
      <c r="B67" s="179" t="s">
        <v>2076</v>
      </c>
      <c r="C67" s="2796">
        <f ca="1">C63-C66</f>
        <v>369</v>
      </c>
      <c r="D67" s="175" t="s">
        <v>32</v>
      </c>
      <c r="E67" s="177"/>
      <c r="F67" s="1996"/>
      <c r="G67" s="1996"/>
      <c r="H67" s="1998"/>
      <c r="I67" s="134"/>
      <c r="J67" s="3260"/>
      <c r="K67" s="3062" t="s">
        <v>2077</v>
      </c>
      <c r="L67" s="3062">
        <f ca="1">IF(M49&gt;=10000,(8.25+(M49-10000)*0.01%),IF(AND(M49&gt;=8000,M49&lt;10000),(7.85+(M49-8000)*0.02%),IF(AND(M49&gt;=5000,M49&lt;8000),(6.65+(M49-5000)*0.04%),IF(AND(M49&gt;=2000,M49&lt;5000),(4.25+(PM49-2000)*0.08%),IF(AND(M49&gt;=1000,M49&lt;2000),(2.75+(M49-1000)*0.15%),IF(AND(M49&gt;=100,M49&lt;1000),(0.5+(M49-100)*0.25%),IF(AND(M49&gt;0,M49&lt;100),M49*0.5%)))))))</f>
        <v>1.2175</v>
      </c>
      <c r="M67" s="308">
        <f ca="1">ROUND(L67*0.9,1)</f>
        <v>1.1000000000000001</v>
      </c>
      <c r="N67" s="2771"/>
      <c r="Z67" s="1940"/>
      <c r="AI67" s="1941"/>
    </row>
    <row r="68" spans="1:35" ht="14.25" customHeight="1" thickBot="1">
      <c r="A68" s="181" t="s">
        <v>774</v>
      </c>
      <c r="B68" s="182" t="s">
        <v>2078</v>
      </c>
      <c r="C68" s="2797">
        <f ca="1">IF(C67&lt;=0,0,ROUND(C67*D68,0))</f>
        <v>21</v>
      </c>
      <c r="D68" s="2798">
        <f>'数据-取费表'!B41</f>
        <v>5.6000000000000001E-2</v>
      </c>
      <c r="E68" s="184"/>
      <c r="F68" s="1996"/>
      <c r="G68" s="1996"/>
      <c r="H68" s="1998"/>
      <c r="I68" s="134"/>
      <c r="J68" s="3260"/>
      <c r="K68" s="3062" t="s">
        <v>2079</v>
      </c>
      <c r="L68" s="3062">
        <f ca="1">IF(M49&gt;10000,M49*0.5%,IF(AND(M49&gt;5000,M49&lt;=10000),M49*1%,IF(AND(M49&gt;1000,M49&lt;=5000),M49*2%,IF(AND(M49&gt;200,M49&lt;=1000),M49*3%,M49*5%))))</f>
        <v>11.61</v>
      </c>
      <c r="M68" s="308">
        <f ca="1">ROUND(L68,1)</f>
        <v>11.6</v>
      </c>
      <c r="N68" s="2771"/>
      <c r="Z68" s="1940"/>
      <c r="AI68" s="1941"/>
    </row>
    <row r="69" spans="1:35" s="1960" customFormat="1" ht="16.5" customHeight="1">
      <c r="A69" s="1999"/>
      <c r="B69" s="2000"/>
      <c r="C69" s="2001"/>
      <c r="D69" s="2002"/>
      <c r="E69" s="2003"/>
      <c r="F69" s="1765"/>
      <c r="G69" s="1765"/>
      <c r="H69" s="1764"/>
      <c r="I69" s="1935"/>
      <c r="J69" s="3260"/>
      <c r="K69" s="3062" t="s">
        <v>2080</v>
      </c>
      <c r="L69" s="3062"/>
      <c r="M69" s="308">
        <f ca="1">ROUND(SUM(M63:M68),0)</f>
        <v>32</v>
      </c>
      <c r="N69" s="2773">
        <f ca="1">M69/M49</f>
        <v>8.2687338501291993E-2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9" t="s">
        <v>2081</v>
      </c>
      <c r="B70" s="3220"/>
      <c r="C70" s="3220"/>
      <c r="D70" s="3220"/>
      <c r="E70" s="3220"/>
      <c r="F70" s="3220"/>
      <c r="G70" s="3220"/>
      <c r="H70" s="3220"/>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8" t="s">
        <v>2062</v>
      </c>
      <c r="B71" s="3199"/>
      <c r="C71" s="3055"/>
      <c r="D71" s="3055"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369</v>
      </c>
      <c r="D72" s="175" t="s">
        <v>32</v>
      </c>
      <c r="E72" s="3054"/>
      <c r="F72" s="3047"/>
      <c r="G72" s="3047"/>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255</v>
      </c>
      <c r="D73" s="175" t="s">
        <v>32</v>
      </c>
      <c r="E73" s="3054"/>
      <c r="F73" s="3047"/>
      <c r="G73" s="3047"/>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253</v>
      </c>
      <c r="D74" s="175" t="s">
        <v>32</v>
      </c>
      <c r="E74" s="3054"/>
      <c r="F74" s="3047"/>
      <c r="G74" s="3047"/>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v>150</v>
      </c>
      <c r="D75" s="175" t="s">
        <v>32</v>
      </c>
      <c r="E75" s="190" t="s">
        <v>2086</v>
      </c>
      <c r="F75" s="2800" t="s">
        <v>3116</v>
      </c>
      <c r="G75" s="190" t="s">
        <v>2087</v>
      </c>
      <c r="H75" s="2801">
        <v>13</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98</v>
      </c>
      <c r="D76" s="2802">
        <v>0.05</v>
      </c>
      <c r="E76" s="3193" t="s">
        <v>2089</v>
      </c>
      <c r="F76" s="3167"/>
      <c r="G76" s="3167"/>
      <c r="H76" s="3218"/>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5</v>
      </c>
      <c r="D77" s="2803">
        <f>'数据-取费表'!B48+'数据-取费表'!B49</f>
        <v>3.0499999999999999E-2</v>
      </c>
      <c r="E77" s="3061" t="s">
        <v>2091</v>
      </c>
      <c r="F77" s="192"/>
      <c r="G77" s="2010" t="s">
        <v>3117</v>
      </c>
      <c r="H77" s="30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v>
      </c>
      <c r="D78" s="2805">
        <f>'数据-取费表'!B43</f>
        <v>6.000000000000001E-3</v>
      </c>
      <c r="E78" s="3177" t="s">
        <v>2093</v>
      </c>
      <c r="F78" s="3178"/>
      <c r="G78" s="3178"/>
      <c r="H78" s="318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6">
        <f ca="1">C72-C73</f>
        <v>114</v>
      </c>
      <c r="D79" s="175" t="s">
        <v>32</v>
      </c>
      <c r="E79" s="3054"/>
      <c r="F79" s="3047"/>
      <c r="G79" s="3047"/>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0.44705882352941179</v>
      </c>
      <c r="D80" s="175" t="s">
        <v>32</v>
      </c>
      <c r="E80" s="3061" t="str">
        <f ca="1">IF(C80&gt;=200%,"增值额超过扣除项目金额200%",IF(C80&gt;=100%,"增值额超过扣除项目金额100%，未超过200%",IF(C80&gt;=50%,"增值额超过扣除项目金额50%，未超过100%",IF(C80&lt;50%,"增值额未超过扣除项目金额50%"))))</f>
        <v>增值额未超过扣除项目金额50%</v>
      </c>
      <c r="F80" s="3047"/>
      <c r="G80" s="3047"/>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34</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9" t="s">
        <v>2097</v>
      </c>
      <c r="B83" s="3220"/>
      <c r="C83" s="3220"/>
      <c r="D83" s="3220"/>
      <c r="E83" s="3220"/>
      <c r="F83" s="3220"/>
      <c r="G83" s="3220"/>
      <c r="H83" s="3220"/>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8" t="s">
        <v>2062</v>
      </c>
      <c r="B84" s="3199"/>
      <c r="C84" s="3055"/>
      <c r="D84" s="3055"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369</v>
      </c>
      <c r="D85" s="175" t="s">
        <v>32</v>
      </c>
      <c r="E85" s="3054"/>
      <c r="F85" s="3047"/>
      <c r="G85" s="3047"/>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2</v>
      </c>
      <c r="D86" s="2809"/>
      <c r="E86" s="3054"/>
      <c r="F86" s="3047"/>
      <c r="G86" s="3047"/>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3048"/>
      <c r="F87" s="3049"/>
      <c r="G87" s="3049"/>
      <c r="H87" s="30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3049"/>
      <c r="G88" s="200" t="s">
        <v>2101</v>
      </c>
      <c r="H88" s="2012"/>
      <c r="I88" s="2009"/>
      <c r="J88" s="2749" t="s">
        <v>3025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3049"/>
      <c r="G89" s="3049"/>
      <c r="H89" s="30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3049"/>
      <c r="G90" s="3262" t="s">
        <v>2871</v>
      </c>
      <c r="H90" s="3263"/>
      <c r="I90" s="2009"/>
      <c r="J90" s="2749" t="s">
        <v>3026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77" t="s">
        <v>2106</v>
      </c>
      <c r="F91" s="3178"/>
      <c r="G91" s="317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77" t="s">
        <v>2109</v>
      </c>
      <c r="F92" s="3178"/>
      <c r="G92" s="3178"/>
      <c r="H92" s="3187"/>
      <c r="I92" s="2009"/>
      <c r="J92" s="2750" t="s">
        <v>3027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v>
      </c>
      <c r="D93" s="2805">
        <f>'数据-取费表'!B43</f>
        <v>6.000000000000001E-3</v>
      </c>
      <c r="E93" s="3177" t="s">
        <v>2093</v>
      </c>
      <c r="F93" s="3178"/>
      <c r="G93" s="3178"/>
      <c r="H93" s="318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88" t="s">
        <v>2113</v>
      </c>
      <c r="F94" s="3189"/>
      <c r="G94" s="3189"/>
      <c r="H94" s="3190"/>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6">
        <f ca="1">ROUND(C85-C86,0)</f>
        <v>367</v>
      </c>
      <c r="D95" s="175" t="s">
        <v>32</v>
      </c>
      <c r="E95" s="3054"/>
      <c r="F95" s="3047"/>
      <c r="G95" s="3047"/>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183.5</v>
      </c>
      <c r="D96" s="175" t="s">
        <v>32</v>
      </c>
      <c r="E96" s="3061" t="str">
        <f ca="1">IF(C96&gt;=200%,"增值额超过扣除项目金额200%",IF(C96&gt;=100%,"增值额超过扣除项目金额100%，未超过200%",IF(C96&gt;=50%,"增值额超过扣除项目金额50%，未超过100%",IF(C96&lt;50%,"增值额未超过扣除项目金额50%"))))</f>
        <v>增值额超过扣除项目金额200%</v>
      </c>
      <c r="F96" s="3047"/>
      <c r="G96" s="3047"/>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220</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61" t="s">
        <v>2115</v>
      </c>
      <c r="B100" s="3162"/>
      <c r="C100" s="3162"/>
      <c r="D100" s="3179"/>
      <c r="E100" s="3162" t="s">
        <v>2116</v>
      </c>
      <c r="F100" s="3162"/>
      <c r="G100" s="3162"/>
      <c r="H100" s="3179"/>
      <c r="I100" s="134"/>
    </row>
    <row r="101" spans="1:35" ht="18.75" customHeight="1">
      <c r="A101" s="3243" t="s">
        <v>2117</v>
      </c>
      <c r="B101" s="3244"/>
      <c r="C101" s="2813" t="str">
        <f>C4</f>
        <v>比较法-车位</v>
      </c>
      <c r="D101" s="2814" t="str">
        <f>D4</f>
        <v>收益法-车库</v>
      </c>
      <c r="E101" s="3257" t="s">
        <v>2118</v>
      </c>
      <c r="F101" s="3211"/>
      <c r="G101" s="2015" t="s">
        <v>2119</v>
      </c>
      <c r="H101" s="2823">
        <f ca="1">H118</f>
        <v>387</v>
      </c>
      <c r="I101" s="134"/>
    </row>
    <row r="102" spans="1:35" ht="18.75" customHeight="1">
      <c r="A102" s="3213" t="s">
        <v>2120</v>
      </c>
      <c r="B102" s="2812" t="s">
        <v>2119</v>
      </c>
      <c r="C102" s="2813">
        <f ca="1">C19</f>
        <v>433</v>
      </c>
      <c r="D102" s="2814">
        <f ca="1">D19</f>
        <v>205</v>
      </c>
      <c r="E102" s="3257"/>
      <c r="F102" s="3211"/>
      <c r="G102" s="2015" t="s">
        <v>2121</v>
      </c>
      <c r="H102" s="2783">
        <f ca="1">I118</f>
        <v>8558</v>
      </c>
      <c r="I102" s="134"/>
    </row>
    <row r="103" spans="1:35" ht="42.75" customHeight="1">
      <c r="A103" s="3213"/>
      <c r="B103" s="2812" t="s">
        <v>2121</v>
      </c>
      <c r="C103" s="2815">
        <f ca="1">C20</f>
        <v>9575</v>
      </c>
      <c r="D103" s="2816">
        <f ca="1">D20</f>
        <v>4529</v>
      </c>
      <c r="E103" s="3251" t="s">
        <v>2122</v>
      </c>
      <c r="F103" s="3252"/>
      <c r="G103" s="2016" t="s">
        <v>2123</v>
      </c>
      <c r="H103" s="2823">
        <f>IF(D36="正常操作",H104+H105+H106,H105+H106)</f>
        <v>0</v>
      </c>
      <c r="I103" s="134"/>
    </row>
    <row r="104" spans="1:35" ht="18.75" customHeight="1">
      <c r="A104" s="3213" t="s">
        <v>2124</v>
      </c>
      <c r="B104" s="2817" t="s">
        <v>2119</v>
      </c>
      <c r="C104" s="2818">
        <f ca="1">H118</f>
        <v>387</v>
      </c>
      <c r="D104" s="2819"/>
      <c r="E104" s="1862" t="s">
        <v>2125</v>
      </c>
      <c r="F104" s="1853"/>
      <c r="G104" s="2016" t="s">
        <v>2123</v>
      </c>
      <c r="H104" s="2824">
        <f>IF(D36="同一抵押权人同一抵押物续贷",C36&amp;"（续贷，未扣减，详见特别提示）",C36)</f>
        <v>0</v>
      </c>
      <c r="I104" s="134"/>
    </row>
    <row r="105" spans="1:35" ht="18.75" customHeight="1" thickBot="1">
      <c r="A105" s="3214"/>
      <c r="B105" s="2820" t="s">
        <v>2121</v>
      </c>
      <c r="C105" s="2821">
        <f ca="1">I118</f>
        <v>8558</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10" t="str">
        <f>IF(项目基本情况!E8="已注销","——","3.房地产抵押价值")</f>
        <v>3.房地产抵押价值</v>
      </c>
      <c r="F107" s="3211"/>
      <c r="G107" s="2015" t="s">
        <v>2119</v>
      </c>
      <c r="H107" s="2823">
        <f ca="1">IF(E107="——","——",H101-H103)</f>
        <v>387</v>
      </c>
      <c r="I107" s="134"/>
    </row>
    <row r="108" spans="1:35" ht="18.75" customHeight="1">
      <c r="A108" s="134"/>
      <c r="B108" s="134"/>
      <c r="C108" s="134"/>
      <c r="D108" s="134"/>
      <c r="E108" s="3210"/>
      <c r="F108" s="3211"/>
      <c r="G108" s="2015" t="s">
        <v>2121</v>
      </c>
      <c r="H108" s="2783">
        <f ca="1">ROUND(H107*10000/'数据-汇总表'!E3,0)</f>
        <v>2244</v>
      </c>
      <c r="I108" s="134"/>
    </row>
    <row r="109" spans="1:35" ht="18.75" customHeight="1">
      <c r="A109" s="134"/>
      <c r="B109" s="134"/>
      <c r="C109" s="134"/>
      <c r="D109" s="134"/>
      <c r="E109" s="3210" t="str">
        <f>IF(项目基本情况!E8="已注销及未注销","4.抵押担保权已注销时的房地产抵押价值",IF(项目基本情况!E8="已注销","3.抵押担保权已注销时的房地产抵押价值","——"))</f>
        <v>——</v>
      </c>
      <c r="F109" s="3211"/>
      <c r="G109" s="2015" t="s">
        <v>2119</v>
      </c>
      <c r="H109" s="2826" t="str">
        <f>IF(E109="——","——",H101-H105-H106)</f>
        <v>——</v>
      </c>
      <c r="I109" s="134"/>
    </row>
    <row r="110" spans="1:35" ht="18.75" customHeight="1">
      <c r="A110" s="134"/>
      <c r="B110" s="134"/>
      <c r="C110" s="134"/>
      <c r="D110" s="134"/>
      <c r="E110" s="3210"/>
      <c r="F110" s="3211"/>
      <c r="G110" s="2015" t="s">
        <v>2121</v>
      </c>
      <c r="H110" s="2783" t="str">
        <f>IF(H109="——","——",ROUND(H109*10000/'数据-汇总表'!E3,0))</f>
        <v>——</v>
      </c>
      <c r="I110" s="134"/>
    </row>
    <row r="111" spans="1:35" ht="18.75" customHeight="1">
      <c r="A111" s="134"/>
      <c r="B111" s="134"/>
      <c r="C111" s="134"/>
      <c r="D111" s="134"/>
      <c r="E111" s="3245" t="str">
        <f>IF(项目基本情况!E9="抵押净值",IF(OR(项目基本情况!E8="已注销",项目基本情况!E8="房地产抵押价值"),"4.抵押净值","5.抵押净值"),"——")</f>
        <v>4.抵押净值</v>
      </c>
      <c r="F111" s="3212"/>
      <c r="G111" s="2015" t="s">
        <v>2119</v>
      </c>
      <c r="H111" s="2823">
        <f ca="1">IF(E111="——","——",N59)</f>
        <v>332</v>
      </c>
      <c r="I111" s="134"/>
    </row>
    <row r="112" spans="1:35" ht="18.75" customHeight="1" thickBot="1">
      <c r="A112" s="134"/>
      <c r="B112" s="134"/>
      <c r="C112" s="134"/>
      <c r="D112" s="134"/>
      <c r="E112" s="3246"/>
      <c r="F112" s="3247"/>
      <c r="G112" s="2018" t="s">
        <v>2121</v>
      </c>
      <c r="H112" s="2827">
        <f ca="1">IF(E111="——","——",N61)</f>
        <v>1925</v>
      </c>
      <c r="I112" s="134"/>
    </row>
    <row r="113" spans="1:27" ht="18.75" customHeight="1">
      <c r="A113" s="134"/>
      <c r="B113" s="134"/>
      <c r="C113" s="134"/>
      <c r="D113" s="134"/>
      <c r="E113" s="3215" t="s">
        <v>2127</v>
      </c>
      <c r="F113" s="3215"/>
      <c r="G113" s="3215"/>
      <c r="H113" s="3215"/>
      <c r="I113" s="134"/>
    </row>
    <row r="114" spans="1:27" ht="3.75" customHeight="1">
      <c r="A114" s="1935"/>
      <c r="B114" s="1935"/>
      <c r="C114" s="1935"/>
      <c r="D114" s="1935"/>
      <c r="E114" s="1997"/>
      <c r="F114" s="1997"/>
      <c r="G114" s="1997"/>
      <c r="H114" s="1997"/>
      <c r="I114" s="1935"/>
    </row>
    <row r="115" spans="1:27" ht="18.75" customHeight="1">
      <c r="A115" s="3228" t="s">
        <v>2129</v>
      </c>
      <c r="B115" s="3229"/>
      <c r="C115" s="3229"/>
      <c r="D115" s="3229"/>
      <c r="E115" s="3229"/>
      <c r="F115" s="3229"/>
      <c r="G115" s="3229"/>
      <c r="H115" s="3229"/>
      <c r="I115" s="3230"/>
    </row>
    <row r="116" spans="1:27" ht="27" customHeight="1">
      <c r="A116" s="3181" t="s">
        <v>2130</v>
      </c>
      <c r="B116" s="3216" t="s">
        <v>2131</v>
      </c>
      <c r="C116" s="3216" t="s">
        <v>2132</v>
      </c>
      <c r="D116" s="3232" t="s">
        <v>2133</v>
      </c>
      <c r="E116" s="3233"/>
      <c r="F116" s="3224" t="s">
        <v>2134</v>
      </c>
      <c r="G116" s="3224"/>
      <c r="H116" s="3181" t="s">
        <v>2135</v>
      </c>
      <c r="I116" s="3181"/>
    </row>
    <row r="117" spans="1:27" ht="18.75" customHeight="1">
      <c r="A117" s="3181"/>
      <c r="B117" s="3217"/>
      <c r="C117" s="3217"/>
      <c r="D117" s="3050" t="s">
        <v>2136</v>
      </c>
      <c r="E117" s="3050" t="s">
        <v>2137</v>
      </c>
      <c r="F117" s="3050" t="s">
        <v>2136</v>
      </c>
      <c r="G117" s="3050" t="s">
        <v>2138</v>
      </c>
      <c r="H117" s="3050" t="s">
        <v>2136</v>
      </c>
      <c r="I117" s="3050" t="s">
        <v>2138</v>
      </c>
    </row>
    <row r="118" spans="1:27" ht="24.75" customHeight="1">
      <c r="A118" s="2828" t="str">
        <f>项目基本情况!S2</f>
        <v>北京市房地产</v>
      </c>
      <c r="B118" s="3050">
        <f>M18</f>
        <v>452.2</v>
      </c>
      <c r="C118" s="3050">
        <f>M19</f>
        <v>0</v>
      </c>
      <c r="D118" s="3050">
        <f ca="1">ROUND(IF(D32="总价",C34,E118*B118/10000),0)</f>
        <v>-156</v>
      </c>
      <c r="E118" s="3050">
        <f ca="1">ROUND(IF(C33="自定义",IF(D32="楼面单价",C34,D118*10000/B118),I118-G118),0)</f>
        <v>-3450</v>
      </c>
      <c r="F118" s="3050">
        <f ca="1">ROUND(IF(D32="总价",C35,G118*B118/10000),0)</f>
        <v>543</v>
      </c>
      <c r="G118" s="3050">
        <f ca="1">ROUND(IF(D32="楼面单价",C35,F118*10000/B118),0)</f>
        <v>12008</v>
      </c>
      <c r="H118" s="3050">
        <f ca="1">ROUND(IF(D32="总价",C32,I118*B118/10000),0)</f>
        <v>387</v>
      </c>
      <c r="I118" s="3050">
        <f ca="1">ROUND(IF(D32="楼面单价",C32,H118*10000/B118),0)</f>
        <v>8558</v>
      </c>
    </row>
    <row r="119" spans="1:27" ht="18.75" customHeight="1">
      <c r="A119" s="3181" t="s">
        <v>2139</v>
      </c>
      <c r="B119" s="3181"/>
      <c r="C119" s="3181"/>
      <c r="D119" s="3221" t="e">
        <f ca="1">NUMBERSTRING(INT(D118*10000),2)&amp;"元整"</f>
        <v>#NUM!</v>
      </c>
      <c r="E119" s="3223"/>
      <c r="F119" s="3221" t="str">
        <f ca="1">NUMBERSTRING(INT(F118*10000),2)&amp;"元整"</f>
        <v>伍佰肆拾叁万元整</v>
      </c>
      <c r="G119" s="3223"/>
      <c r="H119" s="3221" t="str">
        <f ca="1">NUMBERSTRING(INT(H118*10000),2)&amp;"元整"</f>
        <v>叁佰捌拾柒万元整</v>
      </c>
      <c r="I119" s="3223"/>
    </row>
    <row r="120" spans="1:27" ht="18.75" customHeight="1">
      <c r="A120" s="3248" t="str">
        <f>IF(项目基本情况!B9="房地产市场价值","",MID(E103,3,LEN(E103)-2))</f>
        <v>估价师知悉的法定优先受偿款</v>
      </c>
      <c r="B120" s="3249"/>
      <c r="C120" s="3250"/>
      <c r="D120" s="3248">
        <f>H103</f>
        <v>0</v>
      </c>
      <c r="E120" s="3249"/>
      <c r="F120" s="3249"/>
      <c r="G120" s="3249"/>
      <c r="H120" s="3249"/>
      <c r="I120" s="3250"/>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5" t="s">
        <v>2139</v>
      </c>
      <c r="B121" s="3226"/>
      <c r="C121" s="3227"/>
      <c r="D121" s="3221" t="str">
        <f>IF(D120=0,"零元整",NUMBERSTRING(INT(D120*10000),2)&amp;"元整")</f>
        <v>零元整</v>
      </c>
      <c r="E121" s="3222"/>
      <c r="F121" s="3222"/>
      <c r="G121" s="3222"/>
      <c r="H121" s="3222"/>
      <c r="I121" s="3223"/>
      <c r="AA121" s="734"/>
    </row>
    <row r="122" spans="1:27" ht="18.75" customHeight="1">
      <c r="A122" s="3212" t="str">
        <f>IF(项目基本情况!B9="房地产市场价值","",MID(E107,3,LEN(E107)-2))</f>
        <v>房地产抵押价值</v>
      </c>
      <c r="B122" s="3212"/>
      <c r="C122" s="3212"/>
      <c r="D122" s="3248">
        <f ca="1">H107</f>
        <v>387</v>
      </c>
      <c r="E122" s="3249"/>
      <c r="F122" s="3249"/>
      <c r="G122" s="3249"/>
      <c r="H122" s="3249"/>
      <c r="I122" s="3250"/>
      <c r="AA122" s="734"/>
    </row>
    <row r="123" spans="1:27" ht="18.75" customHeight="1">
      <c r="A123" s="3181" t="s">
        <v>2139</v>
      </c>
      <c r="B123" s="3181"/>
      <c r="C123" s="3181"/>
      <c r="D123" s="3221" t="str">
        <f ca="1">NUMBERSTRING(INT(D122*10000),2)&amp;"元整"</f>
        <v>叁佰捌拾柒万元整</v>
      </c>
      <c r="E123" s="3222"/>
      <c r="F123" s="3222"/>
      <c r="G123" s="3222"/>
      <c r="H123" s="3222"/>
      <c r="I123" s="3223"/>
      <c r="AA123" s="734"/>
    </row>
    <row r="124" spans="1:27" ht="18.75" customHeight="1">
      <c r="A124" s="3212" t="str">
        <f>IF(项目基本情况!B9="房地产市场价值","",MID(E109,3,LEN(E109)-2))</f>
        <v/>
      </c>
      <c r="B124" s="3212"/>
      <c r="C124" s="3212"/>
      <c r="D124" s="3248" t="str">
        <f>H109</f>
        <v>——</v>
      </c>
      <c r="E124" s="3249"/>
      <c r="F124" s="3249"/>
      <c r="G124" s="3249"/>
      <c r="H124" s="3249"/>
      <c r="I124" s="3250"/>
      <c r="AA124" s="734"/>
    </row>
    <row r="125" spans="1:27" ht="18.75" customHeight="1">
      <c r="A125" s="3181" t="s">
        <v>2139</v>
      </c>
      <c r="B125" s="3181"/>
      <c r="C125" s="3181"/>
      <c r="D125" s="3221" t="e">
        <f>NUMBERSTRING(INT(D124*10000),2)&amp;"元整"</f>
        <v>#VALUE!</v>
      </c>
      <c r="E125" s="3222"/>
      <c r="F125" s="3222"/>
      <c r="G125" s="3222"/>
      <c r="H125" s="3222"/>
      <c r="I125" s="3223"/>
      <c r="AA125" s="734"/>
    </row>
    <row r="126" spans="1:27" ht="18.75" customHeight="1">
      <c r="A126" s="3212" t="str">
        <f>IF(项目基本情况!B9="房地产市场价值","",MID(E111,3,LEN(E111)-2))</f>
        <v>抵押净值</v>
      </c>
      <c r="B126" s="3212"/>
      <c r="C126" s="3212"/>
      <c r="D126" s="3248">
        <f ca="1">H111</f>
        <v>332</v>
      </c>
      <c r="E126" s="3249"/>
      <c r="F126" s="3249"/>
      <c r="G126" s="3249"/>
      <c r="H126" s="3249"/>
      <c r="I126" s="3250"/>
      <c r="AA126" s="734"/>
    </row>
    <row r="127" spans="1:27" ht="18.75" customHeight="1">
      <c r="A127" s="3181" t="s">
        <v>2139</v>
      </c>
      <c r="B127" s="3181"/>
      <c r="C127" s="3181"/>
      <c r="D127" s="3221" t="str">
        <f ca="1">NUMBERSTRING(INT(D126*10000),2)&amp;"元整"</f>
        <v>叁佰叁拾贰万元整</v>
      </c>
      <c r="E127" s="3222"/>
      <c r="F127" s="3222"/>
      <c r="G127" s="3222"/>
      <c r="H127" s="3222"/>
      <c r="I127" s="3223"/>
      <c r="AA127" s="734"/>
    </row>
    <row r="128" spans="1:27" ht="21.75" customHeight="1">
      <c r="A128" s="3231" t="s">
        <v>2140</v>
      </c>
      <c r="B128" s="3231"/>
      <c r="C128" s="3231"/>
      <c r="D128" s="3231"/>
      <c r="E128" s="3231"/>
      <c r="F128" s="3231"/>
      <c r="G128" s="3231"/>
      <c r="H128" s="3231"/>
      <c r="I128" s="3231"/>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F9" sqref="F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t="s">
        <v>3061</v>
      </c>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411</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9089</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2026170.8</v>
      </c>
      <c r="D5" s="217" t="s">
        <v>2156</v>
      </c>
      <c r="E5" s="218" t="s">
        <v>2157</v>
      </c>
      <c r="F5" s="218" t="s">
        <v>2158</v>
      </c>
      <c r="G5" s="219"/>
    </row>
    <row r="6" spans="1:8" s="220" customFormat="1" ht="13.5" customHeight="1">
      <c r="A6" s="886" t="s">
        <v>2159</v>
      </c>
      <c r="B6" s="221" t="s">
        <v>2160</v>
      </c>
      <c r="C6" s="3070">
        <f ca="1">基准地价修正!C39*基准地价修正!D39</f>
        <v>1878438.8</v>
      </c>
      <c r="D6" s="223"/>
      <c r="E6" s="224"/>
      <c r="F6" s="224"/>
      <c r="G6" s="225"/>
    </row>
    <row r="7" spans="1:8" s="220" customFormat="1" ht="13.5" customHeight="1">
      <c r="A7" s="886" t="s">
        <v>2161</v>
      </c>
      <c r="B7" s="221" t="s">
        <v>2162</v>
      </c>
      <c r="C7" s="226">
        <f ca="1">ROUND(C6*F7,0)</f>
        <v>57292</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90440</v>
      </c>
      <c r="D8" s="228"/>
      <c r="E8" s="226"/>
      <c r="F8" s="227"/>
      <c r="G8" s="2044" t="s">
        <v>3110</v>
      </c>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90440</v>
      </c>
      <c r="D10" s="954">
        <f ca="1">IF(B1="",'数据-汇总表'!E6,IF(INDIRECT("'数据-取费表'!c"&amp;$G$1)="住宅",INDIRECT("'数据-取费表'!s"&amp;$G$1),INDIRECT("'数据-取费表'!k"&amp;$G$1)+INDIRECT("'数据-取费表'!s"&amp;$G$1)))</f>
        <v>452.2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t="str">
        <f>IF(G19="已包含在土地取得成本中","0",ROUND(D19*E19,0))</f>
        <v>0</v>
      </c>
      <c r="D19" s="958">
        <f ca="1">D9+D10</f>
        <v>452.2</v>
      </c>
      <c r="E19" s="217">
        <f>'数据-取费表'!B31</f>
        <v>200</v>
      </c>
      <c r="F19" s="237"/>
      <c r="G19" s="2044" t="s">
        <v>3111</v>
      </c>
    </row>
    <row r="20" spans="1:7" s="220" customFormat="1" ht="13.5" customHeight="1">
      <c r="A20" s="261" t="s">
        <v>2261</v>
      </c>
      <c r="B20" s="216" t="s">
        <v>2262</v>
      </c>
      <c r="C20" s="238">
        <f ca="1">ROUND((C5+C19)*F20,0)</f>
        <v>40523</v>
      </c>
      <c r="D20" s="238"/>
      <c r="E20" s="238"/>
      <c r="F20" s="239">
        <f>'数据-取费表'!B37</f>
        <v>0.02</v>
      </c>
      <c r="G20" s="240" t="s">
        <v>2263</v>
      </c>
    </row>
    <row r="21" spans="1:7" s="220" customFormat="1" ht="13.5" customHeight="1">
      <c r="A21" s="261" t="s">
        <v>2264</v>
      </c>
      <c r="B21" s="216" t="s">
        <v>2265</v>
      </c>
      <c r="C21" s="241">
        <f>F21</f>
        <v>2.5000000000000001E-2</v>
      </c>
      <c r="D21" s="242" t="s">
        <v>2266</v>
      </c>
      <c r="E21" s="238"/>
      <c r="F21" s="239">
        <f>'数据-取费表'!B38</f>
        <v>2.5000000000000001E-2</v>
      </c>
      <c r="G21" s="240" t="s">
        <v>2267</v>
      </c>
    </row>
    <row r="22" spans="1:7" s="220" customFormat="1" ht="13.5" customHeight="1">
      <c r="A22" s="261" t="s">
        <v>2268</v>
      </c>
      <c r="B22" s="216" t="s">
        <v>2269</v>
      </c>
      <c r="C22" s="1289">
        <f ca="1">ROUND(SUM(C23:C25),0)</f>
        <v>198983</v>
      </c>
      <c r="D22" s="241">
        <f ca="1">C26</f>
        <v>1.1999999999999999E-3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197058</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0</v>
      </c>
      <c r="D24" s="244"/>
      <c r="E24" s="244"/>
      <c r="F24" s="245"/>
      <c r="G24" s="246" t="s">
        <v>2273</v>
      </c>
    </row>
    <row r="25" spans="1:7" s="220" customFormat="1" ht="24">
      <c r="A25" s="888" t="s">
        <v>2163</v>
      </c>
      <c r="B25" s="221" t="s">
        <v>2274</v>
      </c>
      <c r="C25" s="1290">
        <f ca="1">ROUND(IF('数据-取费表'!B22&lt;=1,C20*F22*'数据-取费表'!B22/2,C20*(POWER((1+F22),'数据-取费表'!B22/2)-1)),0)</f>
        <v>1925</v>
      </c>
      <c r="D25" s="244"/>
      <c r="E25" s="247"/>
      <c r="F25" s="245"/>
      <c r="G25" s="248" t="s">
        <v>2275</v>
      </c>
    </row>
    <row r="26" spans="1:7" s="220" customFormat="1">
      <c r="A26" s="888" t="s">
        <v>795</v>
      </c>
      <c r="B26" s="221" t="s">
        <v>2198</v>
      </c>
      <c r="C26" s="244">
        <f ca="1">ROUND(IF('数据-取费表'!B22&lt;=1,F21*F22*'数据-取费表'!B22/2,F21*(POWER((1+F22),'数据-取费表'!B22/2)-1)),4)</f>
        <v>1.1999999999999999E-3</v>
      </c>
      <c r="D26" s="244"/>
      <c r="E26" s="247"/>
      <c r="F26" s="245"/>
      <c r="G26" s="249"/>
    </row>
    <row r="27" spans="1:7" s="220" customFormat="1" ht="24.75">
      <c r="A27" s="261" t="s">
        <v>2199</v>
      </c>
      <c r="B27" s="250" t="s">
        <v>2200</v>
      </c>
      <c r="C27" s="251">
        <f ca="1">C28</f>
        <v>103335</v>
      </c>
      <c r="D27" s="241">
        <f ca="1">C29</f>
        <v>1.2999999999999999E-3</v>
      </c>
      <c r="E27" s="242" t="s">
        <v>2201</v>
      </c>
      <c r="F27" s="252">
        <f ca="1">IF(B1="",'数据-取费表'!Q16,INDIRECT("'数据-取费表'!q"&amp;$G$1))</f>
        <v>0.05</v>
      </c>
      <c r="G27" s="253" t="s">
        <v>2202</v>
      </c>
    </row>
    <row r="28" spans="1:7" s="220" customFormat="1" ht="13.5" customHeight="1">
      <c r="A28" s="888" t="s">
        <v>791</v>
      </c>
      <c r="B28" s="254" t="s">
        <v>2203</v>
      </c>
      <c r="C28" s="255">
        <f ca="1">ROUND((C5+C19+C20)*F27,0)</f>
        <v>103335</v>
      </c>
      <c r="D28" s="241"/>
      <c r="E28" s="242"/>
      <c r="F28" s="252"/>
      <c r="G28" s="253"/>
    </row>
    <row r="29" spans="1:7" s="220" customFormat="1" ht="13.5" customHeight="1">
      <c r="A29" s="888" t="s">
        <v>792</v>
      </c>
      <c r="B29" s="254" t="s">
        <v>2204</v>
      </c>
      <c r="C29" s="244">
        <f ca="1">ROUND(C21*F27,4)</f>
        <v>1.2999999999999999E-3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2577254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1744362</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1582700</v>
      </c>
      <c r="D34" s="223"/>
      <c r="E34" s="226"/>
      <c r="F34" s="263"/>
      <c r="G34" s="225"/>
    </row>
    <row r="35" spans="1:7" ht="13.5" customHeight="1">
      <c r="A35" s="888" t="s">
        <v>796</v>
      </c>
      <c r="B35" s="221" t="s">
        <v>2214</v>
      </c>
      <c r="C35" s="226">
        <f ca="1">ROUND(C34*F35,0)</f>
        <v>47481</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90440</v>
      </c>
      <c r="D37" s="223">
        <f ca="1">D19</f>
        <v>452.2</v>
      </c>
      <c r="E37" s="255">
        <f>'数据-取费表'!B35</f>
        <v>200</v>
      </c>
      <c r="F37" s="265"/>
      <c r="G37" s="267"/>
    </row>
    <row r="38" spans="1:7" ht="13.5" customHeight="1">
      <c r="A38" s="888" t="s">
        <v>799</v>
      </c>
      <c r="B38" s="221" t="s">
        <v>2220</v>
      </c>
      <c r="C38" s="226">
        <f ca="1">ROUND(C34*F38,0)</f>
        <v>23741</v>
      </c>
      <c r="D38" s="226"/>
      <c r="E38" s="226"/>
      <c r="F38" s="265">
        <f>'数据-取费表'!B36</f>
        <v>1.4999999999999999E-2</v>
      </c>
      <c r="G38" s="225" t="s">
        <v>2215</v>
      </c>
    </row>
    <row r="39" spans="1:7" s="220" customFormat="1" ht="13.5" customHeight="1">
      <c r="A39" s="261" t="s">
        <v>2221</v>
      </c>
      <c r="B39" s="216" t="s">
        <v>2222</v>
      </c>
      <c r="C39" s="238">
        <f ca="1">ROUND(C33*F20,0)</f>
        <v>34887</v>
      </c>
      <c r="D39" s="238"/>
      <c r="E39" s="238"/>
      <c r="F39" s="2537">
        <f>F20</f>
        <v>0.02</v>
      </c>
      <c r="G39" s="240" t="s">
        <v>2223</v>
      </c>
    </row>
    <row r="40" spans="1:7" s="220" customFormat="1" ht="13.5" customHeight="1">
      <c r="A40" s="261" t="s">
        <v>2224</v>
      </c>
      <c r="B40" s="216" t="s">
        <v>2225</v>
      </c>
      <c r="C40" s="1497">
        <f>F21</f>
        <v>2.5000000000000001E-2</v>
      </c>
      <c r="D40" s="242" t="s">
        <v>2226</v>
      </c>
      <c r="E40" s="238"/>
      <c r="F40" s="2537">
        <f>F21</f>
        <v>2.5000000000000001E-2</v>
      </c>
      <c r="G40" s="240" t="s">
        <v>2227</v>
      </c>
    </row>
    <row r="41" spans="1:7" s="220" customFormat="1" ht="13.5" customHeight="1">
      <c r="A41" s="261" t="s">
        <v>2228</v>
      </c>
      <c r="B41" s="216" t="s">
        <v>2229</v>
      </c>
      <c r="C41" s="238">
        <f ca="1">ROUND(SUM(C42:C43),0)</f>
        <v>84514</v>
      </c>
      <c r="D41" s="241">
        <f ca="1">C44</f>
        <v>1.1999999999999999E-3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82857</v>
      </c>
      <c r="D42" s="244"/>
      <c r="E42" s="244"/>
      <c r="F42" s="245"/>
      <c r="G42" s="3264" t="s">
        <v>2278</v>
      </c>
    </row>
    <row r="43" spans="1:7" ht="13.5" customHeight="1">
      <c r="A43" s="888" t="s">
        <v>792</v>
      </c>
      <c r="B43" s="221" t="s">
        <v>2232</v>
      </c>
      <c r="C43" s="244">
        <f ca="1">ROUND(IF('数据-取费表'!B22&lt;=1,C39*F22*'数据-取费表'!B20/2,C39*(POWER((1+F22),'数据-取费表'!B20/2)-1)),0)</f>
        <v>1657</v>
      </c>
      <c r="D43" s="244"/>
      <c r="E43" s="244"/>
      <c r="F43" s="245"/>
      <c r="G43" s="3265"/>
    </row>
    <row r="44" spans="1:7" ht="13.5" customHeight="1">
      <c r="A44" s="888" t="s">
        <v>793</v>
      </c>
      <c r="B44" s="221" t="s">
        <v>2233</v>
      </c>
      <c r="C44" s="244">
        <f ca="1">ROUND(IF('数据-取费表'!B22&lt;=1,C40*F22*'数据-取费表'!B20/2,C40*(POWER((1+F22),'数据-取费表'!B20/2)-1)),4)</f>
        <v>1.1999999999999999E-3</v>
      </c>
      <c r="D44" s="244"/>
      <c r="E44" s="244"/>
      <c r="F44" s="245"/>
      <c r="G44" s="3266"/>
    </row>
    <row r="45" spans="1:7" s="220" customFormat="1" ht="13.5" customHeight="1">
      <c r="A45" s="261" t="s">
        <v>2234</v>
      </c>
      <c r="B45" s="250" t="s">
        <v>2200</v>
      </c>
      <c r="C45" s="251">
        <f ca="1">C46</f>
        <v>88962</v>
      </c>
      <c r="D45" s="241">
        <f ca="1">C47</f>
        <v>1.2999999999999999E-3</v>
      </c>
      <c r="E45" s="242" t="s">
        <v>2226</v>
      </c>
      <c r="F45" s="2539">
        <f ca="1">F27</f>
        <v>0.05</v>
      </c>
      <c r="G45" s="253" t="s">
        <v>2235</v>
      </c>
    </row>
    <row r="46" spans="1:7" s="220" customFormat="1" ht="13.5" customHeight="1">
      <c r="A46" s="888" t="s">
        <v>791</v>
      </c>
      <c r="B46" s="254" t="s">
        <v>2236</v>
      </c>
      <c r="C46" s="255">
        <f ca="1">ROUND((C33+C39)*F27,0)</f>
        <v>88962</v>
      </c>
      <c r="D46" s="269"/>
      <c r="E46" s="242"/>
      <c r="F46" s="252"/>
      <c r="G46" s="253"/>
    </row>
    <row r="47" spans="1:7" s="220" customFormat="1" ht="13.5" customHeight="1">
      <c r="A47" s="888" t="s">
        <v>792</v>
      </c>
      <c r="B47" s="254" t="s">
        <v>2237</v>
      </c>
      <c r="C47" s="244">
        <f ca="1">ROUND(C40*F27,4)</f>
        <v>1.2999999999999999E-3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2124374</v>
      </c>
      <c r="D49" s="238"/>
      <c r="E49" s="238"/>
      <c r="F49" s="270"/>
      <c r="G49" s="240" t="s">
        <v>2241</v>
      </c>
    </row>
    <row r="50" spans="1:7" s="264" customFormat="1">
      <c r="A50" s="261" t="s">
        <v>2242</v>
      </c>
      <c r="B50" s="216" t="s">
        <v>2243</v>
      </c>
      <c r="C50" s="238"/>
      <c r="D50" s="238"/>
      <c r="E50" s="238"/>
      <c r="F50" s="270">
        <f>IF('数据-取费表'!B24=0,'数据-取费表'!N16,1)</f>
        <v>0.72</v>
      </c>
      <c r="G50" s="253"/>
    </row>
    <row r="51" spans="1:7" ht="16.5" customHeight="1">
      <c r="A51" s="261" t="s">
        <v>2245</v>
      </c>
      <c r="B51" s="216" t="s">
        <v>2280</v>
      </c>
      <c r="C51" s="238">
        <f ca="1">ROUND(C49*F50,0)</f>
        <v>1529549</v>
      </c>
      <c r="D51" s="238"/>
      <c r="E51" s="238"/>
      <c r="F51" s="270"/>
      <c r="G51" s="240" t="s">
        <v>2247</v>
      </c>
    </row>
    <row r="52" spans="1:7" s="214" customFormat="1" ht="16.5" thickBot="1">
      <c r="A52" s="271" t="s">
        <v>2248</v>
      </c>
      <c r="B52" s="272"/>
      <c r="C52" s="273">
        <f ca="1">C31+C51</f>
        <v>4106803</v>
      </c>
      <c r="D52" s="272"/>
      <c r="E52" s="272"/>
      <c r="F52" s="272"/>
      <c r="G52" s="274"/>
    </row>
    <row r="55" spans="1:7" ht="15">
      <c r="B55" s="276" t="s">
        <v>2249</v>
      </c>
      <c r="C55" s="277"/>
    </row>
    <row r="56" spans="1:7">
      <c r="B56" s="279" t="s">
        <v>1478</v>
      </c>
      <c r="C56" s="281">
        <f ca="1">1-C57</f>
        <v>0.628</v>
      </c>
    </row>
    <row r="57" spans="1:7">
      <c r="B57" s="279" t="s">
        <v>1479</v>
      </c>
      <c r="C57" s="280">
        <f ca="1">ROUND(C51/C52,3)</f>
        <v>0.372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 zoomScaleNormal="80" zoomScaleSheetLayoutView="100" workbookViewId="0">
      <selection activeCell="C17" sqref="C17"/>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452.2</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188</v>
      </c>
      <c r="C2" s="2187" t="s">
        <v>2635</v>
      </c>
      <c r="D2" s="2188" t="s">
        <v>2636</v>
      </c>
      <c r="E2" s="2189" t="s">
        <v>27</v>
      </c>
      <c r="F2" s="2188" t="s">
        <v>2637</v>
      </c>
      <c r="G2" s="2190" t="str">
        <f>IF(E2="商业",项目基本情况!B37,IF(E2="办公",项目基本情况!C37,IF(E2="住宅",项目基本情况!D37,项目基本情况!E37)))</f>
        <v>四级</v>
      </c>
      <c r="H2" s="2188" t="s">
        <v>2638</v>
      </c>
      <c r="I2" s="2190" t="str">
        <f>IF(E2="商业",项目基本情况!B38,IF(E2="办公",项目基本情况!C38,IF(E2="住宅",项目基本情况!D38,项目基本情况!E38)))</f>
        <v>Ⅳ-04</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38695</v>
      </c>
      <c r="U2" s="1375"/>
      <c r="V2" s="1374">
        <f ca="1">ROUND(T2*U2/10000,0)</f>
        <v>0</v>
      </c>
      <c r="W2" s="1378"/>
      <c r="X2" s="1378"/>
      <c r="Y2" s="1378"/>
      <c r="Z2" s="1378"/>
      <c r="AA2" s="1378"/>
      <c r="AB2" s="1378"/>
      <c r="AC2" s="1379"/>
      <c r="AD2" s="1380"/>
      <c r="AE2" s="1380"/>
      <c r="AF2" s="1380"/>
      <c r="AG2" s="1380"/>
      <c r="AH2" s="1380"/>
      <c r="AI2" s="1380"/>
      <c r="AJ2" s="1381"/>
    </row>
    <row r="3" spans="1:36" ht="25.5">
      <c r="A3" s="209" t="s">
        <v>2640</v>
      </c>
      <c r="B3" s="210">
        <f ca="1">ROUND(B2*10000/D1,0)</f>
        <v>4157</v>
      </c>
      <c r="C3" s="2187" t="s">
        <v>2641</v>
      </c>
      <c r="D3" s="2188" t="s">
        <v>2642</v>
      </c>
      <c r="E3" s="2193" t="s">
        <v>3105</v>
      </c>
      <c r="F3" s="2194" t="s">
        <v>3107</v>
      </c>
      <c r="G3" s="855">
        <f>IF(F3="宗地容积率",'数据-汇总表'!I4,IF(F3="估价对象容积率",'数据-汇总表'!I6,'数据-汇总表'!I7))</f>
        <v>2.5</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27776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27"/>
      <c r="B4" s="3328"/>
      <c r="C4" s="3328"/>
      <c r="D4" s="3329"/>
      <c r="E4" s="3329"/>
      <c r="F4" s="3329"/>
      <c r="G4" s="3329"/>
      <c r="H4" s="3329"/>
      <c r="I4" s="3329"/>
      <c r="J4" s="3330"/>
      <c r="K4" s="1280"/>
      <c r="L4" s="2192" t="s">
        <v>2646</v>
      </c>
      <c r="M4" s="995">
        <f>SUMPRODUCT((区片价!B49:B75=I2)*(区片价!C3:F3=E2)*(区片价!C49:F75))</f>
        <v>17750</v>
      </c>
      <c r="N4" s="997">
        <f>SUMPRODUCT((因素修正幅度!B49:B75=I2)*(因素修正幅度!C3:F3=E2)*(因素修正幅度!C49:F75))</f>
        <v>9.7000000000000003E-2</v>
      </c>
      <c r="O4" s="1280"/>
      <c r="P4" s="1280"/>
      <c r="Q4" s="1280"/>
      <c r="R4" s="1374">
        <v>3</v>
      </c>
      <c r="S4" s="1374">
        <f>ROUND(IF(G3&gt;1,IF(R4&lt;7,SUMPRODUCT((B93:B98=R4)*(C92:N92=G2)*(C93:N98)),SUMIF(C92:N92,G2,C100:N100)),IF(R4&lt;7,SUMPRODUCT((B102:B107=R4)*(C92:N92=G2)*(C102:N107)),SUMIF(C92:N92,G2,C109:N109))),4)</f>
        <v>1.0788</v>
      </c>
      <c r="T4" s="1374">
        <f t="shared" ca="1" si="0"/>
        <v>22408</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17750</v>
      </c>
      <c r="D5" s="1525">
        <f>ROUND(C6+C16,0)</f>
        <v>17750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17980</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17750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15311</v>
      </c>
      <c r="U6" s="1375"/>
      <c r="V6" s="1374">
        <f t="shared" ca="1" si="1"/>
        <v>0</v>
      </c>
      <c r="W6" s="1378"/>
      <c r="X6" s="1378"/>
      <c r="Y6" s="1378"/>
      <c r="Z6" s="1378"/>
      <c r="AA6" s="1378"/>
      <c r="AB6" s="1378"/>
      <c r="AC6" s="2201"/>
      <c r="AD6" s="2202"/>
      <c r="AE6" s="2202"/>
      <c r="AF6" s="2202"/>
      <c r="AG6" s="2202"/>
      <c r="AH6" s="2202"/>
      <c r="AI6" s="2202"/>
      <c r="AJ6" s="2203"/>
    </row>
    <row r="7" spans="1:36" ht="24">
      <c r="A7" s="3331"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13464</v>
      </c>
      <c r="U7" s="1375"/>
      <c r="V7" s="1374">
        <f t="shared" ca="1" si="1"/>
        <v>0</v>
      </c>
      <c r="W7" s="1544" t="s">
        <v>2656</v>
      </c>
      <c r="X7" s="1376" t="str">
        <f>G2</f>
        <v>四级</v>
      </c>
      <c r="Y7" s="1376" t="s">
        <v>2657</v>
      </c>
      <c r="Z7" s="1377">
        <f>G3</f>
        <v>2.5</v>
      </c>
      <c r="AA7" s="1378"/>
      <c r="AB7" s="1378"/>
      <c r="AC7" s="1379"/>
      <c r="AD7" s="1380"/>
      <c r="AE7" s="1380"/>
      <c r="AF7" s="1380"/>
      <c r="AG7" s="1380"/>
      <c r="AH7" s="1380"/>
      <c r="AI7" s="1380"/>
      <c r="AJ7" s="1381"/>
    </row>
    <row r="8" spans="1:36" ht="25.5">
      <c r="A8" s="3332"/>
      <c r="B8" s="175" t="s">
        <v>2658</v>
      </c>
      <c r="C8" s="2216" t="s">
        <v>3106</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24" t="s">
        <v>2661</v>
      </c>
      <c r="X8" s="3325"/>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32"/>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26"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32"/>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2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32"/>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26" t="s">
        <v>2685</v>
      </c>
      <c r="X11" s="1386" t="s">
        <v>2686</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331"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26"/>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33"/>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326"/>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333"/>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34"/>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31" t="s">
        <v>2704</v>
      </c>
      <c r="B16" s="2211" t="s">
        <v>2705</v>
      </c>
      <c r="C16" s="2373">
        <f>ROUND(IF(F17="与级别开发程度一致",0,(G17-E17)/C17),0)</f>
        <v>0</v>
      </c>
      <c r="D16" s="3347" t="s">
        <v>2709</v>
      </c>
      <c r="E16" s="3348"/>
      <c r="F16" s="3347" t="s">
        <v>2706</v>
      </c>
      <c r="G16" s="3348"/>
      <c r="H16" s="2243"/>
      <c r="I16" s="2243"/>
      <c r="J16" s="2377"/>
      <c r="K16" s="2243"/>
      <c r="L16" s="2243"/>
      <c r="M16" s="2243"/>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35"/>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3108</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2712</v>
      </c>
      <c r="C19" s="863">
        <f>ROUND(IF(H19="按公示增长率计算",SUMPRODUCT((地价!A3:A33=YEAR(G19)&amp;"-"&amp;ROUNDUP(MONTH(G19)/3,0))*(地价!X2:AB2=E2)*(地价!X3:AB33)),IF(H19="地价指数",M20/M19,(1+I19)^O19)),4)</f>
        <v>1.3420000000000001</v>
      </c>
      <c r="D19" s="2253" t="s">
        <v>2713</v>
      </c>
      <c r="E19" s="864">
        <v>41640</v>
      </c>
      <c r="F19" s="2253" t="s">
        <v>2714</v>
      </c>
      <c r="G19" s="865">
        <f>'数据-取费表'!B2</f>
        <v>44230</v>
      </c>
      <c r="H19" s="2254" t="s">
        <v>3109</v>
      </c>
      <c r="I19" s="866" t="str">
        <f>IF(H19="季度增幅（自定义）",SUMIF(N21:N24,E2,O21:O24),"")</f>
        <v/>
      </c>
      <c r="J19" s="2251"/>
      <c r="K19" s="1287"/>
      <c r="L19" s="2255" t="s">
        <v>2715</v>
      </c>
      <c r="M19" s="1498">
        <f>ROUND(SUMIF(地价!B2:F2,E2,地价!B33:F33),0)</f>
        <v>258</v>
      </c>
      <c r="N19" s="2256"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f ca="1">ROUND(POWER(1+G20,J20-I20)*(POWER(1+G20,I20)-1)/(POWER(1+G20,J20)-1),4)</f>
        <v>0.872</v>
      </c>
      <c r="D20" s="2260" t="s">
        <v>2718</v>
      </c>
      <c r="E20" s="1507">
        <f ca="1">存贷款利率!D4/100</f>
        <v>4.3499999999999997E-2</v>
      </c>
      <c r="F20" s="2260" t="s">
        <v>2710</v>
      </c>
      <c r="G20" s="873">
        <f ca="1">SUMIF(M26:P26,E2,M28:P28)</f>
        <v>5.1999999999999998E-2</v>
      </c>
      <c r="H20" s="2260" t="s">
        <v>2719</v>
      </c>
      <c r="I20" s="874">
        <f>SUMIF('数据-取费表'!C6:C15,E2,'数据-取费表'!F6:F15)/COUNTIF('数据-取费表'!C6:C15,E2)</f>
        <v>32.03</v>
      </c>
      <c r="J20" s="875">
        <f>IF(E2="住宅",70,IF(E2="商业",40,50))</f>
        <v>50</v>
      </c>
      <c r="K20" s="1287"/>
      <c r="L20" s="2261" t="s">
        <v>2720</v>
      </c>
      <c r="M20" s="1499">
        <f>ROUND(SUMPRODUCT((地价!A4:A33=YEAR(G19)&amp;"-"&amp;ROUNDUP(MONTH(G19)/3,0))*(地价!B2:F2=E2)*(地价!B4:F33)),0)</f>
        <v>346</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3112</v>
      </c>
      <c r="C21" s="876">
        <f>IF(B21="容积率修正",IF(G3&lt;=10,D22,J22),C23)</f>
        <v>1</v>
      </c>
      <c r="D21" s="2267"/>
      <c r="E21" s="2267"/>
      <c r="F21" s="2267"/>
      <c r="G21" s="2267"/>
      <c r="H21" s="2267"/>
      <c r="I21" s="2267"/>
      <c r="J21" s="2268"/>
      <c r="K21" s="1287"/>
      <c r="L21" s="3021"/>
      <c r="M21" s="3021"/>
      <c r="N21" s="2269" t="s">
        <v>2724</v>
      </c>
      <c r="O21" s="1335"/>
      <c r="P21" s="1336">
        <f>SUMPRODUCT((地价!A3:A33=YEAR(G19)&amp;"-"&amp;ROUNDUP(MONTH(G19)/3,0))*(地价!AD2:AH2=N21)*(地价!AD3:AH33))</f>
        <v>1.0999999999999999E-2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2725</v>
      </c>
      <c r="B22" s="2270" t="s">
        <v>2726</v>
      </c>
      <c r="C22" s="1538" t="s">
        <v>2727</v>
      </c>
      <c r="D22" s="1538">
        <f>IF(E22=G22,F22,IF(G3&lt;=10,ROUND(F22+(H22-F22)*(G3-E22)/(G22-E22),4),"——"))</f>
        <v>1</v>
      </c>
      <c r="E22" s="855">
        <f>ROUNDDOWN(G3,1)</f>
        <v>2.5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8" t="s">
        <v>155</v>
      </c>
      <c r="J22" s="877" t="str">
        <f>IF(G3&gt;10,D113,"——")</f>
        <v>——</v>
      </c>
      <c r="K22" s="1287"/>
      <c r="L22" s="3021"/>
      <c r="M22" s="3021"/>
      <c r="N22" s="2269" t="s">
        <v>2728</v>
      </c>
      <c r="O22" s="1335"/>
      <c r="P22" s="1336">
        <f>SUMPRODUCT((地价!A3:A33=YEAR(G19)&amp;"-"&amp;ROUNDUP(MONTH(G19)/3,0))*(地价!AD2:AH2=N22)*(地价!AD3:AH33))</f>
        <v>1.0999999999999999E-2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v>
      </c>
      <c r="D24" s="2250"/>
      <c r="E24" s="2277"/>
      <c r="F24" s="2277"/>
      <c r="G24" s="2277"/>
      <c r="H24" s="2277"/>
      <c r="I24" s="2277"/>
      <c r="J24" s="2278"/>
      <c r="K24" s="1287"/>
      <c r="L24" s="3021"/>
      <c r="M24" s="3021"/>
      <c r="N24" s="2279" t="s">
        <v>2733</v>
      </c>
      <c r="O24" s="1337"/>
      <c r="P24" s="1338">
        <f>SUMPRODUCT((地价!A3:A33=YEAR(G19)&amp;"-"&amp;ROUNDUP(MONTH(G19)/3,0))*(地价!AD2:AH2=N24)*(地价!AD3:AH33))</f>
        <v>1.1900000000000001E-2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2734</v>
      </c>
      <c r="C25" s="869"/>
      <c r="D25" s="2214"/>
      <c r="E25" s="2214"/>
      <c r="F25" s="2281"/>
      <c r="G25" s="2214"/>
      <c r="H25" s="2214"/>
      <c r="I25" s="2214"/>
      <c r="J25" s="2215"/>
      <c r="K25" s="1280"/>
      <c r="L25" s="2185"/>
      <c r="M25" s="2185"/>
      <c r="N25" s="3016" t="s">
        <v>2735</v>
      </c>
      <c r="O25" s="3017"/>
      <c r="P25" s="3018">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188</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47</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20771</v>
      </c>
      <c r="D29" s="2298"/>
      <c r="E29" s="879">
        <f ca="1">ROUND(C29*D29/10000,0)</f>
        <v>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5193</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44"/>
      <c r="B33" s="2314" t="s">
        <v>2750</v>
      </c>
      <c r="C33" s="180">
        <f ca="1">ROUND(D5*C19*C20*C24*F33,0)</f>
        <v>14540</v>
      </c>
      <c r="D33" s="2298"/>
      <c r="E33" s="176">
        <f ca="1">ROUND(C33*D33/10000,0)</f>
        <v>0</v>
      </c>
      <c r="F33" s="176">
        <f>SUMIF(修正!A45:A56,G2,修正!B45:B56)</f>
        <v>0.7</v>
      </c>
      <c r="G33" s="176">
        <f t="shared" ref="G33" ca="1" si="6">ROUND(IF(E2="工业",C33*$M$39,C33*$M$38),0)</f>
        <v>3635</v>
      </c>
      <c r="H33" s="176">
        <f>D33</f>
        <v>0</v>
      </c>
      <c r="I33" s="176">
        <f ca="1">ROUND(G33*H33/10000,0)</f>
        <v>0</v>
      </c>
      <c r="J33" s="3349"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45"/>
      <c r="B34" s="2231" t="s">
        <v>2751</v>
      </c>
      <c r="C34" s="180">
        <f ca="1">ROUND(D5*C19*C20*C24*F34,0)</f>
        <v>8309</v>
      </c>
      <c r="D34" s="2298"/>
      <c r="E34" s="176">
        <f t="shared" ref="E34:E39" ca="1" si="7">ROUND(C34*D34/10000,0)</f>
        <v>0</v>
      </c>
      <c r="F34" s="176">
        <f>SUMIF(修正!A45:A56,G2,修正!C45:C56)</f>
        <v>0.4</v>
      </c>
      <c r="G34" s="176">
        <f ca="1">ROUND(IF(E2="工业",C34*$M$39,C34*$M$38),0)</f>
        <v>2077</v>
      </c>
      <c r="H34" s="176">
        <f t="shared" ref="H34:H39" si="8">D34</f>
        <v>0</v>
      </c>
      <c r="I34" s="176">
        <f t="shared" ref="I34:I39" ca="1" si="9">ROUND(G34*H34/10000,0)</f>
        <v>0</v>
      </c>
      <c r="J34" s="334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45"/>
      <c r="B35" s="2231" t="s">
        <v>2752</v>
      </c>
      <c r="C35" s="180">
        <f ca="1">ROUND(D5*C19*C20*C24*F35,0)</f>
        <v>5816</v>
      </c>
      <c r="D35" s="2298"/>
      <c r="E35" s="176">
        <f t="shared" ca="1" si="7"/>
        <v>0</v>
      </c>
      <c r="F35" s="176">
        <f>SUMIF(修正!A45:A56,G2,修正!D45:D56)</f>
        <v>0.28000000000000003</v>
      </c>
      <c r="G35" s="176">
        <f ca="1">ROUND(IF(E2="工业",C35*$M$39,C35*$M$38),0)</f>
        <v>1454</v>
      </c>
      <c r="H35" s="176">
        <f t="shared" si="8"/>
        <v>0</v>
      </c>
      <c r="I35" s="176">
        <f t="shared" ca="1" si="9"/>
        <v>0</v>
      </c>
      <c r="J35" s="334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46"/>
      <c r="B36" s="2231" t="s">
        <v>2753</v>
      </c>
      <c r="C36" s="180">
        <f ca="1">ROUND(D5*C19*C20*C24*F36,0)</f>
        <v>5193</v>
      </c>
      <c r="D36" s="2298"/>
      <c r="E36" s="176">
        <f t="shared" ca="1" si="7"/>
        <v>0</v>
      </c>
      <c r="F36" s="176">
        <f>SUMIF(修正!A45:A56,G2,修正!E45:E56)</f>
        <v>0.25</v>
      </c>
      <c r="G36" s="176">
        <f ca="1">ROUND(IF(E2="工业",C36*$M$39,C36*$M$38),0)</f>
        <v>1298</v>
      </c>
      <c r="H36" s="176">
        <f t="shared" si="8"/>
        <v>0</v>
      </c>
      <c r="I36" s="176">
        <f t="shared" ca="1" si="9"/>
        <v>0</v>
      </c>
      <c r="J36" s="3346"/>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5193</v>
      </c>
      <c r="D37" s="2298"/>
      <c r="E37" s="176">
        <f t="shared" ca="1" si="7"/>
        <v>0</v>
      </c>
      <c r="F37" s="180">
        <f>SUMIF(修正!A45:A56,G2,修正!F45:F56)</f>
        <v>0.25</v>
      </c>
      <c r="G37" s="176">
        <f ca="1">ROUND(IF(E2="工业",C37*$M$39,C37*$M$38),0)</f>
        <v>1298</v>
      </c>
      <c r="H37" s="176">
        <f t="shared" si="8"/>
        <v>0</v>
      </c>
      <c r="I37" s="176">
        <f t="shared" ca="1" si="9"/>
        <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5193</v>
      </c>
      <c r="D38" s="2298"/>
      <c r="E38" s="176">
        <f t="shared" ca="1" si="7"/>
        <v>0</v>
      </c>
      <c r="F38" s="180">
        <f>SUMIF(修正!A45:A56,G2,修正!G45:G56)</f>
        <v>0.25</v>
      </c>
      <c r="G38" s="176">
        <f ca="1">ROUND(IF(E2="工业",C38*$M$39,C38*$M$38),0)</f>
        <v>1298</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4154</v>
      </c>
      <c r="D39" s="2304">
        <f>'数据-汇总表'!G20</f>
        <v>452.2</v>
      </c>
      <c r="E39" s="193">
        <f t="shared" ca="1" si="7"/>
        <v>188</v>
      </c>
      <c r="F39" s="871">
        <f>SUMIF(修正!A45:A56,G2,修正!H45:H56)</f>
        <v>0.2</v>
      </c>
      <c r="G39" s="193">
        <f ca="1">ROUND(IF(E2="工业",C39*$M$39,C39*$M$38),0)</f>
        <v>1039</v>
      </c>
      <c r="H39" s="193">
        <f t="shared" si="8"/>
        <v>452.2</v>
      </c>
      <c r="I39" s="193">
        <f t="shared" ca="1" si="9"/>
        <v>47</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0.872</v>
      </c>
      <c r="D41" s="176" t="s">
        <v>2710</v>
      </c>
      <c r="E41" s="2371">
        <f ca="1">G20</f>
        <v>5.1999999999999998E-2</v>
      </c>
      <c r="F41" s="176" t="s">
        <v>2719</v>
      </c>
      <c r="G41" s="189">
        <f>项目基本情况!G15</f>
        <v>32.03</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24.75">
      <c r="A48" s="2331" t="s">
        <v>2769</v>
      </c>
      <c r="B48" s="2334">
        <f>估价对象房地状况!C4</f>
        <v>0</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31" t="s">
        <v>2770</v>
      </c>
      <c r="B49" s="2335">
        <f>估价对象房地状况!C18</f>
        <v>0</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8" t="s">
        <v>2777</v>
      </c>
      <c r="B54" s="1496">
        <f>估价对象房地状况!C21</f>
        <v>0</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8" t="s">
        <v>2778</v>
      </c>
      <c r="B55" s="2335">
        <f>估价对象房地状况!C22</f>
        <v>0</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9" t="s">
        <v>2779</v>
      </c>
      <c r="B56" s="2340">
        <f>估价对象房地状况!C20</f>
        <v>0</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24">
      <c r="A59" s="2331" t="s">
        <v>2782</v>
      </c>
      <c r="B59" s="2334">
        <f>估价对象房地状况!C17</f>
        <v>0</v>
      </c>
      <c r="C59" s="2236"/>
      <c r="D59" s="1196">
        <f t="shared" ref="D59:D67" si="15">SUMIF($J$58:$N$58,C59,J59:N59)</f>
        <v>0</v>
      </c>
      <c r="E59" s="760">
        <f>ROUND(SUM(D59:D67),4)</f>
        <v>0</v>
      </c>
      <c r="F59" s="2002">
        <f>IF(E2="办公",SUMIF(L1:L12,G2,N1:N12),"——")</f>
        <v>9.7000000000000003E-2</v>
      </c>
      <c r="G59" s="1194"/>
      <c r="H59" s="1198">
        <f t="shared" ref="H59:H67" si="16">IFERROR(ROUNDDOWN($F$59*I59/2,4),"——")</f>
        <v>1.1599999999999999E-2</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31" t="s">
        <v>2770</v>
      </c>
      <c r="B60" s="2335">
        <f>估价对象房地状况!C18</f>
        <v>0</v>
      </c>
      <c r="C60" s="2236"/>
      <c r="D60" s="1196">
        <f t="shared" si="15"/>
        <v>0</v>
      </c>
      <c r="E60" s="761"/>
      <c r="F60" s="2002"/>
      <c r="G60" s="1194"/>
      <c r="H60" s="1198">
        <f t="shared" si="16"/>
        <v>1.4500000000000001E-2</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5"/>
        <v>0</v>
      </c>
      <c r="E61" s="761"/>
      <c r="F61" s="2002"/>
      <c r="G61" s="1194"/>
      <c r="H61" s="1198">
        <f t="shared" si="16"/>
        <v>3.8E-3</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5"/>
        <v>0</v>
      </c>
      <c r="E62" s="761"/>
      <c r="F62" s="2002"/>
      <c r="G62" s="1194"/>
      <c r="H62" s="1198">
        <f t="shared" si="16"/>
        <v>1.9E-3</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5"/>
        <v>0</v>
      </c>
      <c r="E63" s="761"/>
      <c r="F63" s="2002"/>
      <c r="G63" s="1194"/>
      <c r="H63" s="1198">
        <f t="shared" si="16"/>
        <v>2.3999999999999998E-3</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5"/>
        <v>0</v>
      </c>
      <c r="E64" s="761"/>
      <c r="F64" s="2002"/>
      <c r="G64" s="1194"/>
      <c r="H64" s="1198">
        <f t="shared" si="16"/>
        <v>2.3999999999999998E-3</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31" t="s">
        <v>2777</v>
      </c>
      <c r="B65" s="1496">
        <f>估价对象房地状况!C21</f>
        <v>0</v>
      </c>
      <c r="C65" s="2236"/>
      <c r="D65" s="1196">
        <f t="shared" si="15"/>
        <v>0</v>
      </c>
      <c r="E65" s="761"/>
      <c r="F65" s="2002"/>
      <c r="G65" s="1194"/>
      <c r="H65" s="1198">
        <f t="shared" si="16"/>
        <v>2.8999999999999998E-3</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31" t="s">
        <v>2778</v>
      </c>
      <c r="B66" s="1496">
        <f>估价对象房地状况!C22</f>
        <v>0</v>
      </c>
      <c r="C66" s="2236"/>
      <c r="D66" s="1196">
        <f t="shared" si="15"/>
        <v>0</v>
      </c>
      <c r="E66" s="761"/>
      <c r="F66" s="2002"/>
      <c r="G66" s="1194"/>
      <c r="H66" s="1198">
        <f t="shared" si="16"/>
        <v>5.7999999999999996E-3</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9" t="s">
        <v>2779</v>
      </c>
      <c r="B67" s="2341">
        <f>估价对象房地状况!C20</f>
        <v>0</v>
      </c>
      <c r="C67" s="2236"/>
      <c r="D67" s="1196">
        <f t="shared" si="15"/>
        <v>0</v>
      </c>
      <c r="E67" s="764"/>
      <c r="F67" s="2002"/>
      <c r="G67" s="1194"/>
      <c r="H67" s="1198">
        <f t="shared" si="16"/>
        <v>2.8999999999999998E-3</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24">
      <c r="A70" s="2331" t="s">
        <v>2784</v>
      </c>
      <c r="B70" s="2334">
        <f>估价对象房地状况!C15</f>
        <v>0</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31" t="s">
        <v>2770</v>
      </c>
      <c r="B71" s="2335">
        <f>估价对象房地状况!C18</f>
        <v>0</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31" t="s">
        <v>2777</v>
      </c>
      <c r="B74" s="1496">
        <f>估价对象房地状况!C21</f>
        <v>0</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31" t="s">
        <v>2778</v>
      </c>
      <c r="B75" s="1496">
        <f>估价对象房地状况!C22</f>
        <v>0</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24">
      <c r="A77" s="2331" t="s">
        <v>2779</v>
      </c>
      <c r="B77" s="2334">
        <f>估价对象房地状况!C20</f>
        <v>0</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2786</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24">
      <c r="A81" s="2331" t="s">
        <v>2788</v>
      </c>
      <c r="B81" s="2335">
        <f>估价对象房地状况!G15</f>
        <v>0</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14.25">
      <c r="A82" s="2331" t="s">
        <v>2770</v>
      </c>
      <c r="B82" s="2335">
        <f>估价对象房地状况!G16</f>
        <v>0</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2771</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2785</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4">
      <c r="A85" s="2331" t="s">
        <v>2777</v>
      </c>
      <c r="B85" s="1496">
        <f>估价对象房地状况!G19</f>
        <v>0</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4">
      <c r="A86" s="2331" t="s">
        <v>2778</v>
      </c>
      <c r="B86" s="1496">
        <f>估价对象房地状况!G20</f>
        <v>0</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2775</v>
      </c>
      <c r="B87" s="2337" t="s">
        <v>2789</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15" thickBot="1">
      <c r="A88" s="2339" t="s">
        <v>2790</v>
      </c>
      <c r="B88" s="2344">
        <f>估价对象房地状况!G18</f>
        <v>0</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36" t="s">
        <v>2791</v>
      </c>
      <c r="B90" s="3336"/>
      <c r="C90" s="3336"/>
      <c r="D90" s="3336"/>
      <c r="E90" s="3336"/>
      <c r="F90" s="3336"/>
      <c r="G90" s="3336"/>
      <c r="H90" s="3336"/>
      <c r="I90" s="3336"/>
      <c r="J90" s="3336"/>
      <c r="K90" s="2345"/>
      <c r="L90" s="2345"/>
      <c r="M90" s="2345"/>
      <c r="N90" s="2345"/>
    </row>
    <row r="91" spans="1:37">
      <c r="A91" s="3338" t="s">
        <v>2792</v>
      </c>
      <c r="B91" s="3338" t="s">
        <v>2793</v>
      </c>
      <c r="C91" s="2299" t="s">
        <v>2794</v>
      </c>
      <c r="D91" s="2300"/>
      <c r="E91" s="2300"/>
      <c r="F91" s="2300"/>
      <c r="G91" s="2300"/>
      <c r="H91" s="2300"/>
      <c r="I91" s="2300"/>
      <c r="J91" s="2346"/>
      <c r="K91" s="2347"/>
      <c r="L91" s="2347"/>
      <c r="M91" s="2347"/>
      <c r="N91" s="2347"/>
    </row>
    <row r="92" spans="1:37">
      <c r="A92" s="3338"/>
      <c r="B92" s="3338"/>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39"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40"/>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40"/>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40"/>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40"/>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40"/>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40"/>
      <c r="B99" s="2348" t="s">
        <v>2678</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41"/>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39" t="s">
        <v>2796</v>
      </c>
      <c r="B101" s="2352" t="s">
        <v>2797</v>
      </c>
      <c r="C101" s="2353">
        <f>$G$3</f>
        <v>2.5</v>
      </c>
      <c r="D101" s="2353">
        <f t="shared" ref="D101:N101" si="31">$G$3</f>
        <v>2.5</v>
      </c>
      <c r="E101" s="2353">
        <f t="shared" si="31"/>
        <v>2.5</v>
      </c>
      <c r="F101" s="2353">
        <f t="shared" si="31"/>
        <v>2.5</v>
      </c>
      <c r="G101" s="2353">
        <f t="shared" si="31"/>
        <v>2.5</v>
      </c>
      <c r="H101" s="2353">
        <f t="shared" si="31"/>
        <v>2.5</v>
      </c>
      <c r="I101" s="2353">
        <f t="shared" si="31"/>
        <v>2.5</v>
      </c>
      <c r="J101" s="2353">
        <f t="shared" si="31"/>
        <v>2.5</v>
      </c>
      <c r="K101" s="2353">
        <f t="shared" si="31"/>
        <v>2.5</v>
      </c>
      <c r="L101" s="2353">
        <f t="shared" si="31"/>
        <v>2.5</v>
      </c>
      <c r="M101" s="2353">
        <f t="shared" si="31"/>
        <v>2.5</v>
      </c>
      <c r="N101" s="2353">
        <f t="shared" si="31"/>
        <v>2.5</v>
      </c>
    </row>
    <row r="102" spans="1:14">
      <c r="A102" s="3340"/>
      <c r="B102" s="2348">
        <v>1</v>
      </c>
      <c r="C102" s="2349">
        <f>1.9362/C101</f>
        <v>0.77447999999999995</v>
      </c>
      <c r="D102" s="2349">
        <f>1.9362/D101</f>
        <v>0.77447999999999995</v>
      </c>
      <c r="E102" s="2349">
        <f>1.8629/E101</f>
        <v>0.74516000000000004</v>
      </c>
      <c r="F102" s="2349">
        <f>1.8629/F101</f>
        <v>0.74516000000000004</v>
      </c>
      <c r="G102" s="2349">
        <f>1.8629/G101</f>
        <v>0.74516000000000004</v>
      </c>
      <c r="H102" s="2349">
        <f>1.8629/H101</f>
        <v>0.74516000000000004</v>
      </c>
      <c r="I102" s="2349">
        <f>1.8629/I101</f>
        <v>0.74516000000000004</v>
      </c>
      <c r="J102" s="2349">
        <f>1.942/J101</f>
        <v>0.77679999999999993</v>
      </c>
      <c r="K102" s="2349">
        <f>1.942/K101</f>
        <v>0.77679999999999993</v>
      </c>
      <c r="L102" s="2349">
        <f>1.942/L101</f>
        <v>0.77679999999999993</v>
      </c>
      <c r="M102" s="2349">
        <f>1.942/M101</f>
        <v>0.77679999999999993</v>
      </c>
      <c r="N102" s="2349">
        <f>1.942/N101</f>
        <v>0.77679999999999993</v>
      </c>
    </row>
    <row r="103" spans="1:14">
      <c r="A103" s="3340"/>
      <c r="B103" s="2348">
        <v>2</v>
      </c>
      <c r="C103" s="2349">
        <f>1.4198/C101</f>
        <v>0.56791999999999998</v>
      </c>
      <c r="D103" s="2349">
        <f>1.4198/D101</f>
        <v>0.56791999999999998</v>
      </c>
      <c r="E103" s="2349">
        <f>1.3372/E101</f>
        <v>0.53488000000000002</v>
      </c>
      <c r="F103" s="2349">
        <f>1.3372/F101</f>
        <v>0.53488000000000002</v>
      </c>
      <c r="G103" s="2349">
        <f>1.3372/G101</f>
        <v>0.53488000000000002</v>
      </c>
      <c r="H103" s="2349">
        <f>1.3372/H101</f>
        <v>0.53488000000000002</v>
      </c>
      <c r="I103" s="2349">
        <f>1.3372/I101</f>
        <v>0.53488000000000002</v>
      </c>
      <c r="J103" s="2349">
        <f>1.2799/J101</f>
        <v>0.51195999999999997</v>
      </c>
      <c r="K103" s="2349">
        <f>1.2799/K101</f>
        <v>0.51195999999999997</v>
      </c>
      <c r="L103" s="2349">
        <f>1.2799/L101</f>
        <v>0.51195999999999997</v>
      </c>
      <c r="M103" s="2349">
        <f>1.2799/M101</f>
        <v>0.51195999999999997</v>
      </c>
      <c r="N103" s="2349">
        <f>1.2799/N101</f>
        <v>0.51195999999999997</v>
      </c>
    </row>
    <row r="104" spans="1:14">
      <c r="A104" s="3340"/>
      <c r="B104" s="2348">
        <v>3</v>
      </c>
      <c r="C104" s="2349">
        <f>1.1594/C101</f>
        <v>0.46376000000000001</v>
      </c>
      <c r="D104" s="2349">
        <f>1.1594/D101</f>
        <v>0.46376000000000001</v>
      </c>
      <c r="E104" s="2349">
        <f>1.0788/E101</f>
        <v>0.43152000000000001</v>
      </c>
      <c r="F104" s="2349">
        <f>1.0788/F101</f>
        <v>0.43152000000000001</v>
      </c>
      <c r="G104" s="2349">
        <f>1.0788/G101</f>
        <v>0.43152000000000001</v>
      </c>
      <c r="H104" s="2349">
        <f>1.0788/H101</f>
        <v>0.43152000000000001</v>
      </c>
      <c r="I104" s="2349">
        <f>1.0788/I101</f>
        <v>0.43152000000000001</v>
      </c>
      <c r="J104" s="2349">
        <f>1.0072/J101</f>
        <v>0.40288000000000002</v>
      </c>
      <c r="K104" s="2349">
        <f>1.0072/K101</f>
        <v>0.40288000000000002</v>
      </c>
      <c r="L104" s="2349">
        <f>1.0072/L101</f>
        <v>0.40288000000000002</v>
      </c>
      <c r="M104" s="2349">
        <f>1.0072/M101</f>
        <v>0.40288000000000002</v>
      </c>
      <c r="N104" s="2349">
        <f>1.0072/N101</f>
        <v>0.40288000000000002</v>
      </c>
    </row>
    <row r="105" spans="1:14">
      <c r="A105" s="3340"/>
      <c r="B105" s="2348">
        <v>4</v>
      </c>
      <c r="C105" s="2349">
        <f>0.9622/C101</f>
        <v>0.38488</v>
      </c>
      <c r="D105" s="2349">
        <f>0.9622/D101</f>
        <v>0.38488</v>
      </c>
      <c r="E105" s="2349">
        <f>0.8656/E101</f>
        <v>0.34623999999999999</v>
      </c>
      <c r="F105" s="2349">
        <f>0.8656/F101</f>
        <v>0.34623999999999999</v>
      </c>
      <c r="G105" s="2349">
        <f>0.8656/G101</f>
        <v>0.34623999999999999</v>
      </c>
      <c r="H105" s="2349">
        <f>0.8656/H101</f>
        <v>0.34623999999999999</v>
      </c>
      <c r="I105" s="2349">
        <f>0.8656/I101</f>
        <v>0.34623999999999999</v>
      </c>
      <c r="J105" s="2349">
        <f>0.7525/J101</f>
        <v>0.30099999999999999</v>
      </c>
      <c r="K105" s="2349">
        <f>0.7525/K101</f>
        <v>0.30099999999999999</v>
      </c>
      <c r="L105" s="2349">
        <f>0.7525/L101</f>
        <v>0.30099999999999999</v>
      </c>
      <c r="M105" s="2349">
        <f>0.7525/M101</f>
        <v>0.30099999999999999</v>
      </c>
      <c r="N105" s="2349">
        <f>0.7525/N101</f>
        <v>0.30099999999999999</v>
      </c>
    </row>
    <row r="106" spans="1:14">
      <c r="A106" s="3340"/>
      <c r="B106" s="2348">
        <v>5</v>
      </c>
      <c r="C106" s="2349">
        <f>0.8417/C101</f>
        <v>0.33667999999999998</v>
      </c>
      <c r="D106" s="2349">
        <f>0.8417/D101</f>
        <v>0.33667999999999998</v>
      </c>
      <c r="E106" s="2349">
        <f>0.7371/E101</f>
        <v>0.29483999999999999</v>
      </c>
      <c r="F106" s="2349">
        <f>0.7371/F101</f>
        <v>0.29483999999999999</v>
      </c>
      <c r="G106" s="2349">
        <f>0.7371/G101</f>
        <v>0.29483999999999999</v>
      </c>
      <c r="H106" s="2349">
        <f>0.7371/H101</f>
        <v>0.29483999999999999</v>
      </c>
      <c r="I106" s="2349">
        <f>0.7371/I101</f>
        <v>0.29483999999999999</v>
      </c>
      <c r="J106" s="2349">
        <f>0.5659/J101</f>
        <v>0.22635999999999998</v>
      </c>
      <c r="K106" s="2349">
        <f>0.5659/K101</f>
        <v>0.22635999999999998</v>
      </c>
      <c r="L106" s="2349">
        <f>0.5659/L101</f>
        <v>0.22635999999999998</v>
      </c>
      <c r="M106" s="2349">
        <f>0.5659/M101</f>
        <v>0.22635999999999998</v>
      </c>
      <c r="N106" s="2349">
        <f>0.5659/N101</f>
        <v>0.22635999999999998</v>
      </c>
    </row>
    <row r="107" spans="1:14">
      <c r="A107" s="3340"/>
      <c r="B107" s="2348">
        <v>6</v>
      </c>
      <c r="C107" s="2349">
        <f>0.7608/C101</f>
        <v>0.30432000000000003</v>
      </c>
      <c r="D107" s="2349">
        <f>0.7608/D101</f>
        <v>0.30432000000000003</v>
      </c>
      <c r="E107" s="2349">
        <f>0.6482/E101</f>
        <v>0.25928000000000001</v>
      </c>
      <c r="F107" s="2349">
        <f>0.6482/F101</f>
        <v>0.25928000000000001</v>
      </c>
      <c r="G107" s="2349">
        <f>0.6482/G101</f>
        <v>0.25928000000000001</v>
      </c>
      <c r="H107" s="2349">
        <f>0.6482/H101</f>
        <v>0.25928000000000001</v>
      </c>
      <c r="I107" s="2349">
        <f>0.6482/I101</f>
        <v>0.25928000000000001</v>
      </c>
      <c r="J107" s="2349">
        <f>0.4525/J101</f>
        <v>0.18099999999999999</v>
      </c>
      <c r="K107" s="2349">
        <f>0.4525/K101</f>
        <v>0.18099999999999999</v>
      </c>
      <c r="L107" s="2349">
        <f>0.4525/L101</f>
        <v>0.18099999999999999</v>
      </c>
      <c r="M107" s="2349">
        <f>0.4525/M101</f>
        <v>0.18099999999999999</v>
      </c>
      <c r="N107" s="2349">
        <f>0.4525/N101</f>
        <v>0.18099999999999999</v>
      </c>
    </row>
    <row r="108" spans="1:14">
      <c r="A108" s="3340"/>
      <c r="B108" s="3342" t="s">
        <v>2798</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41"/>
      <c r="B109" s="3343"/>
      <c r="C109" s="2351">
        <f>(-0.163*(C108^2)-0.59*C108+7617)*(10^(-4))/C101</f>
        <v>0.30468000000000001</v>
      </c>
      <c r="D109" s="2351">
        <f>(-0.163*(D108^2)-0.59*D108+7617)*(10^(-4))/D101</f>
        <v>0.30468000000000001</v>
      </c>
      <c r="E109" s="2351">
        <f>(-0.161*(E108^2)-7.509*E108+6533)*(10^(-4))/E101</f>
        <v>0.26132</v>
      </c>
      <c r="F109" s="2351">
        <f>(-0.161*(F108^2)-7.509*F108+6533)*(10^(-4))/F101</f>
        <v>0.26132</v>
      </c>
      <c r="G109" s="2351">
        <f>(-0.161*(G108^2)-7.509*G108+6533)*(10^(-4))/G101</f>
        <v>0.26132</v>
      </c>
      <c r="H109" s="2351">
        <f>(-0.161*(H108^2)-7.509*H108+6533)*(10^(-4))/H101</f>
        <v>0.26132</v>
      </c>
      <c r="I109" s="2351">
        <f>(-0.161*(I108^2)-7.509*I108+6533)*(10^(-4))/I101</f>
        <v>0.26132</v>
      </c>
      <c r="J109" s="2351">
        <f>(-0.214*(J108^2)-21.991*J108+4665)*(10^(-4))/J101</f>
        <v>0.18660000000000002</v>
      </c>
      <c r="K109" s="2351">
        <f>(-0.214*(K108^2)-21.991*K108+4665)*(10^(-4))/K101</f>
        <v>0.18660000000000002</v>
      </c>
      <c r="L109" s="2351">
        <f>(-0.214*(L108^2)-21.991*L108+4665)*(10^(-4))/L101</f>
        <v>0.18660000000000002</v>
      </c>
      <c r="M109" s="2351">
        <f>(-0.214*(M108^2)-21.991*M108+4665)*(10^(-4))/M101</f>
        <v>0.18660000000000002</v>
      </c>
      <c r="N109" s="2351">
        <f>(-0.214*(N108^2)-21.991*N108+4665)*(10^(-4))/N101</f>
        <v>0.18660000000000002</v>
      </c>
    </row>
    <row r="110" spans="1:14">
      <c r="A110" s="3337" t="s">
        <v>2799</v>
      </c>
      <c r="B110" s="3337"/>
      <c r="C110" s="3337"/>
      <c r="D110" s="3337"/>
      <c r="E110" s="3337"/>
      <c r="F110" s="3337"/>
      <c r="G110" s="3337"/>
      <c r="H110" s="3337"/>
      <c r="I110" s="3337"/>
      <c r="J110" s="3337"/>
      <c r="K110" s="2354"/>
      <c r="L110" s="2354"/>
      <c r="M110" s="2354"/>
      <c r="N110" s="2354"/>
    </row>
    <row r="112" spans="1:14" ht="13.5" thickBot="1"/>
    <row r="113" spans="1:13" ht="25.5" thickBot="1">
      <c r="A113" s="842" t="s">
        <v>2800</v>
      </c>
      <c r="B113" s="1197">
        <f>G3</f>
        <v>2.5</v>
      </c>
      <c r="C113" s="843" t="s">
        <v>2801</v>
      </c>
      <c r="D113" s="844">
        <f>SUMPRODUCT((A115:A118=F113)*(B114:M114=H113)*B115:M118)</f>
        <v>0.82420000000000004</v>
      </c>
      <c r="E113" s="2190" t="s">
        <v>2636</v>
      </c>
      <c r="F113" s="2356" t="str">
        <f>E2</f>
        <v>办公</v>
      </c>
      <c r="G113" s="2190" t="s">
        <v>2637</v>
      </c>
      <c r="H113" s="2356" t="str">
        <f>G2</f>
        <v>四级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2701</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2702</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2703</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0" priority="5" stopIfTrue="1" operator="notEqual">
      <formula>"——"</formula>
    </cfRule>
  </conditionalFormatting>
  <conditionalFormatting sqref="F59">
    <cfRule type="cellIs" dxfId="139" priority="4" stopIfTrue="1" operator="notEqual">
      <formula>"——"</formula>
    </cfRule>
  </conditionalFormatting>
  <conditionalFormatting sqref="F70">
    <cfRule type="cellIs" dxfId="138" priority="3" stopIfTrue="1" operator="notEqual">
      <formula>"——"</formula>
    </cfRule>
  </conditionalFormatting>
  <conditionalFormatting sqref="F81">
    <cfRule type="cellIs" dxfId="137" priority="2" stopIfTrue="1" operator="notEqual">
      <formula>"——"</formula>
    </cfRule>
  </conditionalFormatting>
  <conditionalFormatting sqref="H48:H56 H59:H67 H70:H78 H81:H88">
    <cfRule type="cellIs" dxfId="13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26" sqref="B26:B3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t="s">
        <v>27</v>
      </c>
      <c r="C1" s="1392" t="s">
        <v>2352</v>
      </c>
      <c r="D1" s="1393" t="s">
        <v>3061</v>
      </c>
      <c r="E1" s="1394"/>
      <c r="F1" s="2067" t="s">
        <v>3069</v>
      </c>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f>IF(C2="——",IF(B37="元/平方米",ROUND(C39*D3/10000,0),ROUND(F3*C39/10000,0)),IF(B37="元/平方米",ROUND(C39*D3/10000,0),ROUND(F3*C39/10000,0))-D2)</f>
        <v>433</v>
      </c>
      <c r="C2" s="2069" t="s">
        <v>70</v>
      </c>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f>IF(AND(C2="——",B37="元/平方米"),C39,ROUND(B2*10000/D3,0))</f>
        <v>9575</v>
      </c>
      <c r="C3" s="360" t="s">
        <v>2466</v>
      </c>
      <c r="D3" s="359">
        <f>SUMIF('数据-汇总表'!$C19:$C33,D1,'数据-汇总表'!$E19:$E33)</f>
        <v>452.2</v>
      </c>
      <c r="E3" s="360" t="s">
        <v>2530</v>
      </c>
      <c r="F3" s="359">
        <f>SUMIF('数据-取费表'!A5:A15,D1,'数据-取费表'!AH5:AH15)</f>
        <v>10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85" t="s">
        <v>2468</v>
      </c>
      <c r="D4" s="3286"/>
      <c r="E4" s="3287" t="s">
        <v>2469</v>
      </c>
      <c r="F4" s="3288"/>
      <c r="G4" s="3285" t="s">
        <v>2470</v>
      </c>
      <c r="H4" s="3286"/>
      <c r="I4" s="3285" t="s">
        <v>2471</v>
      </c>
      <c r="J4" s="3286"/>
      <c r="K4" s="567" t="s">
        <v>2472</v>
      </c>
      <c r="L4" s="2946"/>
      <c r="M4" s="2947"/>
      <c r="N4" s="2947"/>
      <c r="O4" s="2947"/>
      <c r="P4" s="3355" t="s">
        <v>2473</v>
      </c>
      <c r="Q4" s="3356"/>
      <c r="R4" s="3359" t="s">
        <v>2469</v>
      </c>
      <c r="S4" s="3360"/>
      <c r="T4" s="3359" t="s">
        <v>2470</v>
      </c>
      <c r="U4" s="3360"/>
      <c r="V4" s="3302" t="s">
        <v>2471</v>
      </c>
      <c r="W4" s="3302"/>
      <c r="X4" s="1541"/>
      <c r="Y4" s="3359" t="s">
        <v>2473</v>
      </c>
      <c r="Z4" s="3360"/>
      <c r="AA4" s="3354" t="s">
        <v>2469</v>
      </c>
      <c r="AB4" s="3315" t="s">
        <v>2470</v>
      </c>
      <c r="AC4" s="3354" t="s">
        <v>2471</v>
      </c>
    </row>
    <row r="5" spans="1:29" ht="15.75" thickBot="1">
      <c r="A5" s="364"/>
      <c r="B5" s="365"/>
      <c r="C5" s="3311" t="s">
        <v>2364</v>
      </c>
      <c r="D5" s="3306"/>
      <c r="E5" s="3317" t="s">
        <v>3127</v>
      </c>
      <c r="F5" s="3318"/>
      <c r="G5" s="3305" t="s">
        <v>3130</v>
      </c>
      <c r="H5" s="3306"/>
      <c r="I5" s="3305" t="s">
        <v>3134</v>
      </c>
      <c r="J5" s="3306"/>
      <c r="K5" s="567"/>
      <c r="L5" s="2946"/>
      <c r="M5" s="2947"/>
      <c r="N5" s="2947"/>
      <c r="O5" s="2947"/>
      <c r="P5" s="3357"/>
      <c r="Q5" s="3292"/>
      <c r="R5" s="3297"/>
      <c r="S5" s="3298"/>
      <c r="T5" s="3297"/>
      <c r="U5" s="3298"/>
      <c r="V5" s="3302"/>
      <c r="W5" s="3302"/>
      <c r="X5" s="1541"/>
      <c r="Y5" s="3297"/>
      <c r="Z5" s="3298"/>
      <c r="AA5" s="3315"/>
      <c r="AB5" s="3315"/>
      <c r="AC5" s="3315"/>
    </row>
    <row r="6" spans="1:29" ht="15.75" hidden="1" thickBot="1">
      <c r="A6" s="366"/>
      <c r="B6" s="367"/>
      <c r="C6" s="3303" t="s">
        <v>2368</v>
      </c>
      <c r="D6" s="3304"/>
      <c r="E6" s="3312" t="s">
        <v>2368</v>
      </c>
      <c r="F6" s="3313"/>
      <c r="G6" s="3303" t="s">
        <v>2368</v>
      </c>
      <c r="H6" s="3304"/>
      <c r="I6" s="3303" t="s">
        <v>2368</v>
      </c>
      <c r="J6" s="3304"/>
      <c r="K6" s="567" t="s">
        <v>2369</v>
      </c>
      <c r="L6" s="2946"/>
      <c r="M6" s="2947"/>
      <c r="N6" s="2947"/>
      <c r="O6" s="2947"/>
      <c r="P6" s="3358"/>
      <c r="Q6" s="3294"/>
      <c r="R6" s="3297"/>
      <c r="S6" s="3298"/>
      <c r="T6" s="3299"/>
      <c r="U6" s="3300"/>
      <c r="V6" s="3302"/>
      <c r="W6" s="3302"/>
      <c r="X6" s="1541"/>
      <c r="Y6" s="3299"/>
      <c r="Z6" s="3300"/>
      <c r="AA6" s="3316"/>
      <c r="AB6" s="3316"/>
      <c r="AC6" s="3316"/>
    </row>
    <row r="7" spans="1:29" s="113" customFormat="1" ht="15.75" thickBot="1">
      <c r="A7" s="368" t="s">
        <v>2370</v>
      </c>
      <c r="B7" s="369"/>
      <c r="C7" s="370">
        <f>'数据-取费表'!B2</f>
        <v>44230</v>
      </c>
      <c r="D7" s="371">
        <v>100</v>
      </c>
      <c r="E7" s="372">
        <v>44195</v>
      </c>
      <c r="F7" s="373">
        <f>SUMIF(48:48,YEAR(E7)&amp;"-"&amp;MONTH(E7),49:49)</f>
        <v>100</v>
      </c>
      <c r="G7" s="372">
        <v>44166</v>
      </c>
      <c r="H7" s="371">
        <f>SUMIF(48:48,YEAR(G7)&amp;"-"&amp;MONTH(G7),49:49)</f>
        <v>100</v>
      </c>
      <c r="I7" s="372">
        <v>44161</v>
      </c>
      <c r="J7" s="371">
        <f>SUMIF(48:48,YEAR(I7)&amp;"-"&amp;MONTH(I7),49:49)</f>
        <v>100</v>
      </c>
      <c r="K7" s="568"/>
      <c r="L7" s="2948"/>
      <c r="M7" s="2949"/>
      <c r="N7" s="2949"/>
      <c r="O7" s="2949"/>
      <c r="P7" s="3309" t="s">
        <v>2371</v>
      </c>
      <c r="Q7" s="3310"/>
      <c r="R7" s="710" t="s">
        <v>17</v>
      </c>
      <c r="S7" s="711">
        <f t="shared" ref="S7:S14" si="0">F7</f>
        <v>100</v>
      </c>
      <c r="T7" s="710" t="s">
        <v>17</v>
      </c>
      <c r="U7" s="711">
        <f t="shared" ref="U7:U14" si="1">H7</f>
        <v>100</v>
      </c>
      <c r="V7" s="710" t="s">
        <v>17</v>
      </c>
      <c r="W7" s="711">
        <f t="shared" ref="W7:W14" si="2">J7</f>
        <v>100</v>
      </c>
      <c r="X7" s="712"/>
      <c r="Y7" s="3309" t="s">
        <v>2371</v>
      </c>
      <c r="Z7" s="3308"/>
      <c r="AA7" s="713">
        <f>D7/F7</f>
        <v>1</v>
      </c>
      <c r="AB7" s="713">
        <f>D7/H7</f>
        <v>1</v>
      </c>
      <c r="AC7" s="713">
        <f>D7/J7</f>
        <v>1</v>
      </c>
    </row>
    <row r="8" spans="1:29" s="113" customFormat="1" ht="15.75" thickBot="1">
      <c r="A8" s="368" t="s">
        <v>2372</v>
      </c>
      <c r="B8" s="369"/>
      <c r="C8" s="374" t="s">
        <v>2474</v>
      </c>
      <c r="D8" s="371">
        <v>100</v>
      </c>
      <c r="E8" s="374" t="s">
        <v>3072</v>
      </c>
      <c r="F8" s="373">
        <f>SUMIF(51:51,E8,52:52)-SUMIF(51:51,C8,52:52)+100</f>
        <v>100</v>
      </c>
      <c r="G8" s="374" t="s">
        <v>3072</v>
      </c>
      <c r="H8" s="371">
        <f>SUMIF(51:51,G8,52:52)-SUMIF(51:51,C8,52:52)+100</f>
        <v>100</v>
      </c>
      <c r="I8" s="374" t="s">
        <v>3072</v>
      </c>
      <c r="J8" s="371">
        <f>SUMIF(51:51,I8,52:52)-SUMIF(51:51,C8,52:52)+100</f>
        <v>100</v>
      </c>
      <c r="K8" s="568"/>
      <c r="L8" s="2948"/>
      <c r="M8" s="2949"/>
      <c r="N8" s="2949"/>
      <c r="O8" s="2949"/>
      <c r="P8" s="3309" t="s">
        <v>2374</v>
      </c>
      <c r="Q8" s="3308"/>
      <c r="R8" s="710" t="s">
        <v>17</v>
      </c>
      <c r="S8" s="711">
        <f t="shared" si="0"/>
        <v>100</v>
      </c>
      <c r="T8" s="710" t="s">
        <v>17</v>
      </c>
      <c r="U8" s="711">
        <f t="shared" si="1"/>
        <v>100</v>
      </c>
      <c r="V8" s="710" t="s">
        <v>17</v>
      </c>
      <c r="W8" s="711">
        <f t="shared" si="2"/>
        <v>100</v>
      </c>
      <c r="X8" s="712"/>
      <c r="Y8" s="3309" t="s">
        <v>2374</v>
      </c>
      <c r="Z8" s="3308"/>
      <c r="AA8" s="713">
        <f t="shared" ref="AA8:AA36" si="3">D8/F8</f>
        <v>1</v>
      </c>
      <c r="AB8" s="713">
        <f t="shared" ref="AB8:AB36" si="4">D8/H8</f>
        <v>1</v>
      </c>
      <c r="AC8" s="713">
        <f t="shared" ref="AC8:AC36" si="5">D8/J8</f>
        <v>1</v>
      </c>
    </row>
    <row r="9" spans="1:29" s="113" customFormat="1">
      <c r="A9" s="64" t="s">
        <v>2375</v>
      </c>
      <c r="B9" s="596" t="s">
        <v>2376</v>
      </c>
      <c r="C9" s="3065" t="s">
        <v>3126</v>
      </c>
      <c r="D9" s="131">
        <v>100</v>
      </c>
      <c r="E9" s="379" t="s">
        <v>3125</v>
      </c>
      <c r="F9" s="131">
        <f>SUMIF(53:53,E9,54:54)-SUMIF(53:53,C9,54:54)+100</f>
        <v>100</v>
      </c>
      <c r="G9" s="377" t="s">
        <v>3125</v>
      </c>
      <c r="H9" s="131">
        <f>SUMIF(53:53,G9,54:54)-SUMIF(53:53,C9,54:54)+100</f>
        <v>100</v>
      </c>
      <c r="I9" s="377" t="s">
        <v>3125</v>
      </c>
      <c r="J9" s="131">
        <f>SUMIF(53:53,I9,54:54)-SUMIF(53:53,C9,54:54)+100</f>
        <v>100</v>
      </c>
      <c r="K9" s="568"/>
      <c r="L9" s="2948"/>
      <c r="M9" s="2949"/>
      <c r="N9" s="2949"/>
      <c r="O9" s="2949"/>
      <c r="P9" s="3268" t="s">
        <v>2377</v>
      </c>
      <c r="Q9" s="1529" t="str">
        <f t="shared" ref="Q9:Q14" si="6">B9</f>
        <v>用途</v>
      </c>
      <c r="R9" s="710" t="s">
        <v>17</v>
      </c>
      <c r="S9" s="711">
        <f t="shared" si="0"/>
        <v>100</v>
      </c>
      <c r="T9" s="710" t="s">
        <v>17</v>
      </c>
      <c r="U9" s="711">
        <f t="shared" si="1"/>
        <v>100</v>
      </c>
      <c r="V9" s="710" t="s">
        <v>17</v>
      </c>
      <c r="W9" s="711">
        <f t="shared" si="2"/>
        <v>100</v>
      </c>
      <c r="X9" s="712"/>
      <c r="Y9" s="3168" t="s">
        <v>2378</v>
      </c>
      <c r="Z9" s="55" t="str">
        <f t="shared" ref="Z9:Z14" si="7">Q9</f>
        <v>用途</v>
      </c>
      <c r="AA9" s="713">
        <f t="shared" si="3"/>
        <v>1</v>
      </c>
      <c r="AB9" s="713">
        <f t="shared" si="4"/>
        <v>1</v>
      </c>
      <c r="AC9" s="713">
        <f t="shared" si="5"/>
        <v>1</v>
      </c>
    </row>
    <row r="10" spans="1:29" s="386" customFormat="1" ht="27.75" thickBot="1">
      <c r="A10" s="597"/>
      <c r="B10" s="598" t="s">
        <v>2379</v>
      </c>
      <c r="C10" s="382" t="s">
        <v>3070</v>
      </c>
      <c r="D10" s="132">
        <v>100</v>
      </c>
      <c r="E10" s="382" t="s">
        <v>3124</v>
      </c>
      <c r="F10" s="132">
        <f>SUMIF(55:55,E10,56:56)-SUMIF(55:55,C10,56:56)+100</f>
        <v>102</v>
      </c>
      <c r="G10" s="383" t="s">
        <v>3124</v>
      </c>
      <c r="H10" s="132">
        <f>SUMIF(55:55,G10,56:56)-SUMIF(55:55,C10,56:56)+100</f>
        <v>102</v>
      </c>
      <c r="I10" s="382" t="s">
        <v>3124</v>
      </c>
      <c r="J10" s="132">
        <f>SUMIF(55:55,I10,56:56)-SUMIF(55:55,C10,56:56)+100</f>
        <v>102</v>
      </c>
      <c r="K10" s="569">
        <v>2</v>
      </c>
      <c r="L10" s="2950"/>
      <c r="M10" s="2951"/>
      <c r="N10" s="2951"/>
      <c r="O10" s="2951"/>
      <c r="P10" s="3268"/>
      <c r="Q10" s="1529" t="str">
        <f t="shared" si="6"/>
        <v>土地使用年限（年）</v>
      </c>
      <c r="R10" s="710" t="s">
        <v>17</v>
      </c>
      <c r="S10" s="711">
        <f t="shared" si="0"/>
        <v>102</v>
      </c>
      <c r="T10" s="710" t="s">
        <v>17</v>
      </c>
      <c r="U10" s="711">
        <f t="shared" si="1"/>
        <v>102</v>
      </c>
      <c r="V10" s="710" t="s">
        <v>17</v>
      </c>
      <c r="W10" s="711">
        <f t="shared" si="2"/>
        <v>102</v>
      </c>
      <c r="X10" s="712"/>
      <c r="Y10" s="3168"/>
      <c r="Z10" s="55" t="str">
        <f t="shared" si="7"/>
        <v>土地使用年限（年）</v>
      </c>
      <c r="AA10" s="713">
        <f t="shared" si="3"/>
        <v>0.98039215686274506</v>
      </c>
      <c r="AB10" s="713">
        <f t="shared" si="4"/>
        <v>0.98039215686274506</v>
      </c>
      <c r="AC10" s="713">
        <f t="shared" si="5"/>
        <v>0.98039215686274506</v>
      </c>
    </row>
    <row r="11" spans="1:29" ht="15" hidden="1">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68"/>
      <c r="Q11" s="1529">
        <f t="shared" si="6"/>
        <v>111</v>
      </c>
      <c r="R11" s="710" t="s">
        <v>17</v>
      </c>
      <c r="S11" s="711">
        <f t="shared" si="0"/>
        <v>100</v>
      </c>
      <c r="T11" s="710" t="s">
        <v>17</v>
      </c>
      <c r="U11" s="711">
        <f t="shared" si="1"/>
        <v>100</v>
      </c>
      <c r="V11" s="710" t="s">
        <v>17</v>
      </c>
      <c r="W11" s="711">
        <f t="shared" si="2"/>
        <v>100</v>
      </c>
      <c r="X11" s="712"/>
      <c r="Y11" s="3168"/>
      <c r="Z11" s="55">
        <f t="shared" si="7"/>
        <v>111</v>
      </c>
      <c r="AA11" s="713">
        <f t="shared" si="3"/>
        <v>1</v>
      </c>
      <c r="AB11" s="713">
        <f t="shared" si="4"/>
        <v>1</v>
      </c>
      <c r="AC11" s="713">
        <f t="shared" si="5"/>
        <v>1</v>
      </c>
    </row>
    <row r="12" spans="1:29" s="113" customFormat="1" ht="15" hidden="1">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68"/>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75" hidden="1"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68"/>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
      <c r="A14" s="361" t="s">
        <v>2381</v>
      </c>
      <c r="B14" s="585" t="s">
        <v>2531</v>
      </c>
      <c r="C14" s="2159">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v>3</v>
      </c>
      <c r="L14" s="2953"/>
      <c r="M14" s="2947"/>
      <c r="N14" s="2947"/>
      <c r="O14" s="2947"/>
      <c r="P14" s="3275" t="s">
        <v>2382</v>
      </c>
      <c r="Q14" s="1538" t="str">
        <f t="shared" si="6"/>
        <v>交通便捷度</v>
      </c>
      <c r="R14" s="714" t="s">
        <v>17</v>
      </c>
      <c r="S14" s="715">
        <f t="shared" si="0"/>
        <v>100</v>
      </c>
      <c r="T14" s="714" t="s">
        <v>17</v>
      </c>
      <c r="U14" s="715">
        <f t="shared" si="1"/>
        <v>100</v>
      </c>
      <c r="V14" s="714" t="s">
        <v>17</v>
      </c>
      <c r="W14" s="715">
        <f t="shared" si="2"/>
        <v>100</v>
      </c>
      <c r="X14" s="1541"/>
      <c r="Y14" s="3275" t="s">
        <v>2382</v>
      </c>
      <c r="Z14" s="1542" t="str">
        <f t="shared" si="7"/>
        <v>交通便捷度</v>
      </c>
      <c r="AA14" s="1539">
        <f t="shared" si="3"/>
        <v>1</v>
      </c>
      <c r="AB14" s="1539">
        <f t="shared" si="4"/>
        <v>1</v>
      </c>
      <c r="AC14" s="1539">
        <f t="shared" si="5"/>
        <v>1</v>
      </c>
    </row>
    <row r="15" spans="1:29" ht="15">
      <c r="A15" s="364"/>
      <c r="B15" s="603"/>
      <c r="C15" s="406" t="s">
        <v>3081</v>
      </c>
      <c r="D15" s="407"/>
      <c r="E15" s="406" t="s">
        <v>3081</v>
      </c>
      <c r="F15" s="408"/>
      <c r="G15" s="406" t="s">
        <v>3081</v>
      </c>
      <c r="H15" s="409"/>
      <c r="I15" s="406" t="s">
        <v>3081</v>
      </c>
      <c r="J15" s="407"/>
      <c r="K15" s="572"/>
      <c r="L15" s="2953"/>
      <c r="M15" s="2947"/>
      <c r="N15" s="2947"/>
      <c r="O15" s="2947"/>
      <c r="P15" s="3276"/>
      <c r="Q15" s="1538"/>
      <c r="R15" s="714"/>
      <c r="S15" s="715"/>
      <c r="T15" s="714"/>
      <c r="U15" s="715"/>
      <c r="V15" s="714"/>
      <c r="W15" s="715"/>
      <c r="X15" s="1541"/>
      <c r="Y15" s="3276"/>
      <c r="Z15" s="1542"/>
      <c r="AA15" s="1539">
        <v>1</v>
      </c>
      <c r="AB15" s="1539">
        <v>1</v>
      </c>
      <c r="AC15" s="1539">
        <v>1</v>
      </c>
    </row>
    <row r="16" spans="1:29" ht="15">
      <c r="A16" s="364"/>
      <c r="B16" s="587" t="s">
        <v>2510</v>
      </c>
      <c r="C16" s="2088">
        <f>IF(B1="工业",估价对象房地状况!G5,估价对象房地状况!C7)</f>
        <v>0</v>
      </c>
      <c r="D16" s="414">
        <v>100</v>
      </c>
      <c r="E16" s="416"/>
      <c r="F16" s="417">
        <f>SUMIF(65:65,E17,66:66)-SUMIF(65:65,C17,66:66)+100</f>
        <v>100</v>
      </c>
      <c r="G16" s="416"/>
      <c r="H16" s="414">
        <f>SUMIF(65:65,G17,66:66)-SUMIF(65:65,C17,66:66)+100</f>
        <v>100</v>
      </c>
      <c r="I16" s="416"/>
      <c r="J16" s="414">
        <f>SUMIF(65:65,I17,66:66)-SUMIF(65:65,C17,66:66)+100</f>
        <v>100</v>
      </c>
      <c r="K16" s="571">
        <v>3</v>
      </c>
      <c r="L16" s="2953"/>
      <c r="M16" s="2947"/>
      <c r="N16" s="2947"/>
      <c r="O16" s="2947"/>
      <c r="P16" s="3276"/>
      <c r="Q16" s="1538" t="str">
        <f>B16</f>
        <v>公共配套设施</v>
      </c>
      <c r="R16" s="714" t="s">
        <v>17</v>
      </c>
      <c r="S16" s="715">
        <f>F16</f>
        <v>100</v>
      </c>
      <c r="T16" s="714" t="s">
        <v>17</v>
      </c>
      <c r="U16" s="715">
        <f>H16</f>
        <v>100</v>
      </c>
      <c r="V16" s="714" t="s">
        <v>17</v>
      </c>
      <c r="W16" s="715">
        <f>J16</f>
        <v>100</v>
      </c>
      <c r="X16" s="1541"/>
      <c r="Y16" s="3276"/>
      <c r="Z16" s="1542" t="str">
        <f>Q16</f>
        <v>公共配套设施</v>
      </c>
      <c r="AA16" s="1539">
        <f t="shared" si="3"/>
        <v>1</v>
      </c>
      <c r="AB16" s="1539">
        <f t="shared" si="4"/>
        <v>1</v>
      </c>
      <c r="AC16" s="1539">
        <f t="shared" si="5"/>
        <v>1</v>
      </c>
    </row>
    <row r="17" spans="1:29" ht="15">
      <c r="A17" s="364"/>
      <c r="B17" s="588"/>
      <c r="C17" s="2089" t="s">
        <v>3081</v>
      </c>
      <c r="D17" s="407"/>
      <c r="E17" s="406" t="s">
        <v>3081</v>
      </c>
      <c r="F17" s="408"/>
      <c r="G17" s="406" t="s">
        <v>3081</v>
      </c>
      <c r="H17" s="407"/>
      <c r="I17" s="406" t="s">
        <v>3081</v>
      </c>
      <c r="J17" s="407"/>
      <c r="K17" s="572"/>
      <c r="L17" s="2953"/>
      <c r="M17" s="2947"/>
      <c r="N17" s="2947"/>
      <c r="O17" s="2947"/>
      <c r="P17" s="3276"/>
      <c r="Q17" s="1538"/>
      <c r="R17" s="714"/>
      <c r="S17" s="715"/>
      <c r="T17" s="714"/>
      <c r="U17" s="715"/>
      <c r="V17" s="714"/>
      <c r="W17" s="715"/>
      <c r="X17" s="1541"/>
      <c r="Y17" s="3276"/>
      <c r="Z17" s="1542"/>
      <c r="AA17" s="1539">
        <v>1</v>
      </c>
      <c r="AB17" s="1539">
        <v>1</v>
      </c>
      <c r="AC17" s="1539">
        <v>1</v>
      </c>
    </row>
    <row r="18" spans="1:29" ht="15">
      <c r="A18" s="364"/>
      <c r="B18" s="589" t="s">
        <v>2511</v>
      </c>
      <c r="C18" s="2088">
        <f>IF(B1="工业",估价对象房地状况!G6,估价对象房地状况!C8)</f>
        <v>0</v>
      </c>
      <c r="D18" s="409">
        <v>100</v>
      </c>
      <c r="E18" s="411"/>
      <c r="F18" s="417">
        <f>SUMIF(67:67,E19,68:68)-SUMIF(67:67,C19,68:68)+100</f>
        <v>100</v>
      </c>
      <c r="G18" s="411"/>
      <c r="H18" s="414">
        <f>SUMIF(67:67,G19,68:68)-SUMIF(67:67,C19,68:68)+100</f>
        <v>100</v>
      </c>
      <c r="I18" s="411"/>
      <c r="J18" s="414">
        <f>SUMIF(67:67,I19,68:68)-SUMIF(67:67,C19,68:68)+100</f>
        <v>100</v>
      </c>
      <c r="K18" s="571">
        <v>3</v>
      </c>
      <c r="L18" s="2953"/>
      <c r="M18" s="2947"/>
      <c r="N18" s="2947"/>
      <c r="O18" s="2947"/>
      <c r="P18" s="3276"/>
      <c r="Q18" s="1538" t="str">
        <f>B18</f>
        <v>基础设施水平</v>
      </c>
      <c r="R18" s="714" t="s">
        <v>17</v>
      </c>
      <c r="S18" s="715">
        <f>F18</f>
        <v>100</v>
      </c>
      <c r="T18" s="714" t="s">
        <v>17</v>
      </c>
      <c r="U18" s="715">
        <f>H18</f>
        <v>100</v>
      </c>
      <c r="V18" s="714" t="s">
        <v>17</v>
      </c>
      <c r="W18" s="715">
        <f>J18</f>
        <v>100</v>
      </c>
      <c r="X18" s="1541"/>
      <c r="Y18" s="3276"/>
      <c r="Z18" s="1542" t="str">
        <f>Q18</f>
        <v>基础设施水平</v>
      </c>
      <c r="AA18" s="1539">
        <f t="shared" ref="AA18" si="8">D18/F18</f>
        <v>1</v>
      </c>
      <c r="AB18" s="1539">
        <f t="shared" ref="AB18" si="9">D18/H18</f>
        <v>1</v>
      </c>
      <c r="AC18" s="1539">
        <f t="shared" ref="AC18" si="10">D18/J18</f>
        <v>1</v>
      </c>
    </row>
    <row r="19" spans="1:29" ht="15">
      <c r="A19" s="364"/>
      <c r="B19" s="589"/>
      <c r="C19" s="2089" t="s">
        <v>3082</v>
      </c>
      <c r="D19" s="409"/>
      <c r="E19" s="2089" t="s">
        <v>3082</v>
      </c>
      <c r="F19" s="412"/>
      <c r="G19" s="2089" t="s">
        <v>3082</v>
      </c>
      <c r="H19" s="407"/>
      <c r="I19" s="2089" t="s">
        <v>3082</v>
      </c>
      <c r="J19" s="407"/>
      <c r="K19" s="1292"/>
      <c r="L19" s="2953"/>
      <c r="M19" s="2947"/>
      <c r="N19" s="2947"/>
      <c r="O19" s="2947"/>
      <c r="P19" s="3276"/>
      <c r="Q19" s="1538"/>
      <c r="R19" s="714"/>
      <c r="S19" s="715"/>
      <c r="T19" s="714"/>
      <c r="U19" s="715"/>
      <c r="V19" s="714"/>
      <c r="W19" s="715"/>
      <c r="X19" s="1541"/>
      <c r="Y19" s="3276"/>
      <c r="Z19" s="1542"/>
      <c r="AA19" s="1539">
        <v>1</v>
      </c>
      <c r="AB19" s="1539">
        <v>1</v>
      </c>
      <c r="AC19" s="1539">
        <v>1</v>
      </c>
    </row>
    <row r="20" spans="1:29" ht="15">
      <c r="A20" s="364"/>
      <c r="B20" s="587" t="s">
        <v>2532</v>
      </c>
      <c r="C20" s="2088">
        <f>IF(B1="工业",估价对象房地状况!G7,估价对象房地状况!C9)</f>
        <v>0</v>
      </c>
      <c r="D20" s="414">
        <v>100</v>
      </c>
      <c r="E20" s="416"/>
      <c r="F20" s="417">
        <f>SUMIF(69:69,E21,70:70)-SUMIF(69:69,C21,70:70)+100</f>
        <v>100</v>
      </c>
      <c r="G20" s="416"/>
      <c r="H20" s="409">
        <f>SUMIF(69:69,G21,70:70)-SUMIF(69:69,C21,70:70)+100</f>
        <v>100</v>
      </c>
      <c r="I20" s="416"/>
      <c r="J20" s="409">
        <f>SUMIF(69:69,I21,70:70)-SUMIF(69:69,C21,70:70)+100</f>
        <v>100</v>
      </c>
      <c r="K20" s="571">
        <v>3</v>
      </c>
      <c r="L20" s="2953"/>
      <c r="M20" s="2947"/>
      <c r="N20" s="2947"/>
      <c r="O20" s="2947"/>
      <c r="P20" s="3276"/>
      <c r="Q20" s="1538" t="str">
        <f>B20</f>
        <v>自然及人文环境</v>
      </c>
      <c r="R20" s="714" t="s">
        <v>17</v>
      </c>
      <c r="S20" s="715">
        <f>F20</f>
        <v>100</v>
      </c>
      <c r="T20" s="714" t="s">
        <v>17</v>
      </c>
      <c r="U20" s="715">
        <f>H20</f>
        <v>100</v>
      </c>
      <c r="V20" s="714" t="s">
        <v>17</v>
      </c>
      <c r="W20" s="715">
        <f>J20</f>
        <v>100</v>
      </c>
      <c r="X20" s="1541"/>
      <c r="Y20" s="3276"/>
      <c r="Z20" s="1542" t="str">
        <f>Q20</f>
        <v>自然及人文环境</v>
      </c>
      <c r="AA20" s="1539">
        <f t="shared" si="3"/>
        <v>1</v>
      </c>
      <c r="AB20" s="1539">
        <f t="shared" si="4"/>
        <v>1</v>
      </c>
      <c r="AC20" s="1539">
        <f t="shared" si="5"/>
        <v>1</v>
      </c>
    </row>
    <row r="21" spans="1:29" ht="15.75" thickBot="1">
      <c r="A21" s="364"/>
      <c r="B21" s="588"/>
      <c r="C21" s="406" t="s">
        <v>3081</v>
      </c>
      <c r="D21" s="407"/>
      <c r="E21" s="406" t="s">
        <v>3081</v>
      </c>
      <c r="F21" s="408"/>
      <c r="G21" s="406" t="s">
        <v>3081</v>
      </c>
      <c r="H21" s="407"/>
      <c r="I21" s="406" t="s">
        <v>3081</v>
      </c>
      <c r="J21" s="407"/>
      <c r="K21" s="572"/>
      <c r="L21" s="2953"/>
      <c r="M21" s="2947"/>
      <c r="N21" s="2947"/>
      <c r="O21" s="2947"/>
      <c r="P21" s="3276"/>
      <c r="Q21" s="1538"/>
      <c r="R21" s="714"/>
      <c r="S21" s="715"/>
      <c r="T21" s="714"/>
      <c r="U21" s="715"/>
      <c r="V21" s="714"/>
      <c r="W21" s="715"/>
      <c r="X21" s="1541"/>
      <c r="Y21" s="3276"/>
      <c r="Z21" s="1542"/>
      <c r="AA21" s="1539">
        <v>1</v>
      </c>
      <c r="AB21" s="1539">
        <v>1</v>
      </c>
      <c r="AC21" s="1539">
        <v>1</v>
      </c>
    </row>
    <row r="22" spans="1:29" ht="15" hidden="1">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76"/>
      <c r="Q22" s="1538" t="str">
        <f>B22</f>
        <v>楼层</v>
      </c>
      <c r="R22" s="714" t="s">
        <v>17</v>
      </c>
      <c r="S22" s="715">
        <f>F22</f>
        <v>100</v>
      </c>
      <c r="T22" s="714" t="s">
        <v>17</v>
      </c>
      <c r="U22" s="715">
        <f>H22</f>
        <v>100</v>
      </c>
      <c r="V22" s="714" t="s">
        <v>17</v>
      </c>
      <c r="W22" s="715">
        <f>J22</f>
        <v>100</v>
      </c>
      <c r="X22" s="1541"/>
      <c r="Y22" s="3276"/>
      <c r="Z22" s="1542" t="str">
        <f>Q22</f>
        <v>楼层</v>
      </c>
      <c r="AA22" s="1539">
        <f t="shared" si="3"/>
        <v>1</v>
      </c>
      <c r="AB22" s="1539">
        <f t="shared" si="4"/>
        <v>1</v>
      </c>
      <c r="AC22" s="1539">
        <f t="shared" si="5"/>
        <v>1</v>
      </c>
    </row>
    <row r="23" spans="1:29" ht="15" hidden="1">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76"/>
      <c r="Q23" s="1538">
        <f>B23</f>
        <v>111</v>
      </c>
      <c r="R23" s="714" t="s">
        <v>17</v>
      </c>
      <c r="S23" s="715">
        <f>F23</f>
        <v>100</v>
      </c>
      <c r="T23" s="714" t="s">
        <v>17</v>
      </c>
      <c r="U23" s="715">
        <f>H23</f>
        <v>100</v>
      </c>
      <c r="V23" s="714" t="s">
        <v>17</v>
      </c>
      <c r="W23" s="715">
        <f>J23</f>
        <v>100</v>
      </c>
      <c r="X23" s="1541"/>
      <c r="Y23" s="3276"/>
      <c r="Z23" s="1542">
        <f>Q23</f>
        <v>111</v>
      </c>
      <c r="AA23" s="1539">
        <f t="shared" si="3"/>
        <v>1</v>
      </c>
      <c r="AB23" s="1539">
        <f t="shared" si="4"/>
        <v>1</v>
      </c>
      <c r="AC23" s="1539">
        <f t="shared" si="5"/>
        <v>1</v>
      </c>
    </row>
    <row r="24" spans="1:29" ht="15" hidden="1">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76"/>
      <c r="Q24" s="1538">
        <f t="shared" ref="Q24:Q36" si="11">B24</f>
        <v>111</v>
      </c>
      <c r="R24" s="714" t="s">
        <v>17</v>
      </c>
      <c r="S24" s="715">
        <f>F24</f>
        <v>100</v>
      </c>
      <c r="T24" s="714" t="s">
        <v>17</v>
      </c>
      <c r="U24" s="715">
        <f>H24</f>
        <v>100</v>
      </c>
      <c r="V24" s="714" t="s">
        <v>17</v>
      </c>
      <c r="W24" s="715">
        <f>J24</f>
        <v>100</v>
      </c>
      <c r="X24" s="1541"/>
      <c r="Y24" s="3276"/>
      <c r="Z24" s="1542">
        <f>Q24</f>
        <v>111</v>
      </c>
      <c r="AA24" s="1539">
        <f t="shared" si="3"/>
        <v>1</v>
      </c>
      <c r="AB24" s="1539">
        <f t="shared" si="4"/>
        <v>1</v>
      </c>
      <c r="AC24" s="1539">
        <f t="shared" si="5"/>
        <v>1</v>
      </c>
    </row>
    <row r="25" spans="1:29" s="113" customFormat="1" ht="15.75" hidden="1"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76"/>
      <c r="Q25" s="1529">
        <f t="shared" si="11"/>
        <v>111</v>
      </c>
      <c r="R25" s="710" t="s">
        <v>17</v>
      </c>
      <c r="S25" s="711">
        <f>F25</f>
        <v>100</v>
      </c>
      <c r="T25" s="710" t="s">
        <v>17</v>
      </c>
      <c r="U25" s="711">
        <f>H25</f>
        <v>100</v>
      </c>
      <c r="V25" s="710" t="s">
        <v>17</v>
      </c>
      <c r="W25" s="711">
        <f>J25</f>
        <v>100</v>
      </c>
      <c r="X25" s="712"/>
      <c r="Y25" s="3276"/>
      <c r="Z25" s="55">
        <f>Q25</f>
        <v>111</v>
      </c>
      <c r="AA25" s="1539">
        <f>D25/F25</f>
        <v>1</v>
      </c>
      <c r="AB25" s="1539">
        <f>D25/H25</f>
        <v>1</v>
      </c>
      <c r="AC25" s="1539">
        <f>D25/J25</f>
        <v>1</v>
      </c>
    </row>
    <row r="26" spans="1:29" ht="28.5">
      <c r="A26" s="608" t="s">
        <v>2385</v>
      </c>
      <c r="B26" s="66" t="s">
        <v>2534</v>
      </c>
      <c r="C26" s="2160" t="str">
        <f>B1</f>
        <v>办公</v>
      </c>
      <c r="D26" s="407">
        <v>100</v>
      </c>
      <c r="E26" s="406" t="s">
        <v>3128</v>
      </c>
      <c r="F26" s="408">
        <f>SUMIF(79:79,E26,80:80)-SUMIF(79:79,C26,80:80)+100</f>
        <v>120</v>
      </c>
      <c r="G26" s="406" t="s">
        <v>3128</v>
      </c>
      <c r="H26" s="407">
        <f>SUMIF(79:79,G26,80:80)-SUMIF(79:79,C26,80:80)+100</f>
        <v>120</v>
      </c>
      <c r="I26" s="406" t="s">
        <v>3128</v>
      </c>
      <c r="J26" s="407">
        <f>SUMIF(79:79,I26,80:80)-SUMIF(79:79,C26,80:80)+100</f>
        <v>120</v>
      </c>
      <c r="K26" s="569">
        <v>-20</v>
      </c>
      <c r="L26" s="2953"/>
      <c r="M26" s="2947"/>
      <c r="N26" s="2947"/>
      <c r="O26" s="2947"/>
      <c r="P26" s="3353" t="s">
        <v>2387</v>
      </c>
      <c r="Q26" s="1538" t="str">
        <f t="shared" si="11"/>
        <v>配套类型</v>
      </c>
      <c r="R26" s="714" t="s">
        <v>17</v>
      </c>
      <c r="S26" s="715">
        <f t="shared" ref="S26:S36" si="12">F26</f>
        <v>120</v>
      </c>
      <c r="T26" s="714" t="s">
        <v>17</v>
      </c>
      <c r="U26" s="715">
        <f t="shared" ref="U26:U36" si="13">H26</f>
        <v>120</v>
      </c>
      <c r="V26" s="714" t="s">
        <v>17</v>
      </c>
      <c r="W26" s="715">
        <f t="shared" ref="W26:W36" si="14">J26</f>
        <v>120</v>
      </c>
      <c r="X26" s="1541"/>
      <c r="Y26" s="3280" t="s">
        <v>2387</v>
      </c>
      <c r="Z26" s="1542" t="str">
        <f t="shared" ref="Z26:Z36" si="15">Q26</f>
        <v>配套类型</v>
      </c>
      <c r="AA26" s="1539">
        <f t="shared" si="3"/>
        <v>0.83333333333333337</v>
      </c>
      <c r="AB26" s="1539">
        <f t="shared" si="4"/>
        <v>0.83333333333333337</v>
      </c>
      <c r="AC26" s="1539">
        <f t="shared" si="5"/>
        <v>0.83333333333333337</v>
      </c>
    </row>
    <row r="27" spans="1:29" s="430" customFormat="1" ht="15" hidden="1">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80"/>
      <c r="Q27" s="716" t="str">
        <f t="shared" si="11"/>
        <v>项目停车位配比</v>
      </c>
      <c r="R27" s="717" t="s">
        <v>17</v>
      </c>
      <c r="S27" s="718">
        <f t="shared" si="12"/>
        <v>100</v>
      </c>
      <c r="T27" s="717" t="s">
        <v>17</v>
      </c>
      <c r="U27" s="718">
        <f t="shared" si="13"/>
        <v>100</v>
      </c>
      <c r="V27" s="717" t="s">
        <v>17</v>
      </c>
      <c r="W27" s="718">
        <f t="shared" si="14"/>
        <v>100</v>
      </c>
      <c r="X27" s="719"/>
      <c r="Y27" s="3280"/>
      <c r="Z27" s="720" t="str">
        <f t="shared" si="15"/>
        <v>项目停车位配比</v>
      </c>
      <c r="AA27" s="1539">
        <f t="shared" si="3"/>
        <v>1</v>
      </c>
      <c r="AB27" s="1539">
        <f t="shared" si="4"/>
        <v>1</v>
      </c>
      <c r="AC27" s="1539">
        <f t="shared" si="5"/>
        <v>1</v>
      </c>
    </row>
    <row r="28" spans="1:29" ht="15">
      <c r="A28" s="612"/>
      <c r="B28" s="610" t="s">
        <v>2536</v>
      </c>
      <c r="C28" s="3068" t="s">
        <v>3121</v>
      </c>
      <c r="D28" s="394">
        <v>100</v>
      </c>
      <c r="E28" s="419" t="s">
        <v>3120</v>
      </c>
      <c r="F28" s="420">
        <f>SUMIF(83:83,E28,84:84)-SUMIF(83:83,C28,84:84)+100</f>
        <v>100</v>
      </c>
      <c r="G28" s="419" t="s">
        <v>3120</v>
      </c>
      <c r="H28" s="394">
        <f>SUMIF(83:83,G28,84:84)-SUMIF(83:83,C28,84:84)+100</f>
        <v>100</v>
      </c>
      <c r="I28" s="419" t="s">
        <v>3120</v>
      </c>
      <c r="J28" s="394">
        <f>SUMIF(83:83,I28,84:84)-SUMIF(83:83,C28,84:84)+100</f>
        <v>100</v>
      </c>
      <c r="K28" s="569">
        <v>3</v>
      </c>
      <c r="L28" s="2953"/>
      <c r="M28" s="2947"/>
      <c r="N28" s="2947"/>
      <c r="O28" s="2947"/>
      <c r="P28" s="3280"/>
      <c r="Q28" s="1538" t="str">
        <f t="shared" si="11"/>
        <v>公共部分装修</v>
      </c>
      <c r="R28" s="714" t="s">
        <v>17</v>
      </c>
      <c r="S28" s="715">
        <f t="shared" si="12"/>
        <v>100</v>
      </c>
      <c r="T28" s="714" t="s">
        <v>17</v>
      </c>
      <c r="U28" s="715">
        <f t="shared" si="13"/>
        <v>100</v>
      </c>
      <c r="V28" s="714" t="s">
        <v>17</v>
      </c>
      <c r="W28" s="715">
        <f t="shared" si="14"/>
        <v>100</v>
      </c>
      <c r="X28" s="1541"/>
      <c r="Y28" s="3280"/>
      <c r="Z28" s="1542" t="str">
        <f t="shared" si="15"/>
        <v>公共部分装修</v>
      </c>
      <c r="AA28" s="1539">
        <f t="shared" si="3"/>
        <v>1</v>
      </c>
      <c r="AB28" s="1539">
        <f t="shared" si="4"/>
        <v>1</v>
      </c>
      <c r="AC28" s="1539">
        <f t="shared" si="5"/>
        <v>1</v>
      </c>
    </row>
    <row r="29" spans="1:29" ht="15">
      <c r="A29" s="612"/>
      <c r="B29" s="610" t="s">
        <v>2537</v>
      </c>
      <c r="C29" s="3072">
        <f>'数据-取费表'!N6</f>
        <v>0.72</v>
      </c>
      <c r="D29" s="394">
        <v>100</v>
      </c>
      <c r="E29" s="433">
        <v>0.9</v>
      </c>
      <c r="F29" s="420">
        <f>LOOKUP(E29,86:86,87:87)-LOOKUP(C29,86:86,87:87)+100</f>
        <v>102</v>
      </c>
      <c r="G29" s="433">
        <v>0.9</v>
      </c>
      <c r="H29" s="420">
        <f>LOOKUP(G29,86:86,87:87)-LOOKUP(C29,86:86,87:87)+100</f>
        <v>102</v>
      </c>
      <c r="I29" s="433">
        <v>0.9</v>
      </c>
      <c r="J29" s="394">
        <f>LOOKUP(I29,86:86,87:87)-LOOKUP(C29,86:86,87:87)+100</f>
        <v>102</v>
      </c>
      <c r="K29" s="569">
        <v>1</v>
      </c>
      <c r="L29" s="2953"/>
      <c r="M29" s="2947"/>
      <c r="N29" s="2947"/>
      <c r="O29" s="2947"/>
      <c r="P29" s="3280"/>
      <c r="Q29" s="1538" t="str">
        <f t="shared" si="11"/>
        <v>成新率</v>
      </c>
      <c r="R29" s="714" t="s">
        <v>17</v>
      </c>
      <c r="S29" s="715">
        <f t="shared" si="12"/>
        <v>102</v>
      </c>
      <c r="T29" s="714" t="s">
        <v>17</v>
      </c>
      <c r="U29" s="715">
        <f t="shared" si="13"/>
        <v>102</v>
      </c>
      <c r="V29" s="714" t="s">
        <v>17</v>
      </c>
      <c r="W29" s="715">
        <f t="shared" si="14"/>
        <v>102</v>
      </c>
      <c r="X29" s="1541"/>
      <c r="Y29" s="3280"/>
      <c r="Z29" s="1542" t="str">
        <f t="shared" si="15"/>
        <v>成新率</v>
      </c>
      <c r="AA29" s="1539">
        <f t="shared" si="3"/>
        <v>0.98039215686274506</v>
      </c>
      <c r="AB29" s="1539">
        <f t="shared" si="4"/>
        <v>0.98039215686274506</v>
      </c>
      <c r="AC29" s="1539">
        <f t="shared" si="5"/>
        <v>0.98039215686274506</v>
      </c>
    </row>
    <row r="30" spans="1:29" ht="15">
      <c r="A30" s="612"/>
      <c r="B30" s="610" t="s">
        <v>2538</v>
      </c>
      <c r="C30" s="3073" t="s">
        <v>3123</v>
      </c>
      <c r="D30" s="394">
        <v>100</v>
      </c>
      <c r="E30" s="613" t="s">
        <v>3122</v>
      </c>
      <c r="F30" s="420">
        <f>SUMIF(88:88,E30,89:89)-SUMIF(88:88,C30,89:89)+100</f>
        <v>100</v>
      </c>
      <c r="G30" s="613" t="s">
        <v>3122</v>
      </c>
      <c r="H30" s="394">
        <f>SUMIF(88:88,E30,89:89)-SUMIF(88:88,C30,89:89)+100</f>
        <v>100</v>
      </c>
      <c r="I30" s="613" t="s">
        <v>3122</v>
      </c>
      <c r="J30" s="394">
        <f>SUMIF(88:88,E30,89:89)-SUMIF(88:88,C30,89:89)+100</f>
        <v>100</v>
      </c>
      <c r="K30" s="569">
        <v>2</v>
      </c>
      <c r="L30" s="2953"/>
      <c r="M30" s="2947"/>
      <c r="N30" s="2947"/>
      <c r="O30" s="2947"/>
      <c r="P30" s="3280"/>
      <c r="Q30" s="1538" t="str">
        <f t="shared" si="11"/>
        <v>物业等级</v>
      </c>
      <c r="R30" s="714" t="s">
        <v>17</v>
      </c>
      <c r="S30" s="715">
        <f t="shared" si="12"/>
        <v>100</v>
      </c>
      <c r="T30" s="714" t="s">
        <v>17</v>
      </c>
      <c r="U30" s="715">
        <f t="shared" si="13"/>
        <v>100</v>
      </c>
      <c r="V30" s="714" t="s">
        <v>17</v>
      </c>
      <c r="W30" s="715">
        <f t="shared" si="14"/>
        <v>100</v>
      </c>
      <c r="X30" s="1541"/>
      <c r="Y30" s="3280"/>
      <c r="Z30" s="1542" t="str">
        <f t="shared" si="15"/>
        <v>物业等级</v>
      </c>
      <c r="AA30" s="1539">
        <f t="shared" si="3"/>
        <v>1</v>
      </c>
      <c r="AB30" s="1539">
        <f t="shared" si="4"/>
        <v>1</v>
      </c>
      <c r="AC30" s="1539">
        <f t="shared" si="5"/>
        <v>1</v>
      </c>
    </row>
    <row r="31" spans="1:29" s="113" customFormat="1" ht="15">
      <c r="A31" s="614"/>
      <c r="B31" s="610" t="s">
        <v>2539</v>
      </c>
      <c r="C31" s="428">
        <v>40</v>
      </c>
      <c r="D31" s="132">
        <v>100</v>
      </c>
      <c r="E31" s="428">
        <v>37</v>
      </c>
      <c r="F31" s="420">
        <f>LOOKUP(E31,91:91,92:92)-LOOKUP(C31,91:91,92:92)+100</f>
        <v>99</v>
      </c>
      <c r="G31" s="428">
        <v>33</v>
      </c>
      <c r="H31" s="394">
        <f>LOOKUP(G31,91:91,92:92)-LOOKUP(C31,91:91,92:92)+100</f>
        <v>99</v>
      </c>
      <c r="I31" s="428">
        <v>46</v>
      </c>
      <c r="J31" s="394">
        <f>LOOKUP(I31,91:91,92:92)-LOOKUP(C31,91:91,92:92)+100</f>
        <v>100</v>
      </c>
      <c r="K31" s="569">
        <v>1</v>
      </c>
      <c r="L31" s="2948"/>
      <c r="M31" s="2949"/>
      <c r="N31" s="2949"/>
      <c r="O31" s="2949"/>
      <c r="P31" s="3280"/>
      <c r="Q31" s="1529" t="str">
        <f t="shared" si="11"/>
        <v>停车位面积</v>
      </c>
      <c r="R31" s="710" t="s">
        <v>17</v>
      </c>
      <c r="S31" s="711">
        <f t="shared" si="12"/>
        <v>99</v>
      </c>
      <c r="T31" s="710" t="s">
        <v>17</v>
      </c>
      <c r="U31" s="711">
        <f t="shared" si="13"/>
        <v>99</v>
      </c>
      <c r="V31" s="710" t="s">
        <v>17</v>
      </c>
      <c r="W31" s="711">
        <f t="shared" si="14"/>
        <v>100</v>
      </c>
      <c r="X31" s="712"/>
      <c r="Y31" s="3280"/>
      <c r="Z31" s="55" t="str">
        <f t="shared" si="15"/>
        <v>停车位面积</v>
      </c>
      <c r="AA31" s="713">
        <f t="shared" si="3"/>
        <v>1.0101010101010102</v>
      </c>
      <c r="AB31" s="713">
        <f t="shared" si="4"/>
        <v>1.0101010101010102</v>
      </c>
      <c r="AC31" s="713">
        <f t="shared" si="5"/>
        <v>1</v>
      </c>
    </row>
    <row r="32" spans="1:29" ht="15.75" thickBot="1">
      <c r="A32" s="612"/>
      <c r="B32" s="610" t="s">
        <v>2540</v>
      </c>
      <c r="C32" s="3068" t="s">
        <v>3119</v>
      </c>
      <c r="D32" s="394">
        <v>100</v>
      </c>
      <c r="E32" s="419" t="s">
        <v>3118</v>
      </c>
      <c r="F32" s="420">
        <f>SUMIF(93:93,E32,94:94)-SUMIF(93:93,C32,94:94)+100</f>
        <v>100</v>
      </c>
      <c r="G32" s="419" t="s">
        <v>3118</v>
      </c>
      <c r="H32" s="394">
        <f>SUMIF(93:93,G32,94:94)-SUMIF(93:93,C32,94:94)+100</f>
        <v>100</v>
      </c>
      <c r="I32" s="419" t="s">
        <v>3118</v>
      </c>
      <c r="J32" s="394">
        <f>SUMIF(93:93,I32,94:94)-SUMIF(93:93,C32,94:94)+100</f>
        <v>100</v>
      </c>
      <c r="K32" s="569">
        <v>1</v>
      </c>
      <c r="L32" s="2953"/>
      <c r="M32" s="2947"/>
      <c r="N32" s="2947"/>
      <c r="O32" s="2947"/>
      <c r="P32" s="3280" t="s">
        <v>2387</v>
      </c>
      <c r="Q32" s="1538" t="str">
        <f t="shared" si="11"/>
        <v>车位类型</v>
      </c>
      <c r="R32" s="714" t="s">
        <v>17</v>
      </c>
      <c r="S32" s="715">
        <f t="shared" si="12"/>
        <v>100</v>
      </c>
      <c r="T32" s="714" t="s">
        <v>17</v>
      </c>
      <c r="U32" s="715">
        <f t="shared" si="13"/>
        <v>100</v>
      </c>
      <c r="V32" s="714" t="s">
        <v>17</v>
      </c>
      <c r="W32" s="715">
        <f t="shared" si="14"/>
        <v>100</v>
      </c>
      <c r="X32" s="1541"/>
      <c r="Y32" s="3280" t="s">
        <v>2387</v>
      </c>
      <c r="Z32" s="1542" t="str">
        <f t="shared" si="15"/>
        <v>车位类型</v>
      </c>
      <c r="AA32" s="1539">
        <f t="shared" si="3"/>
        <v>1</v>
      </c>
      <c r="AB32" s="1539">
        <f t="shared" si="4"/>
        <v>1</v>
      </c>
      <c r="AC32" s="1539">
        <f t="shared" si="5"/>
        <v>1</v>
      </c>
    </row>
    <row r="33" spans="1:29" ht="15.75" hidden="1" thickBot="1">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80"/>
      <c r="Q33" s="1538" t="str">
        <f t="shared" si="11"/>
        <v>是否直接入户</v>
      </c>
      <c r="R33" s="714" t="s">
        <v>17</v>
      </c>
      <c r="S33" s="715">
        <f t="shared" si="12"/>
        <v>100</v>
      </c>
      <c r="T33" s="714" t="s">
        <v>17</v>
      </c>
      <c r="U33" s="715">
        <f t="shared" si="13"/>
        <v>100</v>
      </c>
      <c r="V33" s="714" t="s">
        <v>17</v>
      </c>
      <c r="W33" s="715">
        <f t="shared" si="14"/>
        <v>100</v>
      </c>
      <c r="X33" s="1541"/>
      <c r="Y33" s="3280"/>
      <c r="Z33" s="1542" t="str">
        <f t="shared" si="15"/>
        <v>是否直接入户</v>
      </c>
      <c r="AA33" s="1539">
        <f t="shared" si="3"/>
        <v>1</v>
      </c>
      <c r="AB33" s="1539">
        <f t="shared" si="4"/>
        <v>1</v>
      </c>
      <c r="AC33" s="1539">
        <f t="shared" si="5"/>
        <v>1</v>
      </c>
    </row>
    <row r="34" spans="1:29" ht="15" hidden="1">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80"/>
      <c r="Q34" s="1538">
        <f t="shared" si="11"/>
        <v>111</v>
      </c>
      <c r="R34" s="714" t="s">
        <v>17</v>
      </c>
      <c r="S34" s="715">
        <f t="shared" si="12"/>
        <v>100</v>
      </c>
      <c r="T34" s="714" t="s">
        <v>17</v>
      </c>
      <c r="U34" s="715">
        <f t="shared" si="13"/>
        <v>100</v>
      </c>
      <c r="V34" s="714" t="s">
        <v>17</v>
      </c>
      <c r="W34" s="715">
        <f t="shared" si="14"/>
        <v>100</v>
      </c>
      <c r="X34" s="1541"/>
      <c r="Y34" s="3280"/>
      <c r="Z34" s="1542">
        <f t="shared" si="15"/>
        <v>111</v>
      </c>
      <c r="AA34" s="1539">
        <f t="shared" si="3"/>
        <v>1</v>
      </c>
      <c r="AB34" s="1539">
        <f t="shared" si="4"/>
        <v>1</v>
      </c>
      <c r="AC34" s="1539">
        <f t="shared" si="5"/>
        <v>1</v>
      </c>
    </row>
    <row r="35" spans="1:29" s="430" customFormat="1" ht="15" hidden="1">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80"/>
      <c r="Q35" s="716">
        <f t="shared" si="11"/>
        <v>111</v>
      </c>
      <c r="R35" s="717" t="s">
        <v>17</v>
      </c>
      <c r="S35" s="718">
        <f t="shared" si="12"/>
        <v>100</v>
      </c>
      <c r="T35" s="717" t="s">
        <v>17</v>
      </c>
      <c r="U35" s="718">
        <f t="shared" si="13"/>
        <v>100</v>
      </c>
      <c r="V35" s="717" t="s">
        <v>17</v>
      </c>
      <c r="W35" s="718">
        <f t="shared" si="14"/>
        <v>100</v>
      </c>
      <c r="X35" s="719"/>
      <c r="Y35" s="3280"/>
      <c r="Z35" s="720">
        <f t="shared" si="15"/>
        <v>111</v>
      </c>
      <c r="AA35" s="1539">
        <f t="shared" si="3"/>
        <v>1</v>
      </c>
      <c r="AB35" s="1539">
        <f t="shared" si="4"/>
        <v>1</v>
      </c>
      <c r="AC35" s="1539">
        <f t="shared" si="5"/>
        <v>1</v>
      </c>
    </row>
    <row r="36" spans="1:29" ht="15.75" hidden="1"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80"/>
      <c r="Q36" s="1538">
        <f t="shared" si="11"/>
        <v>111</v>
      </c>
      <c r="R36" s="714" t="s">
        <v>17</v>
      </c>
      <c r="S36" s="715">
        <f t="shared" si="12"/>
        <v>100</v>
      </c>
      <c r="T36" s="714" t="s">
        <v>17</v>
      </c>
      <c r="U36" s="715">
        <f t="shared" si="13"/>
        <v>100</v>
      </c>
      <c r="V36" s="714" t="s">
        <v>17</v>
      </c>
      <c r="W36" s="715">
        <f t="shared" si="14"/>
        <v>100</v>
      </c>
      <c r="X36" s="1541"/>
      <c r="Y36" s="3280"/>
      <c r="Z36" s="1542">
        <f t="shared" si="15"/>
        <v>111</v>
      </c>
      <c r="AA36" s="1539">
        <f t="shared" si="3"/>
        <v>1</v>
      </c>
      <c r="AB36" s="1539">
        <f t="shared" si="4"/>
        <v>1</v>
      </c>
      <c r="AC36" s="1539">
        <f t="shared" si="5"/>
        <v>1</v>
      </c>
    </row>
    <row r="37" spans="1:29" ht="15">
      <c r="A37" s="438" t="s">
        <v>2542</v>
      </c>
      <c r="B37" s="2161" t="s">
        <v>2543</v>
      </c>
      <c r="C37" s="1316" t="s">
        <v>1</v>
      </c>
      <c r="D37" s="1317"/>
      <c r="E37" s="1318">
        <v>550000</v>
      </c>
      <c r="F37" s="1319"/>
      <c r="G37" s="1320">
        <v>510000</v>
      </c>
      <c r="H37" s="1321"/>
      <c r="I37" s="1318">
        <v>550000</v>
      </c>
      <c r="J37" s="1321"/>
      <c r="K37" s="576"/>
      <c r="L37" s="2955"/>
      <c r="M37" s="2956"/>
      <c r="N37" s="2947"/>
      <c r="O37" s="2956"/>
      <c r="P37" s="3268" t="str">
        <f>A37</f>
        <v>成交单价</v>
      </c>
      <c r="Q37" s="3268"/>
      <c r="R37" s="3269">
        <f>E37</f>
        <v>550000</v>
      </c>
      <c r="S37" s="3269"/>
      <c r="T37" s="3269">
        <f>G37</f>
        <v>510000</v>
      </c>
      <c r="U37" s="3269"/>
      <c r="V37" s="3269">
        <f>I37</f>
        <v>550000</v>
      </c>
      <c r="W37" s="3269"/>
      <c r="X37" s="699"/>
      <c r="Y37" s="721"/>
      <c r="Z37" s="699"/>
      <c r="AA37" s="699"/>
      <c r="AB37" s="699"/>
      <c r="AC37" s="699"/>
    </row>
    <row r="38" spans="1:29" ht="15.75" thickBot="1">
      <c r="A38" s="445" t="s">
        <v>2544</v>
      </c>
      <c r="B38" s="446" t="str">
        <f>B37</f>
        <v>元/车位</v>
      </c>
      <c r="C38" s="1322">
        <f>R39</f>
        <v>432715</v>
      </c>
      <c r="D38" s="2540" t="s">
        <v>2880</v>
      </c>
      <c r="E38" s="1323">
        <f>R38</f>
        <v>444986</v>
      </c>
      <c r="F38" s="2541"/>
      <c r="G38" s="1322">
        <f>T38</f>
        <v>412623</v>
      </c>
      <c r="H38" s="2541"/>
      <c r="I38" s="1323">
        <f>V38</f>
        <v>440536</v>
      </c>
      <c r="J38" s="2541"/>
      <c r="K38" s="2543">
        <f>F38+H38+J38</f>
        <v>0</v>
      </c>
      <c r="L38" s="2955"/>
      <c r="M38" s="2956"/>
      <c r="N38" s="2956"/>
      <c r="O38" s="2956"/>
      <c r="P38" s="3268" t="str">
        <f>A38</f>
        <v>比较价值（元/平方米）</v>
      </c>
      <c r="Q38" s="3268"/>
      <c r="R38" s="3269">
        <f>IF(F1="售价",ROUND(PRODUCT(R37,AA7:AA36),0),ROUND(PRODUCT(R37,AA7:AA36),1))</f>
        <v>444986</v>
      </c>
      <c r="S38" s="3269"/>
      <c r="T38" s="3269">
        <f>IF(F1="售价",ROUND(PRODUCT(T37,AB7:AB36),0),ROUND(PRODUCT(T37,AB7:AB36),1))</f>
        <v>412623</v>
      </c>
      <c r="U38" s="3269"/>
      <c r="V38" s="3269">
        <f>IF(F1="售价",ROUND(PRODUCT(V37,AC7:AC36),0),ROUND(PRODUCT(V37,AC7:AC36),1))</f>
        <v>440536</v>
      </c>
      <c r="W38" s="3269"/>
      <c r="X38" s="699"/>
      <c r="Y38" s="699"/>
      <c r="Z38" s="699"/>
      <c r="AA38" s="699"/>
      <c r="AB38" s="699"/>
      <c r="AC38" s="699"/>
    </row>
    <row r="39" spans="1:29" ht="15.75" thickBot="1">
      <c r="A39" s="449" t="s">
        <v>2545</v>
      </c>
      <c r="B39" s="450"/>
      <c r="C39" s="1325">
        <f>R39</f>
        <v>432715</v>
      </c>
      <c r="D39" s="1325"/>
      <c r="E39" s="1325"/>
      <c r="F39" s="1325"/>
      <c r="G39" s="1325"/>
      <c r="H39" s="1325"/>
      <c r="I39" s="1325"/>
      <c r="J39" s="1325"/>
      <c r="K39" s="577"/>
      <c r="L39" s="2955"/>
      <c r="M39" s="2956"/>
      <c r="N39" s="2956"/>
      <c r="O39" s="2956"/>
      <c r="P39" s="3350" t="str">
        <f>A39</f>
        <v>估价对象XX用房的比较价值（楼面单价，元/平方米）</v>
      </c>
      <c r="Q39" s="3351"/>
      <c r="R39" s="3352">
        <f>IF(F1="售价",ROUND(IF(D38="简单平均",AVERAGE(R38:W38),R38*F38+T38*H38+V38*J38),0),ROUND(IF(D38="简单平均",AVERAGE(R38:V38),R38*F38+T38*H38+V38*J38),1))</f>
        <v>432715</v>
      </c>
      <c r="S39" s="3352"/>
      <c r="T39" s="3352"/>
      <c r="U39" s="3352"/>
      <c r="V39" s="3352"/>
      <c r="W39" s="3352"/>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f>IF(E37&lt;E38,E38/E37-1,E37/E38-1)</f>
        <v>0.23599394138242547</v>
      </c>
      <c r="F42" s="457" t="str">
        <f>IF(OR(E42&gt;=0.3,E42&lt;=-0.3),"超过30%","")</f>
        <v/>
      </c>
      <c r="G42" s="456">
        <f>IF(G37&lt;G38,G38/G37-1,G37/G38-1)</f>
        <v>0.23599508510189682</v>
      </c>
      <c r="H42" s="457" t="str">
        <f>IF(OR(G42&gt;=0.3,G42&lt;=-0.3),"超过30%","")</f>
        <v/>
      </c>
      <c r="I42" s="456">
        <f>IF(I37&lt;I38,I38/I37-1,I37/I38-1)</f>
        <v>0.24847912542902284</v>
      </c>
      <c r="J42" s="457" t="str">
        <f>IF(OR(I42&gt;=0.3,I42&lt;=-0.3),"超过30%","")</f>
        <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f>IF(E38&lt;G38,G38/E38-1,E38/G38-1)</f>
        <v>7.8432370468926926E-2</v>
      </c>
      <c r="F43" s="457" t="str">
        <f>IF(OR(E43&gt;=0.2,E43&lt;=-0.2),"超过20%","")</f>
        <v/>
      </c>
      <c r="G43" s="456">
        <f>IF(G38&lt;I38,I38/G38-1,G38/I38-1)</f>
        <v>6.7647707471469198E-2</v>
      </c>
      <c r="H43" s="457" t="str">
        <f>IF(OR(G43&gt;=0.2,G43&lt;=-0.2),"超过20%","")</f>
        <v/>
      </c>
      <c r="I43" s="456">
        <f>IF(I38&lt;E38,E38/I38-1,I38/E38-1)</f>
        <v>1.0101331105743849E-2</v>
      </c>
      <c r="J43" s="457" t="str">
        <f>IF(OR(I43&gt;=0.2,I43&lt;=-0.2),"超过20%","")</f>
        <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f>IF(E37&lt;G37,G37/E37-1,E37/G37-1)</f>
        <v>7.8431372549019551E-2</v>
      </c>
      <c r="F44" s="457" t="str">
        <f>IF(OR(E44&gt;=0.3,E44&lt;=-0.3),"超过30%","")</f>
        <v/>
      </c>
      <c r="G44" s="456">
        <f>IF(G37&lt;I37,I37/G37-1,G37/I37-1)</f>
        <v>7.8431372549019551E-2</v>
      </c>
      <c r="H44" s="457" t="str">
        <f>IF(OR(G44&gt;=0.3,G44&lt;=-0.3),"超过30%","")</f>
        <v/>
      </c>
      <c r="I44" s="456">
        <f>IF(I37&lt;E37,E37/I37-1,I37/E37-1)</f>
        <v>0</v>
      </c>
      <c r="J44" s="457" t="str">
        <f>IF(OR(I44&gt;=0.3,I44&lt;=-0.3),"超过30%","")</f>
        <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2021-2</v>
      </c>
      <c r="D48" s="1347">
        <f>EDATE(C48,-1)</f>
        <v>44197</v>
      </c>
      <c r="E48" s="1347">
        <f t="shared" ref="E48:O48" si="16">EDATE(D48,-1)</f>
        <v>44166</v>
      </c>
      <c r="F48" s="1347">
        <f t="shared" si="16"/>
        <v>44136</v>
      </c>
      <c r="G48" s="1347">
        <f t="shared" si="16"/>
        <v>44105</v>
      </c>
      <c r="H48" s="1347">
        <f t="shared" si="16"/>
        <v>44075</v>
      </c>
      <c r="I48" s="1347">
        <f t="shared" si="16"/>
        <v>44044</v>
      </c>
      <c r="J48" s="1347">
        <f t="shared" si="16"/>
        <v>44013</v>
      </c>
      <c r="K48" s="1347">
        <f t="shared" si="16"/>
        <v>43983</v>
      </c>
      <c r="L48" s="1347">
        <f t="shared" si="16"/>
        <v>43952</v>
      </c>
      <c r="M48" s="1347">
        <f t="shared" si="16"/>
        <v>43922</v>
      </c>
      <c r="N48" s="1347">
        <f t="shared" si="16"/>
        <v>43891</v>
      </c>
      <c r="O48" s="1347">
        <f t="shared" si="16"/>
        <v>43862</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v>100</v>
      </c>
      <c r="E49" s="469">
        <v>100</v>
      </c>
      <c r="F49" s="469">
        <v>100</v>
      </c>
      <c r="G49" s="469">
        <v>100</v>
      </c>
      <c r="H49" s="469">
        <v>100</v>
      </c>
      <c r="I49" s="469">
        <v>100</v>
      </c>
      <c r="J49" s="469">
        <v>100</v>
      </c>
      <c r="K49" s="469">
        <v>100</v>
      </c>
      <c r="L49" s="469">
        <v>100</v>
      </c>
      <c r="M49" s="469">
        <v>100</v>
      </c>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t="str">
        <f>C9</f>
        <v>车位</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98</v>
      </c>
      <c r="G56" s="501">
        <f>F56-$K10</f>
        <v>96</v>
      </c>
      <c r="H56" s="501">
        <f>G56-$K10</f>
        <v>94</v>
      </c>
      <c r="I56" s="501">
        <f>H56-$K10</f>
        <v>92</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97</v>
      </c>
      <c r="E64" s="501">
        <f>D64-$K14</f>
        <v>94</v>
      </c>
      <c r="F64" s="501">
        <f>E64-$K14</f>
        <v>91</v>
      </c>
      <c r="G64" s="501">
        <f>F64-$K14</f>
        <v>88</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97</v>
      </c>
      <c r="E66" s="501">
        <f>D66-$K16</f>
        <v>94</v>
      </c>
      <c r="F66" s="501">
        <f>E66-$K16</f>
        <v>91</v>
      </c>
      <c r="G66" s="501">
        <f>F66-$K16</f>
        <v>88</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97</v>
      </c>
      <c r="E68" s="501">
        <f>D68-$K18</f>
        <v>94</v>
      </c>
      <c r="F68" s="501">
        <f>E68-$K18</f>
        <v>91</v>
      </c>
      <c r="G68" s="501">
        <f>F68-$K18</f>
        <v>88</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97</v>
      </c>
      <c r="E70" s="501">
        <f>D70-$K20</f>
        <v>94</v>
      </c>
      <c r="F70" s="501">
        <f>E70-$K20</f>
        <v>91</v>
      </c>
      <c r="G70" s="501">
        <f>F70-$K20</f>
        <v>88</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t="str">
        <f>C26</f>
        <v>办公</v>
      </c>
      <c r="D79" s="3067" t="s">
        <v>3129</v>
      </c>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120</v>
      </c>
      <c r="E80" s="501">
        <f t="shared" si="17"/>
        <v>140</v>
      </c>
      <c r="F80" s="501">
        <f t="shared" si="17"/>
        <v>160</v>
      </c>
      <c r="G80" s="501">
        <f t="shared" si="17"/>
        <v>180</v>
      </c>
      <c r="H80" s="501">
        <f t="shared" si="17"/>
        <v>200</v>
      </c>
      <c r="I80" s="501">
        <f t="shared" si="17"/>
        <v>220</v>
      </c>
      <c r="J80" s="501">
        <f t="shared" si="17"/>
        <v>240</v>
      </c>
      <c r="K80" s="501">
        <f t="shared" si="17"/>
        <v>260</v>
      </c>
      <c r="L80" s="501">
        <f t="shared" si="17"/>
        <v>280</v>
      </c>
      <c r="M80" s="502">
        <f t="shared" si="17"/>
        <v>300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97</v>
      </c>
      <c r="E84" s="501">
        <f t="shared" si="18"/>
        <v>94</v>
      </c>
      <c r="F84" s="501">
        <f t="shared" si="18"/>
        <v>91</v>
      </c>
      <c r="G84" s="501">
        <f t="shared" si="18"/>
        <v>88</v>
      </c>
      <c r="H84" s="501">
        <f t="shared" si="18"/>
        <v>85</v>
      </c>
      <c r="I84" s="501">
        <f t="shared" si="18"/>
        <v>82</v>
      </c>
      <c r="J84" s="501">
        <f t="shared" si="18"/>
        <v>79</v>
      </c>
      <c r="K84" s="501">
        <f t="shared" si="18"/>
        <v>76</v>
      </c>
      <c r="L84" s="501">
        <f t="shared" si="18"/>
        <v>73</v>
      </c>
      <c r="M84" s="502">
        <f t="shared" si="18"/>
        <v>70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102</v>
      </c>
      <c r="E89" s="501">
        <f t="shared" si="20"/>
        <v>104</v>
      </c>
      <c r="F89" s="501">
        <f t="shared" si="20"/>
        <v>106</v>
      </c>
      <c r="G89" s="501">
        <f t="shared" si="20"/>
        <v>108</v>
      </c>
      <c r="H89" s="501">
        <f t="shared" si="20"/>
        <v>110</v>
      </c>
      <c r="I89" s="501">
        <f t="shared" si="20"/>
        <v>112</v>
      </c>
      <c r="J89" s="501">
        <f t="shared" si="20"/>
        <v>114</v>
      </c>
      <c r="K89" s="501">
        <f t="shared" si="20"/>
        <v>116</v>
      </c>
      <c r="L89" s="501">
        <f t="shared" si="20"/>
        <v>118</v>
      </c>
      <c r="M89" s="501">
        <f t="shared" si="20"/>
        <v>120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0(含)-30</v>
      </c>
      <c r="D90" s="535" t="str">
        <f t="shared" ref="D90:L90" si="21">D91&amp;"(含)"&amp;"-"&amp;E91</f>
        <v>30(含)-40</v>
      </c>
      <c r="E90" s="535" t="str">
        <f t="shared" si="21"/>
        <v>40(含)-50</v>
      </c>
      <c r="F90" s="535" t="str">
        <f t="shared" si="21"/>
        <v>50(含)-60</v>
      </c>
      <c r="G90" s="535" t="str">
        <f t="shared" si="21"/>
        <v>60(含)-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v>0</v>
      </c>
      <c r="D91" s="552">
        <v>30</v>
      </c>
      <c r="E91" s="552">
        <v>40</v>
      </c>
      <c r="F91" s="552">
        <v>50</v>
      </c>
      <c r="G91" s="552">
        <v>60</v>
      </c>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v>100</v>
      </c>
      <c r="D92" s="493">
        <v>101</v>
      </c>
      <c r="E92" s="517">
        <v>102</v>
      </c>
      <c r="F92" s="493">
        <v>103</v>
      </c>
      <c r="G92" s="517">
        <v>104</v>
      </c>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99</v>
      </c>
      <c r="E94" s="501">
        <f t="shared" si="22"/>
        <v>98</v>
      </c>
      <c r="F94" s="501">
        <f t="shared" si="22"/>
        <v>97</v>
      </c>
      <c r="G94" s="501">
        <f t="shared" si="22"/>
        <v>96</v>
      </c>
      <c r="H94" s="501">
        <f t="shared" si="22"/>
        <v>95</v>
      </c>
      <c r="I94" s="501">
        <f t="shared" si="22"/>
        <v>94</v>
      </c>
      <c r="J94" s="501">
        <f t="shared" si="22"/>
        <v>93</v>
      </c>
      <c r="K94" s="501">
        <f t="shared" si="22"/>
        <v>92</v>
      </c>
      <c r="L94" s="501">
        <f t="shared" si="22"/>
        <v>91</v>
      </c>
      <c r="M94" s="502">
        <f t="shared" si="22"/>
        <v>90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35" priority="18" stopIfTrue="1" operator="containsText" text="超过">
      <formula>NOT(ISERROR(SEARCH("超过",F42)))</formula>
    </cfRule>
  </conditionalFormatting>
  <conditionalFormatting sqref="J44">
    <cfRule type="containsText" dxfId="134" priority="17" stopIfTrue="1" operator="containsText" text="超过">
      <formula>NOT(ISERROR(SEARCH("超过",J44)))</formula>
    </cfRule>
  </conditionalFormatting>
  <conditionalFormatting sqref="H44">
    <cfRule type="containsText" dxfId="133" priority="16" stopIfTrue="1" operator="containsText" text="超过">
      <formula>NOT(ISERROR(SEARCH("超过",H44)))</formula>
    </cfRule>
  </conditionalFormatting>
  <conditionalFormatting sqref="F44">
    <cfRule type="containsText" dxfId="132" priority="15" stopIfTrue="1" operator="containsText" text="超过">
      <formula>NOT(ISERROR(SEARCH("超过",F44)))</formula>
    </cfRule>
  </conditionalFormatting>
  <conditionalFormatting sqref="F43 H43 J43">
    <cfRule type="containsText" dxfId="131" priority="14" stopIfTrue="1" operator="containsText" text="超过">
      <formula>NOT(ISERROR(SEARCH("超过",F43)))</formula>
    </cfRule>
  </conditionalFormatting>
  <conditionalFormatting sqref="E42">
    <cfRule type="expression" dxfId="130" priority="13" stopIfTrue="1">
      <formula>$F$42="超过30%"</formula>
    </cfRule>
  </conditionalFormatting>
  <conditionalFormatting sqref="G44">
    <cfRule type="expression" dxfId="129" priority="12" stopIfTrue="1">
      <formula>$H$54+$H$44="超过30%"</formula>
    </cfRule>
  </conditionalFormatting>
  <conditionalFormatting sqref="E43">
    <cfRule type="expression" dxfId="128" priority="11" stopIfTrue="1">
      <formula>$F$43="超过20%"</formula>
    </cfRule>
  </conditionalFormatting>
  <conditionalFormatting sqref="E44">
    <cfRule type="expression" dxfId="127" priority="10" stopIfTrue="1">
      <formula>$F$44="超过30%"</formula>
    </cfRule>
  </conditionalFormatting>
  <conditionalFormatting sqref="G42">
    <cfRule type="expression" dxfId="126" priority="9" stopIfTrue="1">
      <formula>$H$52+$H$42="超过30%"</formula>
    </cfRule>
  </conditionalFormatting>
  <conditionalFormatting sqref="G43">
    <cfRule type="expression" dxfId="125" priority="8" stopIfTrue="1">
      <formula>$H$43="超过20%"</formula>
    </cfRule>
  </conditionalFormatting>
  <conditionalFormatting sqref="I42">
    <cfRule type="expression" dxfId="124" priority="7" stopIfTrue="1">
      <formula>$J$52+$J$42="超过30%"</formula>
    </cfRule>
  </conditionalFormatting>
  <conditionalFormatting sqref="I43">
    <cfRule type="expression" dxfId="123" priority="6" stopIfTrue="1">
      <formula>$J$53+$J$43="超过20%"</formula>
    </cfRule>
  </conditionalFormatting>
  <conditionalFormatting sqref="I44">
    <cfRule type="expression" dxfId="122" priority="5" stopIfTrue="1">
      <formula>$J$44="超过30%"</formula>
    </cfRule>
  </conditionalFormatting>
  <conditionalFormatting sqref="F38">
    <cfRule type="expression" dxfId="121" priority="4">
      <formula>$D$38="简单平均"</formula>
    </cfRule>
  </conditionalFormatting>
  <conditionalFormatting sqref="H38">
    <cfRule type="expression" dxfId="120" priority="3">
      <formula>$D$38="简单平均"</formula>
    </cfRule>
  </conditionalFormatting>
  <conditionalFormatting sqref="J38">
    <cfRule type="expression" dxfId="119" priority="2">
      <formula>$D$38="简单平均"</formula>
    </cfRule>
  </conditionalFormatting>
  <conditionalFormatting sqref="F7:F36 H7:H36 J7:J36">
    <cfRule type="cellIs" dxfId="11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85" workbookViewId="0">
      <selection activeCell="B3" sqref="B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3061</v>
      </c>
      <c r="D1" s="1548" t="s">
        <v>70</v>
      </c>
      <c r="E1" s="1549" t="s">
        <v>1352</v>
      </c>
      <c r="F1" s="1193">
        <f ca="1">J53</f>
        <v>32.03</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205</v>
      </c>
      <c r="C2" s="1573" t="s">
        <v>1556</v>
      </c>
      <c r="D2" s="1657">
        <f ca="1">C40+J29+L46</f>
        <v>2047821</v>
      </c>
      <c r="E2" s="1574" t="s">
        <v>1557</v>
      </c>
      <c r="F2" s="1575"/>
      <c r="G2" s="2937"/>
      <c r="H2" s="2926"/>
      <c r="I2" s="2926"/>
      <c r="J2" s="2926"/>
      <c r="K2" s="2927"/>
      <c r="L2" s="2926"/>
      <c r="M2" s="2926"/>
    </row>
    <row r="3" spans="1:37" ht="18" customHeight="1" thickBot="1">
      <c r="A3" s="1576" t="s">
        <v>1558</v>
      </c>
      <c r="B3" s="1577">
        <f ca="1">IF(ISERROR(D2/F43),0,ROUND(D2/F43,0))</f>
        <v>4529</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140400</v>
      </c>
      <c r="D5" s="1550" t="s">
        <v>1566</v>
      </c>
      <c r="E5" s="1203"/>
      <c r="F5" s="1204"/>
      <c r="G5" s="1570"/>
      <c r="H5" s="305">
        <v>1</v>
      </c>
      <c r="I5" s="306" t="s">
        <v>1565</v>
      </c>
      <c r="J5" s="1202">
        <f ca="1">J6+J10+J12</f>
        <v>0</v>
      </c>
      <c r="K5" s="1550" t="s">
        <v>1566</v>
      </c>
      <c r="L5" s="1203"/>
      <c r="M5" s="1204"/>
    </row>
    <row r="6" spans="1:37" ht="18" customHeight="1">
      <c r="A6" s="1201" t="s">
        <v>1003</v>
      </c>
      <c r="B6" s="3321" t="s">
        <v>1368</v>
      </c>
      <c r="C6" s="1206">
        <f ca="1">ROUND(F6*F8*F7*(1-F9),0)</f>
        <v>140400</v>
      </c>
      <c r="D6" s="160" t="s">
        <v>2847</v>
      </c>
      <c r="E6" s="308" t="s">
        <v>1370</v>
      </c>
      <c r="F6" s="309">
        <f ca="1">INDIRECT("'数据-取费表'!u"&amp;$G$1)</f>
        <v>1300</v>
      </c>
      <c r="G6" s="1570"/>
      <c r="H6" s="1201" t="s">
        <v>1003</v>
      </c>
      <c r="I6" s="3321" t="s">
        <v>1368</v>
      </c>
      <c r="J6" s="307">
        <f ca="1">ROUND(M6*M8*M7*(1-M9),0)</f>
        <v>0</v>
      </c>
      <c r="K6" s="1562" t="s">
        <v>2848</v>
      </c>
      <c r="L6" s="308" t="s">
        <v>1370</v>
      </c>
      <c r="M6" s="309">
        <f ca="1">INDIRECT("'数据-取费表'!z"&amp;$G$1)</f>
        <v>0</v>
      </c>
    </row>
    <row r="7" spans="1:37" ht="18" customHeight="1">
      <c r="A7" s="1205"/>
      <c r="B7" s="3322"/>
      <c r="C7" s="1207"/>
      <c r="D7" s="313"/>
      <c r="E7" s="1208" t="s">
        <v>1371</v>
      </c>
      <c r="F7" s="309">
        <f ca="1">IF(INDIRECT("'数据-取费表'!ah"&amp;$G$1)="",INDIRECT("'数据-取费表'!k"&amp;$G$1),INDIRECT("'数据-取费表'!ah"&amp;$G$1))</f>
        <v>10</v>
      </c>
      <c r="G7" s="1570"/>
      <c r="H7" s="310"/>
      <c r="I7" s="3322"/>
      <c r="J7" s="312"/>
      <c r="K7" s="313"/>
      <c r="L7" s="308" t="s">
        <v>1371</v>
      </c>
      <c r="M7" s="309">
        <f ca="1">F7</f>
        <v>10</v>
      </c>
    </row>
    <row r="8" spans="1:37" ht="18" customHeight="1">
      <c r="A8" s="310"/>
      <c r="B8" s="3322"/>
      <c r="C8" s="312"/>
      <c r="D8" s="313"/>
      <c r="E8" s="308" t="s">
        <v>1372</v>
      </c>
      <c r="F8" s="309">
        <f ca="1">INDIRECT("'数据-取费表'!ai"&amp;$G$1)</f>
        <v>12</v>
      </c>
      <c r="G8" s="1570"/>
      <c r="H8" s="310"/>
      <c r="I8" s="3322"/>
      <c r="J8" s="312"/>
      <c r="K8" s="313"/>
      <c r="L8" s="308" t="s">
        <v>1372</v>
      </c>
      <c r="M8" s="309">
        <f ca="1">INDIRECT("'数据-取费表'!ai"&amp;$G$1)</f>
        <v>12</v>
      </c>
    </row>
    <row r="9" spans="1:37" ht="18" customHeight="1">
      <c r="A9" s="310"/>
      <c r="B9" s="3323"/>
      <c r="C9" s="312"/>
      <c r="D9" s="313"/>
      <c r="E9" s="308" t="s">
        <v>1373</v>
      </c>
      <c r="F9" s="318">
        <f ca="1">INDIRECT("'数据-取费表'!w"&amp;$G$1)</f>
        <v>0.1</v>
      </c>
      <c r="G9" s="1570"/>
      <c r="H9" s="310"/>
      <c r="I9" s="332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3080</v>
      </c>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1529549</v>
      </c>
      <c r="D13" s="1241" t="s">
        <v>1380</v>
      </c>
      <c r="E13" s="1241" t="s">
        <v>1381</v>
      </c>
      <c r="F13" s="1242">
        <f ca="1">INDIRECT("'数据-取费表'!y"&amp;$G$1)</f>
        <v>0.72</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1582700</v>
      </c>
      <c r="D14" s="1531" t="s">
        <v>1383</v>
      </c>
      <c r="E14" s="1528"/>
      <c r="F14" s="325"/>
      <c r="G14" s="1570"/>
      <c r="H14" s="1113" t="s">
        <v>1003</v>
      </c>
      <c r="I14" s="308" t="s">
        <v>1384</v>
      </c>
      <c r="J14" s="24">
        <f ca="1">C29</f>
        <v>2124374</v>
      </c>
      <c r="K14" s="15"/>
      <c r="L14" s="916"/>
      <c r="M14" s="917"/>
    </row>
    <row r="15" spans="1:37" s="1583" customFormat="1" ht="18" customHeight="1" thickBot="1">
      <c r="A15" s="1113" t="s">
        <v>1004</v>
      </c>
      <c r="B15" s="308" t="s">
        <v>1385</v>
      </c>
      <c r="C15" s="24">
        <f ca="1">ROUND(C14*F15,0)</f>
        <v>47481</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39089</v>
      </c>
      <c r="K16" s="1247" t="s">
        <v>1390</v>
      </c>
      <c r="L16" s="1248"/>
      <c r="M16" s="1204"/>
    </row>
    <row r="17" spans="1:37" s="1583" customFormat="1" ht="18" customHeight="1">
      <c r="A17" s="1113" t="s">
        <v>1355</v>
      </c>
      <c r="B17" s="308" t="s">
        <v>1391</v>
      </c>
      <c r="C17" s="24">
        <f ca="1">ROUND(F17*(F43+INDIRECT("'数据-取费表'!S"&amp;$G$1)),0)</f>
        <v>90440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17845</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23741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1744362</v>
      </c>
      <c r="D19" s="136" t="s">
        <v>1401</v>
      </c>
      <c r="E19" s="1546"/>
      <c r="F19" s="26"/>
      <c r="G19" s="1570"/>
      <c r="H19" s="1113" t="s">
        <v>1004</v>
      </c>
      <c r="I19" s="308" t="s">
        <v>1402</v>
      </c>
      <c r="J19" s="24">
        <f ca="1">IF(K19="按租金收入计税",ROUND(J6*M19/(1+'数据-取费表'!C42),0),ROUND(C29*M19*0.7,0))</f>
        <v>17845</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34887</v>
      </c>
      <c r="D20" s="329" t="s">
        <v>1405</v>
      </c>
      <c r="E20" s="308" t="s">
        <v>1387</v>
      </c>
      <c r="F20" s="328">
        <f>'数据-取费表'!B37</f>
        <v>0.02</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2.5000000000000001E-2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21244</v>
      </c>
      <c r="K22" s="1530"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84514</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1E-3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-39089</v>
      </c>
      <c r="K25" s="1255" t="s">
        <v>1429</v>
      </c>
      <c r="L25" s="1256"/>
      <c r="M25" s="1257"/>
    </row>
    <row r="26" spans="1:37" ht="18" customHeight="1">
      <c r="A26" s="1113" t="s">
        <v>1002</v>
      </c>
      <c r="B26" s="308" t="s">
        <v>1430</v>
      </c>
      <c r="C26" s="24">
        <f ca="1">ROUND((C19+C20)*F26,0)</f>
        <v>88962</v>
      </c>
      <c r="D26" s="329" t="s">
        <v>1431</v>
      </c>
      <c r="E26" s="319" t="s">
        <v>1432</v>
      </c>
      <c r="F26" s="318">
        <f ca="1">INDIRECT("'数据-取费表'!q"&amp;$G$1)</f>
        <v>0.05</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1.2999999999999999E-3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2124374</v>
      </c>
      <c r="D29" s="1252"/>
      <c r="E29" s="1250"/>
      <c r="F29" s="1253"/>
      <c r="G29" s="1582"/>
      <c r="H29" s="340" t="s">
        <v>1001</v>
      </c>
      <c r="I29" s="341" t="s">
        <v>1444</v>
      </c>
      <c r="J29" s="342">
        <f ca="1">ROUND(J26/(1+F40)^F41,0)</f>
        <v>0</v>
      </c>
      <c r="K29" s="343" t="s">
        <v>1445</v>
      </c>
      <c r="L29" s="344"/>
      <c r="M29" s="345">
        <f ca="1">INDIRECT("'数据-取费表'!k"&amp;$G$1)</f>
        <v>452.2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47712</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23534</v>
      </c>
      <c r="D31" s="1531" t="s">
        <v>1395</v>
      </c>
      <c r="E31" s="1530" t="s">
        <v>1446</v>
      </c>
      <c r="F31" s="2535" t="str">
        <f>IF(项目基本情况!B11="企业","——",IF('数据-取费表'!B10="住宅",IF(F6*F7*F8/12/(1+'数据-取费表'!F30)&gt;100000,4%,2.5%),IF(F6*F7*F8/12/(1+'数据-取费表'!F30)&gt;100000,12%,7%)))</f>
        <v>——</v>
      </c>
      <c r="G31" s="1570"/>
      <c r="H31" s="3041" t="s">
        <v>3049</v>
      </c>
      <c r="I31" s="1584"/>
      <c r="J31" s="1585"/>
      <c r="K31" s="2703"/>
      <c r="L31" s="2929"/>
      <c r="M31" s="2930"/>
    </row>
    <row r="32" spans="1:37" ht="18" customHeight="1">
      <c r="A32" s="1113" t="s">
        <v>1002</v>
      </c>
      <c r="B32" s="308" t="s">
        <v>1398</v>
      </c>
      <c r="C32" s="24">
        <f ca="1">IF(项目基本情况!B11="自然人","——",ROUND(C6*F32/(1+'数据-取费表'!C42),0))</f>
        <v>7488</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16046</v>
      </c>
      <c r="D33" s="1556" t="s">
        <v>3073</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21244</v>
      </c>
      <c r="D36" s="1530" t="s">
        <v>1447</v>
      </c>
      <c r="E36" s="308" t="s">
        <v>1387</v>
      </c>
      <c r="F36" s="334">
        <f ca="1">INDIRECT("'数据-取费表'!Ak"&amp;$G$1)</f>
        <v>0.01</v>
      </c>
      <c r="G36" s="1570"/>
      <c r="H36" s="2931"/>
      <c r="I36" s="1584"/>
      <c r="J36" s="1585"/>
      <c r="K36" s="2772"/>
      <c r="L36" s="2931"/>
      <c r="M36" s="2931"/>
    </row>
    <row r="37" spans="1:18" ht="18" customHeight="1">
      <c r="A37" s="1113" t="s">
        <v>1043</v>
      </c>
      <c r="B37" s="308" t="s">
        <v>1418</v>
      </c>
      <c r="C37" s="24">
        <f ca="1">ROUND(C13*F37,0)</f>
        <v>1530</v>
      </c>
      <c r="D37" s="1530" t="s">
        <v>1419</v>
      </c>
      <c r="E37" s="308" t="s">
        <v>1420</v>
      </c>
      <c r="F37" s="336">
        <f ca="1">INDIRECT("'数据-取费表'!Al"&amp;$G$1)</f>
        <v>1E-3</v>
      </c>
      <c r="G37" s="1570"/>
      <c r="H37" s="2931"/>
      <c r="I37" s="1584"/>
      <c r="J37" s="1585"/>
      <c r="K37" s="2772"/>
      <c r="L37" s="2931"/>
      <c r="M37" s="2931"/>
    </row>
    <row r="38" spans="1:18" ht="18" customHeight="1" thickBot="1">
      <c r="A38" s="1249" t="s">
        <v>1358</v>
      </c>
      <c r="B38" s="1250" t="s">
        <v>1404</v>
      </c>
      <c r="C38" s="1251">
        <f ca="1">ROUND(C5*F38,1)</f>
        <v>1404</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92688</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1994053</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32.03</v>
      </c>
      <c r="G41" s="1570"/>
      <c r="H41" s="1353"/>
      <c r="I41" s="1584"/>
      <c r="J41" s="1585"/>
      <c r="K41" s="2772"/>
      <c r="L41" s="1353"/>
      <c r="M41" s="1353"/>
    </row>
    <row r="42" spans="1:18" ht="18" customHeight="1">
      <c r="A42" s="314"/>
      <c r="B42" s="315"/>
      <c r="C42" s="316"/>
      <c r="D42" s="333"/>
      <c r="E42" s="308" t="s">
        <v>1442</v>
      </c>
      <c r="F42" s="318">
        <f ca="1">INDIRECT("'数据-取费表'!v"&amp;$G$1)</f>
        <v>2.5000000000000001E-2</v>
      </c>
      <c r="G42" s="1570"/>
      <c r="H42" s="1353"/>
      <c r="I42" s="1584"/>
      <c r="J42" s="1585"/>
      <c r="K42" s="2772"/>
      <c r="L42" s="1353"/>
      <c r="M42" s="1353"/>
    </row>
    <row r="43" spans="1:18" ht="18" customHeight="1" thickBot="1">
      <c r="A43" s="340" t="s">
        <v>1001</v>
      </c>
      <c r="B43" s="341" t="s">
        <v>1452</v>
      </c>
      <c r="C43" s="342">
        <f ca="1">ROUND(C40/F43,0)</f>
        <v>4410</v>
      </c>
      <c r="D43" s="343" t="s">
        <v>1453</v>
      </c>
      <c r="E43" s="344" t="s">
        <v>1454</v>
      </c>
      <c r="F43" s="345">
        <f ca="1">INDIRECT("'数据-取费表'!k"&amp;$G$1)</f>
        <v>452.2</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-6323043</v>
      </c>
      <c r="D45" s="1659" t="s">
        <v>1569</v>
      </c>
      <c r="E45" s="1586"/>
      <c r="F45" s="1586"/>
      <c r="O45" s="1589" t="s">
        <v>1484</v>
      </c>
      <c r="P45" s="1647"/>
      <c r="Q45" s="1647"/>
      <c r="R45" s="1647"/>
    </row>
    <row r="46" spans="1:18" s="1570" customFormat="1" ht="13.5" thickBot="1">
      <c r="A46" s="1590" t="s">
        <v>1485</v>
      </c>
      <c r="C46" s="1591">
        <f ca="1">ROUND(C45/10000,0)</f>
        <v>-632</v>
      </c>
      <c r="D46" s="1592" t="str">
        <f>C2</f>
        <v>万元</v>
      </c>
      <c r="I46" s="1593" t="s">
        <v>1486</v>
      </c>
      <c r="J46" s="1594"/>
      <c r="K46" s="1595"/>
      <c r="L46" s="1596">
        <f ca="1">IF(M47="住宅",0,IF(L48&gt;J51,L60,J60))</f>
        <v>53768</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3074</v>
      </c>
      <c r="K47" s="1602" t="s">
        <v>1492</v>
      </c>
      <c r="L47" s="1603">
        <f ca="1">INDIRECT("'数据-取费表'!d"&amp;$G$1)</f>
        <v>50</v>
      </c>
      <c r="M47" s="1566" t="str">
        <f>IF(ISNUMBER(FIND("住宅",C1)),"住宅","非住宅")</f>
        <v>非住宅</v>
      </c>
      <c r="O47" s="1604" t="s">
        <v>1008</v>
      </c>
      <c r="P47" s="1605" t="s">
        <v>1493</v>
      </c>
      <c r="Q47" s="1606">
        <f ca="1">C40+J29</f>
        <v>1994053</v>
      </c>
      <c r="R47" s="1606" t="s">
        <v>1494</v>
      </c>
    </row>
    <row r="48" spans="1:18" s="1570" customFormat="1" ht="28.5" thickBot="1">
      <c r="A48" s="1270" t="s">
        <v>1103</v>
      </c>
      <c r="B48" s="306" t="s">
        <v>1366</v>
      </c>
      <c r="C48" s="1545">
        <f ca="1">C49+C53+C55</f>
        <v>0</v>
      </c>
      <c r="D48" s="1272"/>
      <c r="E48" s="1273"/>
      <c r="F48" s="1093"/>
      <c r="G48" s="731"/>
      <c r="H48" s="732"/>
      <c r="I48" s="1607" t="s">
        <v>1495</v>
      </c>
      <c r="J48" s="1608" t="s">
        <v>3075</v>
      </c>
      <c r="K48" s="1609" t="s">
        <v>1496</v>
      </c>
      <c r="L48" s="1610">
        <f ca="1">INDIRECT("'数据-取费表'!f"&amp;$G$1)</f>
        <v>32.03</v>
      </c>
      <c r="O48" s="1604" t="s">
        <v>1009</v>
      </c>
      <c r="P48" s="1605" t="s">
        <v>1497</v>
      </c>
      <c r="Q48" s="1606">
        <f ca="1">J60</f>
        <v>53768</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v>2004</v>
      </c>
      <c r="K49" s="1609" t="s">
        <v>1500</v>
      </c>
      <c r="L49" s="1613"/>
      <c r="O49" s="1614" t="s">
        <v>1010</v>
      </c>
      <c r="P49" s="1605" t="s">
        <v>1501</v>
      </c>
      <c r="Q49" s="1606">
        <f ca="1">C29</f>
        <v>2124374</v>
      </c>
      <c r="R49" s="1606" t="s">
        <v>1494</v>
      </c>
    </row>
    <row r="50" spans="1:18" s="1570" customFormat="1" ht="13.5" thickBot="1">
      <c r="A50" s="1107"/>
      <c r="B50" s="1110"/>
      <c r="C50" s="1111"/>
      <c r="D50" s="1084"/>
      <c r="E50" s="1187" t="s">
        <v>1371</v>
      </c>
      <c r="F50" s="1188">
        <f ca="1">F7</f>
        <v>10</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12</v>
      </c>
      <c r="I51" s="1618" t="s">
        <v>1505</v>
      </c>
      <c r="J51" s="1619">
        <f>IF(J49="",J50,J49+J50-YEAR('数据-取费表'!B2))</f>
        <v>43</v>
      </c>
      <c r="K51" s="1620" t="s">
        <v>1506</v>
      </c>
      <c r="L51" s="1621">
        <f ca="1">ROUND(-PV(INDIRECT("'数据-取费表'!h"&amp;$G$1),J51,(C39-C13*C76),0),0)</f>
        <v>-704455</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32.03</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32.03</v>
      </c>
      <c r="K53" s="3319" t="s">
        <v>1513</v>
      </c>
      <c r="L53" s="3320"/>
      <c r="O53" s="1604" t="s">
        <v>1014</v>
      </c>
      <c r="P53" s="1605" t="s">
        <v>1514</v>
      </c>
      <c r="Q53" s="1606">
        <f ca="1">Q47+Q48</f>
        <v>2047821</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0.183</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1529549</v>
      </c>
      <c r="D56" s="1633"/>
      <c r="E56" s="1634"/>
      <c r="F56" s="1626"/>
      <c r="I56" s="1635" t="s">
        <v>1519</v>
      </c>
      <c r="J56" s="1636" t="s">
        <v>3076</v>
      </c>
      <c r="K56" s="1607" t="s">
        <v>1520</v>
      </c>
      <c r="L56" s="1610" t="str">
        <f ca="1">IF(L48&lt;J51,"——",L48-J51)</f>
        <v>——</v>
      </c>
      <c r="O56" s="1604" t="s">
        <v>1008</v>
      </c>
      <c r="P56" s="1605" t="s">
        <v>1493</v>
      </c>
      <c r="Q56" s="1606">
        <f ca="1">C40+J29</f>
        <v>1994053</v>
      </c>
      <c r="R56" s="1606" t="s">
        <v>1494</v>
      </c>
    </row>
    <row r="57" spans="1:18" s="1570" customFormat="1" ht="24.75" thickBot="1">
      <c r="A57" s="1637"/>
      <c r="B57" s="1081" t="s">
        <v>1443</v>
      </c>
      <c r="C57" s="244">
        <f ca="1">C29</f>
        <v>2124374</v>
      </c>
      <c r="D57" s="1638"/>
      <c r="E57" s="1639"/>
      <c r="F57" s="1640"/>
      <c r="I57" s="1641" t="s">
        <v>1521</v>
      </c>
      <c r="J57" s="1642">
        <f ca="1">IF(OR(M47="住宅",J51&lt;L48,J56="是"),"——",J51-L48)</f>
        <v>10.969999999999999</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201221</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178447</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849750</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f ca="1">IF(OR(M47="住宅",J51&lt;L48,J56="是"),"0",ROUND(J59/(1+J52)^J53,0))</f>
        <v>53768</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178447</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12</v>
      </c>
      <c r="I62" s="1648" t="s">
        <v>1535</v>
      </c>
      <c r="J62" s="1649" t="s">
        <v>1536</v>
      </c>
      <c r="K62" s="1649" t="s">
        <v>1537</v>
      </c>
      <c r="L62" s="1649" t="s">
        <v>1538</v>
      </c>
      <c r="M62" s="1650" t="s">
        <v>1539</v>
      </c>
      <c r="O62" s="1604" t="s">
        <v>1014</v>
      </c>
      <c r="P62" s="1605" t="s">
        <v>1540</v>
      </c>
      <c r="Q62" s="1606">
        <f ca="1">Q56+Q57</f>
        <v>1994053</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21244</v>
      </c>
      <c r="D64" s="1095" t="s">
        <v>1467</v>
      </c>
      <c r="E64" s="1081" t="s">
        <v>1459</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1530</v>
      </c>
      <c r="D65" s="1095" t="s">
        <v>1419</v>
      </c>
      <c r="E65" s="1081" t="s">
        <v>1420</v>
      </c>
      <c r="F65" s="336">
        <f t="shared" ca="1" si="0"/>
        <v>1E-3</v>
      </c>
      <c r="I65" s="1648" t="s">
        <v>1544</v>
      </c>
      <c r="J65" s="1649">
        <v>40</v>
      </c>
      <c r="K65" s="1649">
        <v>30</v>
      </c>
      <c r="L65" s="1649">
        <v>50</v>
      </c>
      <c r="M65" s="1651">
        <v>0.02</v>
      </c>
      <c r="O65" s="1604" t="s">
        <v>1008</v>
      </c>
      <c r="P65" s="1605" t="s">
        <v>1545</v>
      </c>
      <c r="Q65" s="1606">
        <f ca="1">C40+J29</f>
        <v>1994053</v>
      </c>
      <c r="R65" s="1606" t="s">
        <v>1494</v>
      </c>
    </row>
    <row r="66" spans="1:18" s="1570" customFormat="1" ht="16.5" thickBot="1">
      <c r="A66" s="1113" t="s">
        <v>1469</v>
      </c>
      <c r="B66" s="1081" t="s">
        <v>1404</v>
      </c>
      <c r="C66" s="24">
        <f ca="1">ROUND(C48*F66,0)</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-201221</v>
      </c>
      <c r="D67" s="1094" t="s">
        <v>1429</v>
      </c>
      <c r="E67" s="1099"/>
      <c r="F67" s="1100"/>
      <c r="O67" s="1614" t="s">
        <v>1010</v>
      </c>
      <c r="P67" s="1605" t="s">
        <v>1527</v>
      </c>
      <c r="Q67" s="1652">
        <f ca="1">L51</f>
        <v>-704455</v>
      </c>
      <c r="R67" s="1606" t="s">
        <v>1547</v>
      </c>
    </row>
    <row r="68" spans="1:18" s="1570" customFormat="1" ht="16.5" thickBot="1">
      <c r="A68" s="1078" t="s">
        <v>1000</v>
      </c>
      <c r="B68" s="1079" t="s">
        <v>1450</v>
      </c>
      <c r="C68" s="307">
        <f ca="1">ROUND(C67*(1-((1+F70)/(1+F68))^F69)/(F68-F70),0)</f>
        <v>-4328990</v>
      </c>
      <c r="D68" s="1096" t="s">
        <v>1434</v>
      </c>
      <c r="E68" s="1081" t="s">
        <v>1435</v>
      </c>
      <c r="F68" s="318">
        <f ca="1">F40</f>
        <v>0.05</v>
      </c>
      <c r="O68" s="1614" t="s">
        <v>1011</v>
      </c>
      <c r="P68" s="1653" t="s">
        <v>1548</v>
      </c>
      <c r="Q68" s="1606">
        <f ca="1">ROUND(Q69-Q70*Q71,0)</f>
        <v>-37324</v>
      </c>
      <c r="R68" s="1606" t="s">
        <v>1019</v>
      </c>
    </row>
    <row r="69" spans="1:18" s="1570" customFormat="1" ht="13.5" thickBot="1">
      <c r="A69" s="1082"/>
      <c r="B69" s="1083"/>
      <c r="C69" s="312"/>
      <c r="D69" s="1101" t="s">
        <v>1438</v>
      </c>
      <c r="E69" s="1081" t="s">
        <v>1439</v>
      </c>
      <c r="F69" s="339">
        <f ca="1">F41</f>
        <v>32.03</v>
      </c>
      <c r="O69" s="1614" t="s">
        <v>1016</v>
      </c>
      <c r="P69" s="1653" t="s">
        <v>1549</v>
      </c>
      <c r="Q69" s="1606">
        <f ca="1">C39</f>
        <v>92688</v>
      </c>
      <c r="R69" s="1606" t="s">
        <v>1494</v>
      </c>
    </row>
    <row r="70" spans="1:18" s="1570" customFormat="1" ht="13.5" thickBot="1">
      <c r="A70" s="1085"/>
      <c r="B70" s="1086"/>
      <c r="C70" s="316"/>
      <c r="D70" s="1097"/>
      <c r="E70" s="1081" t="s">
        <v>1442</v>
      </c>
      <c r="F70" s="1185">
        <f ca="1">F42</f>
        <v>2.5000000000000001E-2</v>
      </c>
      <c r="O70" s="1614" t="s">
        <v>1017</v>
      </c>
      <c r="P70" s="1653" t="s">
        <v>1550</v>
      </c>
      <c r="Q70" s="1606">
        <f ca="1">C13</f>
        <v>1529549</v>
      </c>
      <c r="R70" s="1606" t="s">
        <v>1494</v>
      </c>
    </row>
    <row r="71" spans="1:18" s="1570" customFormat="1" ht="13.5" thickBot="1">
      <c r="A71" s="1102" t="s">
        <v>1001</v>
      </c>
      <c r="B71" s="1103" t="s">
        <v>1452</v>
      </c>
      <c r="C71" s="342">
        <f ca="1">ROUND(C68/F71,0)</f>
        <v>-9573</v>
      </c>
      <c r="D71" s="1104" t="s">
        <v>1453</v>
      </c>
      <c r="E71" s="1105" t="s">
        <v>1454</v>
      </c>
      <c r="F71" s="345">
        <f ca="1">F43</f>
        <v>452.2</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130012</v>
      </c>
      <c r="D75" s="1570"/>
      <c r="E75" s="1570"/>
      <c r="F75" s="1570"/>
      <c r="K75" s="1588"/>
      <c r="L75" s="1570"/>
      <c r="O75" s="1604" t="s">
        <v>1014</v>
      </c>
      <c r="P75" s="1605" t="s">
        <v>1514</v>
      </c>
      <c r="Q75" s="1606">
        <f ca="1">Q65+Q66</f>
        <v>1994053</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-0.40300000000000002</v>
      </c>
    </row>
    <row r="80" spans="1:18">
      <c r="B80" s="346" t="s">
        <v>1476</v>
      </c>
      <c r="C80" s="280">
        <f ca="1">ROUND(C75/C39,3)</f>
        <v>1.403</v>
      </c>
    </row>
    <row r="81" spans="2:3">
      <c r="B81" s="276" t="s">
        <v>1477</v>
      </c>
      <c r="C81" s="244"/>
    </row>
    <row r="82" spans="2:3">
      <c r="B82" s="279" t="s">
        <v>1478</v>
      </c>
      <c r="C82" s="281">
        <f ca="1">1-C83</f>
        <v>0.23299999999999998</v>
      </c>
    </row>
    <row r="83" spans="2:3">
      <c r="B83" s="279" t="s">
        <v>1479</v>
      </c>
      <c r="C83" s="280">
        <f ca="1">ROUND(C13/C40,3)</f>
        <v>0.76700000000000002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5950</v>
      </c>
      <c r="C2" s="2060" t="s">
        <v>2341</v>
      </c>
      <c r="D2" s="2061" t="s">
        <v>2342</v>
      </c>
      <c r="E2" s="2835">
        <f>SUM(E6:E13)</f>
        <v>1724.67</v>
      </c>
      <c r="F2" s="2938"/>
      <c r="G2" s="1676"/>
      <c r="H2" s="1676"/>
      <c r="I2" s="1676"/>
      <c r="J2" s="1676"/>
      <c r="K2" s="1676"/>
      <c r="L2" s="1676"/>
      <c r="M2" s="1676"/>
      <c r="N2" s="1676"/>
      <c r="O2" s="1676"/>
      <c r="P2" s="1676"/>
      <c r="Q2" s="1676"/>
      <c r="R2" s="1676"/>
      <c r="S2" s="1676"/>
    </row>
    <row r="3" spans="1:22" ht="15.75">
      <c r="A3" s="2058" t="s">
        <v>1360</v>
      </c>
      <c r="B3" s="2829">
        <f ca="1">ROUND(B2*10000/E2,0)</f>
        <v>34499</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361" t="s">
        <v>2344</v>
      </c>
      <c r="C5" s="3362"/>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收益法-办公</v>
      </c>
      <c r="B6" s="2830">
        <f ca="1">IF(F6="是",'数据-取费表'!AO6,0)</f>
        <v>5745</v>
      </c>
      <c r="C6" s="2060" t="s">
        <v>2341</v>
      </c>
      <c r="D6" s="2940"/>
      <c r="E6" s="2834">
        <f>IF(OR(A6=0,F6="否"),0,'数据-取费表'!K6+'数据-取费表'!S6)</f>
        <v>1272.47</v>
      </c>
      <c r="F6" s="2064" t="s">
        <v>2347</v>
      </c>
      <c r="G6" s="1676"/>
      <c r="H6" s="1676"/>
      <c r="I6" s="1676"/>
      <c r="J6" s="1676"/>
      <c r="K6" s="1676"/>
      <c r="L6" s="1676"/>
      <c r="M6" s="1676"/>
      <c r="N6" s="1676"/>
      <c r="O6" s="1676"/>
      <c r="P6" s="1676"/>
      <c r="Q6" s="1676"/>
      <c r="R6" s="1676"/>
      <c r="S6" s="1676"/>
    </row>
    <row r="7" spans="1:22">
      <c r="A7" s="2832" t="str">
        <f>'数据-取费表'!AN7</f>
        <v>收益法-车库</v>
      </c>
      <c r="B7" s="2830">
        <f ca="1">IF(F7="是",'数据-取费表'!AO7,0)</f>
        <v>205</v>
      </c>
      <c r="C7" s="2060" t="s">
        <v>2341</v>
      </c>
      <c r="D7" s="2940"/>
      <c r="E7" s="2834">
        <f>IF(OR(A7=0,F7="否"),0,'数据-取费表'!K7+'数据-取费表'!S7)</f>
        <v>452.2</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9" t="s">
        <v>1044</v>
      </c>
      <c r="B1" s="3380"/>
      <c r="C1" s="3381"/>
      <c r="D1" s="3382">
        <f>SUM(I10,I15,I20,I21,I23)</f>
        <v>0</v>
      </c>
      <c r="E1" s="3382"/>
      <c r="F1" s="3382"/>
      <c r="G1" s="3382"/>
      <c r="H1" s="3382"/>
      <c r="I1" s="3383"/>
    </row>
    <row r="2" spans="1:9">
      <c r="A2" s="3369" t="s">
        <v>1045</v>
      </c>
      <c r="B2" s="3370" t="s">
        <v>1046</v>
      </c>
      <c r="C2" s="3370"/>
      <c r="D2" s="1211" t="s">
        <v>1047</v>
      </c>
      <c r="E2" s="1211" t="s">
        <v>1048</v>
      </c>
      <c r="F2" s="1211" t="s">
        <v>1049</v>
      </c>
      <c r="G2" s="1211" t="s">
        <v>1050</v>
      </c>
      <c r="H2" s="1211" t="s">
        <v>1051</v>
      </c>
      <c r="I2" s="1212" t="s">
        <v>1052</v>
      </c>
    </row>
    <row r="3" spans="1:9">
      <c r="A3" s="3369"/>
      <c r="B3" s="3370" t="s">
        <v>1053</v>
      </c>
      <c r="C3" s="3370"/>
      <c r="D3" s="1213"/>
      <c r="E3" s="1211"/>
      <c r="F3" s="1214"/>
      <c r="G3" s="1214"/>
      <c r="H3" s="1215"/>
      <c r="I3" s="1216">
        <f>ROUND(D3*E3*F3*G3*H3/10000,0)</f>
        <v>0</v>
      </c>
    </row>
    <row r="4" spans="1:9">
      <c r="A4" s="3369"/>
      <c r="B4" s="3370" t="s">
        <v>1054</v>
      </c>
      <c r="C4" s="3370"/>
      <c r="D4" s="1213"/>
      <c r="E4" s="1211"/>
      <c r="F4" s="1214"/>
      <c r="G4" s="1214"/>
      <c r="H4" s="1215"/>
      <c r="I4" s="1216">
        <f t="shared" ref="I4:I9" si="0">ROUND(D4*E4*F4*G4*H4/10000,0)</f>
        <v>0</v>
      </c>
    </row>
    <row r="5" spans="1:9">
      <c r="A5" s="3369"/>
      <c r="B5" s="3370" t="s">
        <v>1055</v>
      </c>
      <c r="C5" s="3370"/>
      <c r="D5" s="1213"/>
      <c r="E5" s="1211"/>
      <c r="F5" s="1214"/>
      <c r="G5" s="1214"/>
      <c r="H5" s="1215"/>
      <c r="I5" s="1216">
        <f t="shared" si="0"/>
        <v>0</v>
      </c>
    </row>
    <row r="6" spans="1:9">
      <c r="A6" s="3369"/>
      <c r="B6" s="3370" t="s">
        <v>1056</v>
      </c>
      <c r="C6" s="3370"/>
      <c r="D6" s="1213"/>
      <c r="E6" s="1211"/>
      <c r="F6" s="1214"/>
      <c r="G6" s="1214"/>
      <c r="H6" s="1215"/>
      <c r="I6" s="1216">
        <f t="shared" si="0"/>
        <v>0</v>
      </c>
    </row>
    <row r="7" spans="1:9">
      <c r="A7" s="3369"/>
      <c r="B7" s="3370" t="s">
        <v>1057</v>
      </c>
      <c r="C7" s="3370"/>
      <c r="D7" s="1213"/>
      <c r="E7" s="1211"/>
      <c r="F7" s="1214"/>
      <c r="G7" s="1214"/>
      <c r="H7" s="1215"/>
      <c r="I7" s="1216">
        <f t="shared" si="0"/>
        <v>0</v>
      </c>
    </row>
    <row r="8" spans="1:9">
      <c r="A8" s="3369"/>
      <c r="B8" s="3370" t="s">
        <v>1058</v>
      </c>
      <c r="C8" s="3370"/>
      <c r="D8" s="1213"/>
      <c r="E8" s="1211"/>
      <c r="F8" s="1214"/>
      <c r="G8" s="1214"/>
      <c r="H8" s="1215"/>
      <c r="I8" s="1216">
        <f t="shared" si="0"/>
        <v>0</v>
      </c>
    </row>
    <row r="9" spans="1:9">
      <c r="A9" s="3369"/>
      <c r="B9" s="3370" t="s">
        <v>1059</v>
      </c>
      <c r="C9" s="3370"/>
      <c r="D9" s="1213"/>
      <c r="E9" s="1211"/>
      <c r="F9" s="1214"/>
      <c r="G9" s="1214"/>
      <c r="H9" s="1215"/>
      <c r="I9" s="1216">
        <f t="shared" si="0"/>
        <v>0</v>
      </c>
    </row>
    <row r="10" spans="1:9">
      <c r="A10" s="3369"/>
      <c r="B10" s="3371" t="s">
        <v>1060</v>
      </c>
      <c r="C10" s="3371"/>
      <c r="D10" s="1217"/>
      <c r="E10" s="1217" t="e">
        <f>ROUND(D1*10000/D10/H9,0)</f>
        <v>#DIV/0!</v>
      </c>
      <c r="F10" s="1218"/>
      <c r="G10" s="1218"/>
      <c r="H10" s="1219"/>
      <c r="I10" s="1220">
        <f>SUM(I3:I9)</f>
        <v>0</v>
      </c>
    </row>
    <row r="11" spans="1:9" ht="14.25">
      <c r="A11" s="3369" t="s">
        <v>1061</v>
      </c>
      <c r="B11" s="3370" t="s">
        <v>1062</v>
      </c>
      <c r="C11" s="3370"/>
      <c r="D11" s="1213" t="s">
        <v>1063</v>
      </c>
      <c r="E11" s="1213" t="s">
        <v>1064</v>
      </c>
      <c r="F11" s="1214" t="s">
        <v>1065</v>
      </c>
      <c r="G11" s="1214" t="s">
        <v>1051</v>
      </c>
      <c r="H11" s="1221" t="s">
        <v>1066</v>
      </c>
      <c r="I11" s="1212" t="s">
        <v>1052</v>
      </c>
    </row>
    <row r="12" spans="1:9">
      <c r="A12" s="3369"/>
      <c r="B12" s="3370" t="s">
        <v>1067</v>
      </c>
      <c r="C12" s="3370"/>
      <c r="D12" s="1213"/>
      <c r="E12" s="1213"/>
      <c r="F12" s="1214"/>
      <c r="G12" s="1215"/>
      <c r="H12" s="1222"/>
      <c r="I12" s="1212">
        <f>ROUND(D12*E12*F12*G12/10000,0)</f>
        <v>0</v>
      </c>
    </row>
    <row r="13" spans="1:9">
      <c r="A13" s="3369"/>
      <c r="B13" s="3370" t="s">
        <v>1068</v>
      </c>
      <c r="C13" s="3370"/>
      <c r="D13" s="1213"/>
      <c r="E13" s="1213"/>
      <c r="F13" s="1214"/>
      <c r="G13" s="1215"/>
      <c r="H13" s="1222"/>
      <c r="I13" s="1212">
        <f>ROUND(D13*E13*F13*G13/10000,0)</f>
        <v>0</v>
      </c>
    </row>
    <row r="14" spans="1:9">
      <c r="A14" s="3369"/>
      <c r="B14" s="3370" t="s">
        <v>1069</v>
      </c>
      <c r="C14" s="3370"/>
      <c r="D14" s="1213"/>
      <c r="E14" s="1213"/>
      <c r="F14" s="1214"/>
      <c r="G14" s="1215"/>
      <c r="H14" s="1222"/>
      <c r="I14" s="1212">
        <f>ROUND(D14*E14*F14*G14/10000,0)</f>
        <v>0</v>
      </c>
    </row>
    <row r="15" spans="1:9">
      <c r="A15" s="3369"/>
      <c r="B15" s="3371" t="s">
        <v>1060</v>
      </c>
      <c r="C15" s="3371"/>
      <c r="D15" s="1217"/>
      <c r="E15" s="1217">
        <f>SUM(E12:E14)</f>
        <v>0</v>
      </c>
      <c r="F15" s="1218"/>
      <c r="G15" s="1215"/>
      <c r="H15" s="1222"/>
      <c r="I15" s="1223">
        <f>SUM(I12:I14)</f>
        <v>0</v>
      </c>
    </row>
    <row r="16" spans="1:9" ht="24">
      <c r="A16" s="3369" t="s">
        <v>1070</v>
      </c>
      <c r="B16" s="3370" t="s">
        <v>1071</v>
      </c>
      <c r="C16" s="3370"/>
      <c r="D16" s="1213" t="s">
        <v>1047</v>
      </c>
      <c r="E16" s="1224" t="s">
        <v>1072</v>
      </c>
      <c r="F16" s="1214" t="s">
        <v>1073</v>
      </c>
      <c r="G16" s="1215" t="s">
        <v>1051</v>
      </c>
      <c r="H16" s="1221" t="s">
        <v>1066</v>
      </c>
      <c r="I16" s="1212" t="s">
        <v>1052</v>
      </c>
    </row>
    <row r="17" spans="1:9" ht="14.25">
      <c r="A17" s="3369"/>
      <c r="B17" s="3370" t="s">
        <v>1074</v>
      </c>
      <c r="C17" s="3370"/>
      <c r="D17" s="1213"/>
      <c r="E17" s="1213"/>
      <c r="F17" s="1214"/>
      <c r="G17" s="1215"/>
      <c r="H17" s="1225"/>
      <c r="I17" s="1226">
        <f>ROUND(D17*E17*F17*G17/10000,0)</f>
        <v>0</v>
      </c>
    </row>
    <row r="18" spans="1:9" ht="14.25">
      <c r="A18" s="3369"/>
      <c r="B18" s="3370" t="s">
        <v>1075</v>
      </c>
      <c r="C18" s="3370"/>
      <c r="D18" s="1213"/>
      <c r="E18" s="1213"/>
      <c r="F18" s="1214"/>
      <c r="G18" s="1215"/>
      <c r="H18" s="1225"/>
      <c r="I18" s="1226">
        <f>ROUND(D18*E18*F18*G18/10000,0)</f>
        <v>0</v>
      </c>
    </row>
    <row r="19" spans="1:9" ht="14.25">
      <c r="A19" s="3369"/>
      <c r="B19" s="3370" t="s">
        <v>1076</v>
      </c>
      <c r="C19" s="3370"/>
      <c r="D19" s="1213"/>
      <c r="E19" s="1213"/>
      <c r="F19" s="1214"/>
      <c r="G19" s="1215"/>
      <c r="H19" s="1225"/>
      <c r="I19" s="1226">
        <f>ROUND(D19*E19*F19*G19/10000,0)</f>
        <v>0</v>
      </c>
    </row>
    <row r="20" spans="1:9">
      <c r="A20" s="3369"/>
      <c r="B20" s="3371" t="s">
        <v>1060</v>
      </c>
      <c r="C20" s="3371"/>
      <c r="D20" s="1217">
        <f>SUM(D17:D19)</f>
        <v>0</v>
      </c>
      <c r="E20" s="1217"/>
      <c r="F20" s="1218"/>
      <c r="G20" s="1215"/>
      <c r="H20" s="1222"/>
      <c r="I20" s="1223">
        <f>SUM(I17:I19)</f>
        <v>0</v>
      </c>
    </row>
    <row r="21" spans="1:9">
      <c r="A21" s="3369" t="s">
        <v>1077</v>
      </c>
      <c r="B21" s="3372"/>
      <c r="C21" s="3372"/>
      <c r="D21" s="3372"/>
      <c r="E21" s="3372"/>
      <c r="F21" s="3372"/>
      <c r="G21" s="3372"/>
      <c r="H21" s="1504">
        <v>0.1</v>
      </c>
      <c r="I21" s="1220">
        <f>ROUND(I10*H21,0)</f>
        <v>0</v>
      </c>
    </row>
    <row r="22" spans="1:9" ht="14.25">
      <c r="A22" s="3373" t="s">
        <v>1078</v>
      </c>
      <c r="B22" s="3374"/>
      <c r="C22" s="3375"/>
      <c r="D22" s="1227" t="s">
        <v>1079</v>
      </c>
      <c r="E22" s="1227" t="s">
        <v>1080</v>
      </c>
      <c r="F22" s="1228" t="s">
        <v>1081</v>
      </c>
      <c r="G22" s="1228" t="s">
        <v>1082</v>
      </c>
      <c r="H22" s="1221" t="s">
        <v>1083</v>
      </c>
      <c r="I22" s="1212" t="s">
        <v>1084</v>
      </c>
    </row>
    <row r="23" spans="1:9" ht="14.25" thickBot="1">
      <c r="A23" s="3376"/>
      <c r="B23" s="3377"/>
      <c r="C23" s="3378"/>
      <c r="D23" s="1229"/>
      <c r="E23" s="1229"/>
      <c r="F23" s="1229"/>
      <c r="G23" s="1230"/>
      <c r="H23" s="1231"/>
      <c r="I23" s="1232">
        <f>ROUND(E23*D23*F23*(1-G23)/10000,0)</f>
        <v>0</v>
      </c>
    </row>
    <row r="26" spans="1:9">
      <c r="A26" s="1233" t="s">
        <v>1085</v>
      </c>
      <c r="B26" s="1233"/>
      <c r="C26" s="1233"/>
      <c r="D26" s="1233"/>
      <c r="E26" s="3366">
        <f>C27-C30-C31-C32</f>
        <v>0</v>
      </c>
      <c r="F26" s="3366"/>
      <c r="G26" s="3366"/>
      <c r="H26" s="1501" t="s">
        <v>1306</v>
      </c>
    </row>
    <row r="27" spans="1:9">
      <c r="A27" s="1234">
        <v>1</v>
      </c>
      <c r="B27" s="1235" t="s">
        <v>1086</v>
      </c>
      <c r="C27" s="1235">
        <f>C28+C29</f>
        <v>0</v>
      </c>
      <c r="D27" s="1235"/>
      <c r="E27" s="3367"/>
      <c r="F27" s="3367"/>
      <c r="G27" s="3367"/>
    </row>
    <row r="28" spans="1:9">
      <c r="A28" s="1236" t="s">
        <v>1087</v>
      </c>
      <c r="B28" s="1235" t="s">
        <v>1088</v>
      </c>
      <c r="C28" s="1235"/>
      <c r="D28" s="1235"/>
      <c r="E28" s="3367"/>
      <c r="F28" s="3367"/>
      <c r="G28" s="336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68"/>
      <c r="F32" s="3368"/>
      <c r="G32" s="3368"/>
    </row>
    <row r="33" spans="1:7" hidden="1">
      <c r="A33" s="3363" t="s">
        <v>1097</v>
      </c>
      <c r="B33" s="3364"/>
      <c r="C33" s="3364"/>
      <c r="D33" s="3365"/>
      <c r="E33" s="3366"/>
      <c r="F33" s="3366"/>
      <c r="G33" s="3366"/>
    </row>
    <row r="34" spans="1:7" hidden="1">
      <c r="A34" s="1238">
        <v>1</v>
      </c>
      <c r="B34" s="1235" t="s">
        <v>1098</v>
      </c>
      <c r="C34" s="1235"/>
      <c r="D34" s="1235"/>
      <c r="E34" s="3367"/>
      <c r="F34" s="3367"/>
      <c r="G34" s="3367"/>
    </row>
    <row r="35" spans="1:7" hidden="1">
      <c r="A35" s="1238">
        <v>2</v>
      </c>
      <c r="B35" s="1235" t="s">
        <v>1099</v>
      </c>
      <c r="C35" s="1235"/>
      <c r="D35" s="1235"/>
      <c r="E35" s="3367"/>
      <c r="F35" s="3367"/>
      <c r="G35" s="3367"/>
    </row>
    <row r="36" spans="1:7" hidden="1">
      <c r="A36" s="1238">
        <v>3</v>
      </c>
      <c r="B36" s="1235" t="s">
        <v>1100</v>
      </c>
      <c r="C36" s="1235"/>
      <c r="D36" s="1235"/>
      <c r="E36" s="3367"/>
      <c r="F36" s="3367"/>
      <c r="G36" s="3367"/>
    </row>
    <row r="37" spans="1:7" hidden="1">
      <c r="A37" s="1238">
        <v>4</v>
      </c>
      <c r="B37" s="1235" t="s">
        <v>1101</v>
      </c>
      <c r="C37" s="1235"/>
      <c r="D37" s="1235"/>
      <c r="E37" s="3367"/>
      <c r="F37" s="3367"/>
      <c r="G37" s="3367"/>
    </row>
    <row r="38" spans="1:7" hidden="1">
      <c r="A38" s="3363" t="s">
        <v>1102</v>
      </c>
      <c r="B38" s="3364"/>
      <c r="C38" s="3364"/>
      <c r="D38" s="3365"/>
      <c r="E38" s="3366"/>
      <c r="F38" s="3366"/>
      <c r="G38" s="33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估价对象为北京市房地产，为所有。根据《国有土地使用证》[]，估价对象（分摊）出让国有建设用地使用权面积为0平方米，建筑面积为1724.67平方米。</v>
      </c>
    </row>
    <row r="8" spans="1:1" ht="57.75">
      <c r="A8" s="1670" t="s">
        <v>1579</v>
      </c>
    </row>
    <row r="9" spans="1:1" ht="18.75">
      <c r="A9" s="1669" t="s">
        <v>1580</v>
      </c>
    </row>
    <row r="10" spans="1:1" ht="54">
      <c r="A10" s="166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估价对象为北京市房地产,属开发建设的，该项目尚在开发建设中。根据《国有土地使用证》[]，估价对象（分摊）出让国有建设用地使用权面积为0平方米，规划建筑面积为1724.67平方米。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2021年2月3日（评估专业人员实地查勘之日）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"本次评估采用的主估价方法为"&amp;'结果表-办公'!K4&amp;"和"&amp;'结果表-办公'!L4&amp;"。"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L21" sqref="L2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1724.67</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85" t="s">
        <v>2358</v>
      </c>
      <c r="D4" s="3286"/>
      <c r="E4" s="3287" t="s">
        <v>2359</v>
      </c>
      <c r="F4" s="3288"/>
      <c r="G4" s="3285" t="s">
        <v>2360</v>
      </c>
      <c r="H4" s="3286"/>
      <c r="I4" s="3285" t="s">
        <v>2361</v>
      </c>
      <c r="J4" s="3286"/>
      <c r="K4" s="2077" t="s">
        <v>2362</v>
      </c>
      <c r="L4" s="2946"/>
      <c r="M4" s="2947"/>
      <c r="N4" s="2947"/>
      <c r="O4" s="2947"/>
      <c r="P4" s="3355" t="s">
        <v>2363</v>
      </c>
      <c r="Q4" s="3356"/>
      <c r="R4" s="3359" t="s">
        <v>2359</v>
      </c>
      <c r="S4" s="3360"/>
      <c r="T4" s="3359" t="s">
        <v>2360</v>
      </c>
      <c r="U4" s="3360"/>
      <c r="V4" s="3302" t="s">
        <v>2361</v>
      </c>
      <c r="W4" s="3302"/>
      <c r="X4" s="1541"/>
      <c r="Y4" s="3359" t="s">
        <v>2363</v>
      </c>
      <c r="Z4" s="3360"/>
      <c r="AA4" s="3354" t="s">
        <v>2359</v>
      </c>
      <c r="AB4" s="3354" t="s">
        <v>2360</v>
      </c>
      <c r="AC4" s="3354" t="s">
        <v>2361</v>
      </c>
    </row>
    <row r="5" spans="1:29" ht="15">
      <c r="A5" s="364"/>
      <c r="B5" s="365"/>
      <c r="C5" s="3311" t="s">
        <v>2364</v>
      </c>
      <c r="D5" s="3306"/>
      <c r="E5" s="3385" t="s">
        <v>2365</v>
      </c>
      <c r="F5" s="3318"/>
      <c r="G5" s="3311" t="s">
        <v>2366</v>
      </c>
      <c r="H5" s="3306"/>
      <c r="I5" s="3311" t="s">
        <v>2367</v>
      </c>
      <c r="J5" s="3306"/>
      <c r="K5" s="2078"/>
      <c r="L5" s="2946"/>
      <c r="M5" s="2947"/>
      <c r="N5" s="2947"/>
      <c r="O5" s="2947"/>
      <c r="P5" s="3357"/>
      <c r="Q5" s="3292"/>
      <c r="R5" s="3297"/>
      <c r="S5" s="3298"/>
      <c r="T5" s="3297"/>
      <c r="U5" s="3298"/>
      <c r="V5" s="3302"/>
      <c r="W5" s="3302"/>
      <c r="X5" s="1541"/>
      <c r="Y5" s="3297"/>
      <c r="Z5" s="3298"/>
      <c r="AA5" s="3315"/>
      <c r="AB5" s="3315"/>
      <c r="AC5" s="3315"/>
    </row>
    <row r="6" spans="1:29" ht="15.75" thickBot="1">
      <c r="A6" s="366"/>
      <c r="B6" s="367"/>
      <c r="C6" s="3303" t="s">
        <v>2368</v>
      </c>
      <c r="D6" s="3304"/>
      <c r="E6" s="3312" t="s">
        <v>2368</v>
      </c>
      <c r="F6" s="3313"/>
      <c r="G6" s="3303" t="s">
        <v>2368</v>
      </c>
      <c r="H6" s="3304"/>
      <c r="I6" s="3303" t="s">
        <v>2368</v>
      </c>
      <c r="J6" s="3304"/>
      <c r="K6" s="2078" t="s">
        <v>2369</v>
      </c>
      <c r="L6" s="2946"/>
      <c r="M6" s="2947"/>
      <c r="N6" s="2947"/>
      <c r="O6" s="2947"/>
      <c r="P6" s="3358"/>
      <c r="Q6" s="3294"/>
      <c r="R6" s="3297"/>
      <c r="S6" s="3298"/>
      <c r="T6" s="3299"/>
      <c r="U6" s="3300"/>
      <c r="V6" s="3302"/>
      <c r="W6" s="3302"/>
      <c r="X6" s="1541"/>
      <c r="Y6" s="3299"/>
      <c r="Z6" s="3300"/>
      <c r="AA6" s="3316"/>
      <c r="AB6" s="3316"/>
      <c r="AC6" s="3316"/>
    </row>
    <row r="7" spans="1:29" s="113" customFormat="1" ht="15.75" thickBot="1">
      <c r="A7" s="368" t="s">
        <v>2370</v>
      </c>
      <c r="B7" s="369"/>
      <c r="C7" s="370">
        <f>'数据-取费表'!B2</f>
        <v>44230</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09" t="s">
        <v>2371</v>
      </c>
      <c r="Q7" s="3310"/>
      <c r="R7" s="710" t="s">
        <v>23</v>
      </c>
      <c r="S7" s="711">
        <f t="shared" ref="S7:S15" si="0">F7</f>
        <v>0</v>
      </c>
      <c r="T7" s="710" t="s">
        <v>23</v>
      </c>
      <c r="U7" s="711">
        <f t="shared" ref="U7:U15" si="1">H7</f>
        <v>0</v>
      </c>
      <c r="V7" s="710" t="s">
        <v>23</v>
      </c>
      <c r="W7" s="711">
        <f t="shared" ref="W7:W15" si="2">J7</f>
        <v>0</v>
      </c>
      <c r="X7" s="712"/>
      <c r="Y7" s="3309" t="s">
        <v>2371</v>
      </c>
      <c r="Z7" s="3308"/>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09" t="s">
        <v>2374</v>
      </c>
      <c r="Q8" s="3308"/>
      <c r="R8" s="710" t="s">
        <v>23</v>
      </c>
      <c r="S8" s="711">
        <f t="shared" si="0"/>
        <v>0</v>
      </c>
      <c r="T8" s="710" t="s">
        <v>23</v>
      </c>
      <c r="U8" s="711">
        <f t="shared" si="1"/>
        <v>0</v>
      </c>
      <c r="V8" s="710" t="s">
        <v>23</v>
      </c>
      <c r="W8" s="711">
        <f t="shared" si="2"/>
        <v>0</v>
      </c>
      <c r="X8" s="712"/>
      <c r="Y8" s="3309" t="s">
        <v>2374</v>
      </c>
      <c r="Z8" s="3308"/>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67" t="s">
        <v>2377</v>
      </c>
      <c r="Q9" s="1529" t="str">
        <f t="shared" ref="Q9:Q15" si="6">B9</f>
        <v>用途</v>
      </c>
      <c r="R9" s="710" t="s">
        <v>17</v>
      </c>
      <c r="S9" s="711">
        <f t="shared" si="0"/>
        <v>100</v>
      </c>
      <c r="T9" s="710" t="s">
        <v>17</v>
      </c>
      <c r="U9" s="711">
        <f t="shared" si="1"/>
        <v>100</v>
      </c>
      <c r="V9" s="710" t="s">
        <v>17</v>
      </c>
      <c r="W9" s="711">
        <f t="shared" si="2"/>
        <v>100</v>
      </c>
      <c r="X9" s="712"/>
      <c r="Y9" s="3168"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67"/>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67"/>
      <c r="Q11" s="1529" t="str">
        <f t="shared" si="6"/>
        <v>容积率</v>
      </c>
      <c r="R11" s="710" t="s">
        <v>21</v>
      </c>
      <c r="S11" s="711" t="e">
        <f t="shared" si="0"/>
        <v>#N/A</v>
      </c>
      <c r="T11" s="710" t="s">
        <v>21</v>
      </c>
      <c r="U11" s="711" t="e">
        <f t="shared" si="1"/>
        <v>#N/A</v>
      </c>
      <c r="V11" s="710" t="s">
        <v>21</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67"/>
      <c r="Q12" s="1529">
        <f t="shared" si="6"/>
        <v>111</v>
      </c>
      <c r="R12" s="710" t="s">
        <v>21</v>
      </c>
      <c r="S12" s="711">
        <f t="shared" si="0"/>
        <v>100</v>
      </c>
      <c r="T12" s="710" t="s">
        <v>21</v>
      </c>
      <c r="U12" s="711">
        <f t="shared" si="1"/>
        <v>100</v>
      </c>
      <c r="V12" s="710" t="s">
        <v>21</v>
      </c>
      <c r="W12" s="711">
        <f t="shared" si="2"/>
        <v>100</v>
      </c>
      <c r="X12" s="712"/>
      <c r="Y12" s="316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67"/>
      <c r="Q13" s="1529">
        <f t="shared" si="6"/>
        <v>111</v>
      </c>
      <c r="R13" s="710" t="s">
        <v>21</v>
      </c>
      <c r="S13" s="711">
        <f t="shared" si="0"/>
        <v>100</v>
      </c>
      <c r="T13" s="710" t="s">
        <v>21</v>
      </c>
      <c r="U13" s="711">
        <f t="shared" si="1"/>
        <v>100</v>
      </c>
      <c r="V13" s="710" t="s">
        <v>21</v>
      </c>
      <c r="W13" s="711">
        <f t="shared" si="2"/>
        <v>100</v>
      </c>
      <c r="X13" s="712"/>
      <c r="Y13" s="3168"/>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67"/>
      <c r="Q14" s="1529">
        <f t="shared" si="6"/>
        <v>111</v>
      </c>
      <c r="R14" s="710" t="s">
        <v>21</v>
      </c>
      <c r="S14" s="711">
        <f t="shared" si="0"/>
        <v>100</v>
      </c>
      <c r="T14" s="710" t="s">
        <v>21</v>
      </c>
      <c r="U14" s="711">
        <f t="shared" si="1"/>
        <v>100</v>
      </c>
      <c r="V14" s="710" t="s">
        <v>21</v>
      </c>
      <c r="W14" s="711">
        <f t="shared" si="2"/>
        <v>100</v>
      </c>
      <c r="X14" s="712"/>
      <c r="Y14" s="3168"/>
      <c r="Z14" s="55">
        <f t="shared" si="7"/>
        <v>111</v>
      </c>
      <c r="AA14" s="713">
        <f t="shared" si="3"/>
        <v>1</v>
      </c>
      <c r="AB14" s="713">
        <f t="shared" si="4"/>
        <v>1</v>
      </c>
      <c r="AC14" s="713">
        <f t="shared" si="5"/>
        <v>1</v>
      </c>
    </row>
    <row r="15" spans="1:29" ht="15">
      <c r="A15" s="399" t="s">
        <v>2381</v>
      </c>
      <c r="B15" s="65" t="s">
        <v>1944</v>
      </c>
      <c r="C15" s="208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73" t="s">
        <v>2382</v>
      </c>
      <c r="Q15" s="1538" t="str">
        <f t="shared" si="6"/>
        <v>居住社区成熟度</v>
      </c>
      <c r="R15" s="714" t="s">
        <v>21</v>
      </c>
      <c r="S15" s="715">
        <f t="shared" si="0"/>
        <v>100</v>
      </c>
      <c r="T15" s="714" t="s">
        <v>21</v>
      </c>
      <c r="U15" s="715">
        <f t="shared" si="1"/>
        <v>100</v>
      </c>
      <c r="V15" s="714" t="s">
        <v>21</v>
      </c>
      <c r="W15" s="715">
        <f t="shared" si="2"/>
        <v>100</v>
      </c>
      <c r="X15" s="1541"/>
      <c r="Y15" s="3275"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74"/>
      <c r="Q16" s="1538"/>
      <c r="R16" s="714"/>
      <c r="S16" s="715"/>
      <c r="T16" s="714"/>
      <c r="U16" s="715"/>
      <c r="V16" s="714"/>
      <c r="W16" s="715"/>
      <c r="X16" s="1541"/>
      <c r="Y16" s="3276"/>
      <c r="Z16" s="1542"/>
      <c r="AA16" s="1539">
        <v>1</v>
      </c>
      <c r="AB16" s="1539">
        <v>1</v>
      </c>
      <c r="AC16" s="1539">
        <v>1</v>
      </c>
    </row>
    <row r="17" spans="1:29" ht="15">
      <c r="A17" s="387"/>
      <c r="B17" s="410" t="s">
        <v>1946</v>
      </c>
      <c r="C17" s="2088">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74"/>
      <c r="Q17" s="1538" t="str">
        <f>B17</f>
        <v>交通便捷度</v>
      </c>
      <c r="R17" s="714" t="s">
        <v>21</v>
      </c>
      <c r="S17" s="715">
        <f>F17</f>
        <v>100</v>
      </c>
      <c r="T17" s="714" t="s">
        <v>21</v>
      </c>
      <c r="U17" s="715">
        <f>H17</f>
        <v>100</v>
      </c>
      <c r="V17" s="714" t="s">
        <v>21</v>
      </c>
      <c r="W17" s="715">
        <f>J17</f>
        <v>100</v>
      </c>
      <c r="X17" s="1541"/>
      <c r="Y17" s="3276"/>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74"/>
      <c r="Q18" s="1538"/>
      <c r="R18" s="714"/>
      <c r="S18" s="715"/>
      <c r="T18" s="714"/>
      <c r="U18" s="715"/>
      <c r="V18" s="714"/>
      <c r="W18" s="715"/>
      <c r="X18" s="1541"/>
      <c r="Y18" s="3276"/>
      <c r="Z18" s="1542"/>
      <c r="AA18" s="1539">
        <v>1</v>
      </c>
      <c r="AB18" s="1539">
        <v>1</v>
      </c>
      <c r="AC18" s="1539">
        <v>1</v>
      </c>
    </row>
    <row r="19" spans="1:29" ht="15">
      <c r="A19" s="387"/>
      <c r="B19" s="410" t="s">
        <v>1945</v>
      </c>
      <c r="C19" s="2088">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74"/>
      <c r="Q19" s="1538" t="str">
        <f>B19</f>
        <v>公共配套设施</v>
      </c>
      <c r="R19" s="714" t="s">
        <v>21</v>
      </c>
      <c r="S19" s="715">
        <f>F19</f>
        <v>100</v>
      </c>
      <c r="T19" s="714" t="s">
        <v>21</v>
      </c>
      <c r="U19" s="715">
        <f>H19</f>
        <v>100</v>
      </c>
      <c r="V19" s="714" t="s">
        <v>21</v>
      </c>
      <c r="W19" s="715">
        <f>J19</f>
        <v>100</v>
      </c>
      <c r="X19" s="1541"/>
      <c r="Y19" s="3276"/>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74"/>
      <c r="Q20" s="1538"/>
      <c r="R20" s="714"/>
      <c r="S20" s="715"/>
      <c r="T20" s="714"/>
      <c r="U20" s="715"/>
      <c r="V20" s="714"/>
      <c r="W20" s="715"/>
      <c r="X20" s="1541"/>
      <c r="Y20" s="3276"/>
      <c r="Z20" s="1542"/>
      <c r="AA20" s="1539">
        <v>1</v>
      </c>
      <c r="AB20" s="1539">
        <v>1</v>
      </c>
      <c r="AC20" s="1539">
        <v>1</v>
      </c>
    </row>
    <row r="21" spans="1:29" ht="15">
      <c r="A21" s="387"/>
      <c r="B21" s="1293" t="s">
        <v>1947</v>
      </c>
      <c r="C21" s="2088">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74"/>
      <c r="Q21" s="1538" t="str">
        <f>B21</f>
        <v>基础设施水平</v>
      </c>
      <c r="R21" s="714" t="s">
        <v>17</v>
      </c>
      <c r="S21" s="715">
        <f>F21</f>
        <v>100</v>
      </c>
      <c r="T21" s="714" t="s">
        <v>17</v>
      </c>
      <c r="U21" s="715">
        <f>H21</f>
        <v>100</v>
      </c>
      <c r="V21" s="714" t="s">
        <v>17</v>
      </c>
      <c r="W21" s="715">
        <f>J21</f>
        <v>100</v>
      </c>
      <c r="X21" s="1541"/>
      <c r="Y21" s="327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74"/>
      <c r="Q22" s="1538"/>
      <c r="R22" s="714"/>
      <c r="S22" s="715"/>
      <c r="T22" s="714"/>
      <c r="U22" s="715"/>
      <c r="V22" s="714"/>
      <c r="W22" s="715"/>
      <c r="X22" s="1541"/>
      <c r="Y22" s="3276"/>
      <c r="Z22" s="1542"/>
      <c r="AA22" s="1539">
        <v>1</v>
      </c>
      <c r="AB22" s="1539">
        <v>1</v>
      </c>
      <c r="AC22" s="1539">
        <v>1</v>
      </c>
    </row>
    <row r="23" spans="1:29" ht="15">
      <c r="A23" s="387"/>
      <c r="B23" s="410" t="s">
        <v>1948</v>
      </c>
      <c r="C23" s="2088">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74"/>
      <c r="Q23" s="1538" t="str">
        <f>B23</f>
        <v>自然及人文环境</v>
      </c>
      <c r="R23" s="714" t="s">
        <v>21</v>
      </c>
      <c r="S23" s="715">
        <f>F23</f>
        <v>100</v>
      </c>
      <c r="T23" s="714" t="s">
        <v>21</v>
      </c>
      <c r="U23" s="715">
        <f>H23</f>
        <v>100</v>
      </c>
      <c r="V23" s="714" t="s">
        <v>21</v>
      </c>
      <c r="W23" s="715">
        <f>J23</f>
        <v>100</v>
      </c>
      <c r="X23" s="1541"/>
      <c r="Y23" s="3276"/>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74"/>
      <c r="Q24" s="1538"/>
      <c r="R24" s="714"/>
      <c r="S24" s="715"/>
      <c r="T24" s="714"/>
      <c r="U24" s="715"/>
      <c r="V24" s="714"/>
      <c r="W24" s="715"/>
      <c r="X24" s="1541"/>
      <c r="Y24" s="3276"/>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7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76"/>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74"/>
      <c r="Q26" s="1538" t="str">
        <f t="shared" si="11"/>
        <v>朝向</v>
      </c>
      <c r="R26" s="714" t="s">
        <v>21</v>
      </c>
      <c r="S26" s="715">
        <f t="shared" si="12"/>
        <v>100</v>
      </c>
      <c r="T26" s="714" t="s">
        <v>21</v>
      </c>
      <c r="U26" s="715">
        <f t="shared" si="13"/>
        <v>100</v>
      </c>
      <c r="V26" s="714" t="s">
        <v>21</v>
      </c>
      <c r="W26" s="715">
        <f t="shared" si="14"/>
        <v>100</v>
      </c>
      <c r="X26" s="1541"/>
      <c r="Y26" s="3276"/>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74"/>
      <c r="Q27" s="1529">
        <f t="shared" si="11"/>
        <v>111</v>
      </c>
      <c r="R27" s="710" t="s">
        <v>21</v>
      </c>
      <c r="S27" s="711">
        <f t="shared" si="12"/>
        <v>100</v>
      </c>
      <c r="T27" s="710" t="s">
        <v>21</v>
      </c>
      <c r="U27" s="711">
        <f t="shared" si="13"/>
        <v>100</v>
      </c>
      <c r="V27" s="710" t="s">
        <v>21</v>
      </c>
      <c r="W27" s="711">
        <f t="shared" si="14"/>
        <v>100</v>
      </c>
      <c r="X27" s="712"/>
      <c r="Y27" s="3276"/>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74"/>
      <c r="Q28" s="1538">
        <f t="shared" si="11"/>
        <v>111</v>
      </c>
      <c r="R28" s="714" t="s">
        <v>21</v>
      </c>
      <c r="S28" s="715">
        <f t="shared" si="12"/>
        <v>100</v>
      </c>
      <c r="T28" s="714" t="s">
        <v>21</v>
      </c>
      <c r="U28" s="715">
        <f t="shared" si="13"/>
        <v>100</v>
      </c>
      <c r="V28" s="714" t="s">
        <v>21</v>
      </c>
      <c r="W28" s="715">
        <f t="shared" si="14"/>
        <v>100</v>
      </c>
      <c r="X28" s="1541"/>
      <c r="Y28" s="3276"/>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74"/>
      <c r="Q29" s="1538">
        <f t="shared" si="11"/>
        <v>111</v>
      </c>
      <c r="R29" s="714" t="s">
        <v>21</v>
      </c>
      <c r="S29" s="715">
        <f t="shared" si="12"/>
        <v>100</v>
      </c>
      <c r="T29" s="714" t="s">
        <v>21</v>
      </c>
      <c r="U29" s="715">
        <f t="shared" si="13"/>
        <v>100</v>
      </c>
      <c r="V29" s="714" t="s">
        <v>21</v>
      </c>
      <c r="W29" s="715">
        <f t="shared" si="14"/>
        <v>100</v>
      </c>
      <c r="X29" s="1541"/>
      <c r="Y29" s="3276"/>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74"/>
      <c r="Q30" s="1538">
        <f t="shared" si="11"/>
        <v>111</v>
      </c>
      <c r="R30" s="714" t="s">
        <v>21</v>
      </c>
      <c r="S30" s="715">
        <f t="shared" si="12"/>
        <v>100</v>
      </c>
      <c r="T30" s="714" t="s">
        <v>21</v>
      </c>
      <c r="U30" s="715">
        <f t="shared" si="13"/>
        <v>100</v>
      </c>
      <c r="V30" s="714" t="s">
        <v>21</v>
      </c>
      <c r="W30" s="715">
        <f t="shared" si="14"/>
        <v>100</v>
      </c>
      <c r="X30" s="1541"/>
      <c r="Y30" s="3276"/>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74"/>
      <c r="Q31" s="1538">
        <f t="shared" si="11"/>
        <v>111</v>
      </c>
      <c r="R31" s="714" t="s">
        <v>21</v>
      </c>
      <c r="S31" s="715">
        <f t="shared" si="12"/>
        <v>100</v>
      </c>
      <c r="T31" s="714" t="s">
        <v>21</v>
      </c>
      <c r="U31" s="715">
        <f t="shared" si="13"/>
        <v>100</v>
      </c>
      <c r="V31" s="714" t="s">
        <v>21</v>
      </c>
      <c r="W31" s="715">
        <f t="shared" si="14"/>
        <v>100</v>
      </c>
      <c r="X31" s="1541"/>
      <c r="Y31" s="3276"/>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277" t="s">
        <v>2387</v>
      </c>
      <c r="Q32" s="1538" t="str">
        <f t="shared" si="11"/>
        <v>建筑类型</v>
      </c>
      <c r="R32" s="714" t="s">
        <v>21</v>
      </c>
      <c r="S32" s="715">
        <f t="shared" si="12"/>
        <v>100</v>
      </c>
      <c r="T32" s="714" t="s">
        <v>21</v>
      </c>
      <c r="U32" s="715">
        <f t="shared" si="13"/>
        <v>100</v>
      </c>
      <c r="V32" s="714" t="s">
        <v>21</v>
      </c>
      <c r="W32" s="715">
        <f t="shared" si="14"/>
        <v>100</v>
      </c>
      <c r="X32" s="1541"/>
      <c r="Y32" s="3280"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278"/>
      <c r="Q33" s="716" t="str">
        <f t="shared" si="11"/>
        <v>项目建筑规模</v>
      </c>
      <c r="R33" s="717" t="s">
        <v>21</v>
      </c>
      <c r="S33" s="718" t="e">
        <f t="shared" si="12"/>
        <v>#N/A</v>
      </c>
      <c r="T33" s="717" t="s">
        <v>21</v>
      </c>
      <c r="U33" s="718" t="e">
        <f t="shared" si="13"/>
        <v>#N/A</v>
      </c>
      <c r="V33" s="717" t="s">
        <v>21</v>
      </c>
      <c r="W33" s="718" t="e">
        <f t="shared" si="14"/>
        <v>#N/A</v>
      </c>
      <c r="X33" s="719"/>
      <c r="Y33" s="3280"/>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278"/>
      <c r="Q34" s="1538" t="str">
        <f t="shared" si="11"/>
        <v>建筑结构</v>
      </c>
      <c r="R34" s="714" t="s">
        <v>21</v>
      </c>
      <c r="S34" s="715">
        <f t="shared" si="12"/>
        <v>100</v>
      </c>
      <c r="T34" s="714" t="s">
        <v>21</v>
      </c>
      <c r="U34" s="715">
        <f t="shared" si="13"/>
        <v>100</v>
      </c>
      <c r="V34" s="714" t="s">
        <v>21</v>
      </c>
      <c r="W34" s="715">
        <f t="shared" si="14"/>
        <v>100</v>
      </c>
      <c r="X34" s="1541"/>
      <c r="Y34" s="3280"/>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78"/>
      <c r="Q35" s="1538" t="str">
        <f t="shared" si="11"/>
        <v>建筑品质</v>
      </c>
      <c r="R35" s="714" t="s">
        <v>21</v>
      </c>
      <c r="S35" s="715">
        <f t="shared" si="12"/>
        <v>100</v>
      </c>
      <c r="T35" s="714" t="s">
        <v>21</v>
      </c>
      <c r="U35" s="715">
        <f t="shared" si="13"/>
        <v>100</v>
      </c>
      <c r="V35" s="714" t="s">
        <v>21</v>
      </c>
      <c r="W35" s="715">
        <f t="shared" si="14"/>
        <v>100</v>
      </c>
      <c r="X35" s="1541"/>
      <c r="Y35" s="3280"/>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278"/>
      <c r="Q36" s="1538" t="str">
        <f t="shared" si="11"/>
        <v>公共部分装修</v>
      </c>
      <c r="R36" s="714" t="s">
        <v>21</v>
      </c>
      <c r="S36" s="715">
        <f t="shared" si="12"/>
        <v>100</v>
      </c>
      <c r="T36" s="714" t="s">
        <v>21</v>
      </c>
      <c r="U36" s="715">
        <f t="shared" si="13"/>
        <v>100</v>
      </c>
      <c r="V36" s="714" t="s">
        <v>21</v>
      </c>
      <c r="W36" s="715">
        <f t="shared" si="14"/>
        <v>100</v>
      </c>
      <c r="X36" s="1541"/>
      <c r="Y36" s="3280"/>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278"/>
      <c r="Q37" s="1529" t="str">
        <f t="shared" si="11"/>
        <v>成新度</v>
      </c>
      <c r="R37" s="710" t="s">
        <v>21</v>
      </c>
      <c r="S37" s="711" t="e">
        <f t="shared" si="12"/>
        <v>#N/A</v>
      </c>
      <c r="T37" s="710" t="s">
        <v>21</v>
      </c>
      <c r="U37" s="711" t="e">
        <f t="shared" si="13"/>
        <v>#N/A</v>
      </c>
      <c r="V37" s="710" t="s">
        <v>21</v>
      </c>
      <c r="W37" s="711" t="e">
        <f t="shared" si="14"/>
        <v>#N/A</v>
      </c>
      <c r="X37" s="712"/>
      <c r="Y37" s="3280"/>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278" t="s">
        <v>2387</v>
      </c>
      <c r="Q38" s="1538" t="str">
        <f t="shared" si="11"/>
        <v>物业管理</v>
      </c>
      <c r="R38" s="714" t="s">
        <v>21</v>
      </c>
      <c r="S38" s="715">
        <f t="shared" si="12"/>
        <v>100</v>
      </c>
      <c r="T38" s="714" t="s">
        <v>21</v>
      </c>
      <c r="U38" s="715">
        <f t="shared" si="13"/>
        <v>100</v>
      </c>
      <c r="V38" s="714" t="s">
        <v>21</v>
      </c>
      <c r="W38" s="715">
        <f t="shared" si="14"/>
        <v>100</v>
      </c>
      <c r="X38" s="1541"/>
      <c r="Y38" s="3280"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278"/>
      <c r="Q39" s="1538" t="str">
        <f t="shared" si="11"/>
        <v>市政基础设施</v>
      </c>
      <c r="R39" s="714" t="s">
        <v>21</v>
      </c>
      <c r="S39" s="715">
        <f t="shared" si="12"/>
        <v>100</v>
      </c>
      <c r="T39" s="714" t="s">
        <v>21</v>
      </c>
      <c r="U39" s="715">
        <f t="shared" si="13"/>
        <v>100</v>
      </c>
      <c r="V39" s="714" t="s">
        <v>21</v>
      </c>
      <c r="W39" s="715">
        <f t="shared" si="14"/>
        <v>100</v>
      </c>
      <c r="X39" s="1541"/>
      <c r="Y39" s="3280"/>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278"/>
      <c r="Q40" s="1538" t="str">
        <f t="shared" si="11"/>
        <v>房型</v>
      </c>
      <c r="R40" s="714" t="s">
        <v>21</v>
      </c>
      <c r="S40" s="715">
        <f t="shared" si="12"/>
        <v>100</v>
      </c>
      <c r="T40" s="714" t="s">
        <v>21</v>
      </c>
      <c r="U40" s="715">
        <f t="shared" si="13"/>
        <v>100</v>
      </c>
      <c r="V40" s="714" t="s">
        <v>21</v>
      </c>
      <c r="W40" s="715">
        <f t="shared" si="14"/>
        <v>100</v>
      </c>
      <c r="X40" s="1541"/>
      <c r="Y40" s="3280"/>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78"/>
      <c r="Q41" s="716" t="str">
        <f t="shared" si="11"/>
        <v>单套/主力户型建筑面积</v>
      </c>
      <c r="R41" s="717" t="s">
        <v>21</v>
      </c>
      <c r="S41" s="718">
        <f t="shared" si="12"/>
        <v>100</v>
      </c>
      <c r="T41" s="717" t="s">
        <v>21</v>
      </c>
      <c r="U41" s="718">
        <f t="shared" si="13"/>
        <v>100</v>
      </c>
      <c r="V41" s="717" t="s">
        <v>21</v>
      </c>
      <c r="W41" s="718">
        <f t="shared" si="14"/>
        <v>100</v>
      </c>
      <c r="X41" s="719"/>
      <c r="Y41" s="3280"/>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278"/>
      <c r="Q42" s="1538" t="str">
        <f t="shared" si="11"/>
        <v>内部装修</v>
      </c>
      <c r="R42" s="714" t="s">
        <v>21</v>
      </c>
      <c r="S42" s="715">
        <f t="shared" si="12"/>
        <v>100</v>
      </c>
      <c r="T42" s="714" t="s">
        <v>21</v>
      </c>
      <c r="U42" s="715">
        <f t="shared" si="13"/>
        <v>100</v>
      </c>
      <c r="V42" s="714" t="s">
        <v>21</v>
      </c>
      <c r="W42" s="715">
        <f t="shared" si="14"/>
        <v>100</v>
      </c>
      <c r="X42" s="1541"/>
      <c r="Y42" s="3280"/>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278"/>
      <c r="Q43" s="1538" t="str">
        <f t="shared" si="11"/>
        <v>内部装修维护情况</v>
      </c>
      <c r="R43" s="714" t="s">
        <v>21</v>
      </c>
      <c r="S43" s="715">
        <f t="shared" si="12"/>
        <v>100</v>
      </c>
      <c r="T43" s="714" t="s">
        <v>21</v>
      </c>
      <c r="U43" s="715">
        <f t="shared" si="13"/>
        <v>100</v>
      </c>
      <c r="V43" s="714" t="s">
        <v>21</v>
      </c>
      <c r="W43" s="715">
        <f t="shared" si="14"/>
        <v>100</v>
      </c>
      <c r="X43" s="1541"/>
      <c r="Y43" s="328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278"/>
      <c r="Q44" s="1529">
        <f t="shared" si="11"/>
        <v>111</v>
      </c>
      <c r="R44" s="710" t="s">
        <v>21</v>
      </c>
      <c r="S44" s="711">
        <f t="shared" si="12"/>
        <v>100</v>
      </c>
      <c r="T44" s="710" t="s">
        <v>21</v>
      </c>
      <c r="U44" s="711">
        <f t="shared" si="13"/>
        <v>100</v>
      </c>
      <c r="V44" s="710" t="s">
        <v>21</v>
      </c>
      <c r="W44" s="711">
        <f t="shared" si="14"/>
        <v>100</v>
      </c>
      <c r="X44" s="712"/>
      <c r="Y44" s="328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78"/>
      <c r="Q45" s="1538">
        <f t="shared" si="11"/>
        <v>111</v>
      </c>
      <c r="R45" s="714" t="s">
        <v>21</v>
      </c>
      <c r="S45" s="715">
        <f t="shared" si="12"/>
        <v>100</v>
      </c>
      <c r="T45" s="714" t="s">
        <v>21</v>
      </c>
      <c r="U45" s="715">
        <f t="shared" si="13"/>
        <v>100</v>
      </c>
      <c r="V45" s="714" t="s">
        <v>21</v>
      </c>
      <c r="W45" s="715">
        <f t="shared" si="14"/>
        <v>100</v>
      </c>
      <c r="X45" s="1541"/>
      <c r="Y45" s="328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79"/>
      <c r="Q46" s="1538">
        <f t="shared" si="11"/>
        <v>111</v>
      </c>
      <c r="R46" s="714" t="s">
        <v>20</v>
      </c>
      <c r="S46" s="715">
        <f t="shared" si="12"/>
        <v>100</v>
      </c>
      <c r="T46" s="714" t="s">
        <v>20</v>
      </c>
      <c r="U46" s="715">
        <f t="shared" si="13"/>
        <v>100</v>
      </c>
      <c r="V46" s="714" t="s">
        <v>20</v>
      </c>
      <c r="W46" s="715">
        <f t="shared" si="14"/>
        <v>100</v>
      </c>
      <c r="X46" s="1541"/>
      <c r="Y46" s="3281"/>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268" t="str">
        <f>A47</f>
        <v>成交单价（元/平方米）</v>
      </c>
      <c r="Q47" s="3268"/>
      <c r="R47" s="3269">
        <f>E47</f>
        <v>0</v>
      </c>
      <c r="S47" s="3269"/>
      <c r="T47" s="3269">
        <f>G47</f>
        <v>0</v>
      </c>
      <c r="U47" s="3269"/>
      <c r="V47" s="3269">
        <f>I47</f>
        <v>0</v>
      </c>
      <c r="W47" s="3269"/>
      <c r="X47" s="699"/>
      <c r="Y47" s="721"/>
      <c r="Z47" s="699"/>
      <c r="AA47" s="699"/>
      <c r="AB47" s="699"/>
      <c r="AC47" s="699"/>
    </row>
    <row r="48" spans="1:29" ht="15.75" thickBot="1">
      <c r="A48" s="445" t="s">
        <v>2400</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350" t="str">
        <f>A49</f>
        <v>估价对象XX用房的比较价值（楼面单价，元/平方米）</v>
      </c>
      <c r="Q49" s="3351"/>
      <c r="R49" s="3384" t="e">
        <f>IF(F1="售价",ROUND(IF(D48="简单平均",AVERAGE(R48:V48),R48*F48+T48*H48+V48*J48),0),ROUND(IF(D48="简单平均",AVERAGE(R48:V48),R48*F48+T48*H48+V48*J48),1))</f>
        <v>#DIV/0!</v>
      </c>
      <c r="S49" s="3384"/>
      <c r="T49" s="3384"/>
      <c r="U49" s="3384"/>
      <c r="V49" s="3384"/>
      <c r="W49" s="3384"/>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2021-2</v>
      </c>
      <c r="D58" s="1347">
        <f>EDATE(C58,-1)</f>
        <v>44197</v>
      </c>
      <c r="E58" s="1347">
        <f>EDATE(D58,-1)</f>
        <v>44166</v>
      </c>
      <c r="F58" s="1347">
        <f t="shared" ref="F58:O58" si="19">EDATE(E58,-1)</f>
        <v>44136</v>
      </c>
      <c r="G58" s="1347">
        <f t="shared" si="19"/>
        <v>44105</v>
      </c>
      <c r="H58" s="1347">
        <f t="shared" si="19"/>
        <v>44075</v>
      </c>
      <c r="I58" s="1347">
        <f t="shared" si="19"/>
        <v>44044</v>
      </c>
      <c r="J58" s="1347">
        <f t="shared" si="19"/>
        <v>44013</v>
      </c>
      <c r="K58" s="1347">
        <f t="shared" si="19"/>
        <v>43983</v>
      </c>
      <c r="L58" s="1347">
        <f t="shared" si="19"/>
        <v>43952</v>
      </c>
      <c r="M58" s="1347">
        <f t="shared" si="19"/>
        <v>43922</v>
      </c>
      <c r="N58" s="1347">
        <f t="shared" si="19"/>
        <v>43891</v>
      </c>
      <c r="O58" s="1347">
        <f t="shared" si="19"/>
        <v>43862</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1" sqref="L2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1724.67</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85" t="s">
        <v>2468</v>
      </c>
      <c r="D4" s="3286"/>
      <c r="E4" s="3287" t="s">
        <v>2469</v>
      </c>
      <c r="F4" s="3288"/>
      <c r="G4" s="3285" t="s">
        <v>2470</v>
      </c>
      <c r="H4" s="3286"/>
      <c r="I4" s="3285" t="s">
        <v>2471</v>
      </c>
      <c r="J4" s="3286"/>
      <c r="K4" s="567" t="s">
        <v>2472</v>
      </c>
      <c r="L4" s="2946"/>
      <c r="M4" s="2947"/>
      <c r="N4" s="2947"/>
      <c r="O4" s="2947"/>
      <c r="P4" s="3355" t="s">
        <v>2473</v>
      </c>
      <c r="Q4" s="3356"/>
      <c r="R4" s="3359" t="s">
        <v>2469</v>
      </c>
      <c r="S4" s="3360"/>
      <c r="T4" s="3359" t="s">
        <v>2470</v>
      </c>
      <c r="U4" s="3360"/>
      <c r="V4" s="3302" t="s">
        <v>2471</v>
      </c>
      <c r="W4" s="3302"/>
      <c r="X4" s="1541"/>
      <c r="Y4" s="3359" t="s">
        <v>2473</v>
      </c>
      <c r="Z4" s="3360"/>
      <c r="AA4" s="3354" t="s">
        <v>2469</v>
      </c>
      <c r="AB4" s="3302" t="s">
        <v>2470</v>
      </c>
      <c r="AC4" s="3354" t="s">
        <v>2471</v>
      </c>
    </row>
    <row r="5" spans="1:29" ht="15">
      <c r="A5" s="364"/>
      <c r="B5" s="365"/>
      <c r="C5" s="3311" t="s">
        <v>2364</v>
      </c>
      <c r="D5" s="3306"/>
      <c r="E5" s="3385" t="s">
        <v>2365</v>
      </c>
      <c r="F5" s="3318"/>
      <c r="G5" s="3311" t="s">
        <v>2366</v>
      </c>
      <c r="H5" s="3306"/>
      <c r="I5" s="3311" t="s">
        <v>2367</v>
      </c>
      <c r="J5" s="3306"/>
      <c r="K5" s="567"/>
      <c r="L5" s="2946"/>
      <c r="M5" s="2947"/>
      <c r="N5" s="2947"/>
      <c r="O5" s="2947"/>
      <c r="P5" s="3357"/>
      <c r="Q5" s="3292"/>
      <c r="R5" s="3297"/>
      <c r="S5" s="3298"/>
      <c r="T5" s="3297"/>
      <c r="U5" s="3298"/>
      <c r="V5" s="3302"/>
      <c r="W5" s="3302"/>
      <c r="X5" s="1541"/>
      <c r="Y5" s="3297"/>
      <c r="Z5" s="3298"/>
      <c r="AA5" s="3315"/>
      <c r="AB5" s="3302"/>
      <c r="AC5" s="3315"/>
    </row>
    <row r="6" spans="1:29" ht="15.75" thickBot="1">
      <c r="A6" s="366"/>
      <c r="B6" s="367"/>
      <c r="C6" s="3303" t="s">
        <v>2368</v>
      </c>
      <c r="D6" s="3304"/>
      <c r="E6" s="3312" t="s">
        <v>2368</v>
      </c>
      <c r="F6" s="3313"/>
      <c r="G6" s="3303" t="s">
        <v>2368</v>
      </c>
      <c r="H6" s="3304"/>
      <c r="I6" s="3303" t="s">
        <v>2368</v>
      </c>
      <c r="J6" s="3304"/>
      <c r="K6" s="567" t="s">
        <v>2369</v>
      </c>
      <c r="L6" s="2946"/>
      <c r="M6" s="2947"/>
      <c r="N6" s="2947"/>
      <c r="O6" s="2947"/>
      <c r="P6" s="3358"/>
      <c r="Q6" s="3294"/>
      <c r="R6" s="3297"/>
      <c r="S6" s="3298"/>
      <c r="T6" s="3299"/>
      <c r="U6" s="3300"/>
      <c r="V6" s="3302"/>
      <c r="W6" s="3302"/>
      <c r="X6" s="1541"/>
      <c r="Y6" s="3299"/>
      <c r="Z6" s="3300"/>
      <c r="AA6" s="3316"/>
      <c r="AB6" s="3302"/>
      <c r="AC6" s="3316"/>
    </row>
    <row r="7" spans="1:29" s="113" customFormat="1" ht="15.75" thickBot="1">
      <c r="A7" s="368" t="s">
        <v>2370</v>
      </c>
      <c r="B7" s="369"/>
      <c r="C7" s="370">
        <f>'数据-取费表'!B2</f>
        <v>44230</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09" t="s">
        <v>2371</v>
      </c>
      <c r="Q7" s="3310"/>
      <c r="R7" s="710" t="s">
        <v>17</v>
      </c>
      <c r="S7" s="711">
        <f t="shared" ref="S7:S15" si="0">F7</f>
        <v>0</v>
      </c>
      <c r="T7" s="710" t="s">
        <v>17</v>
      </c>
      <c r="U7" s="711">
        <f t="shared" ref="U7:U15" si="1">H7</f>
        <v>0</v>
      </c>
      <c r="V7" s="710" t="s">
        <v>17</v>
      </c>
      <c r="W7" s="711">
        <f t="shared" ref="W7:W15" si="2">J7</f>
        <v>0</v>
      </c>
      <c r="X7" s="712"/>
      <c r="Y7" s="3309" t="s">
        <v>2371</v>
      </c>
      <c r="Z7" s="3308"/>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09" t="s">
        <v>2374</v>
      </c>
      <c r="Q8" s="3308"/>
      <c r="R8" s="710" t="s">
        <v>17</v>
      </c>
      <c r="S8" s="711">
        <f t="shared" si="0"/>
        <v>0</v>
      </c>
      <c r="T8" s="710" t="s">
        <v>17</v>
      </c>
      <c r="U8" s="711">
        <f t="shared" si="1"/>
        <v>0</v>
      </c>
      <c r="V8" s="710" t="s">
        <v>17</v>
      </c>
      <c r="W8" s="711">
        <f t="shared" si="2"/>
        <v>0</v>
      </c>
      <c r="X8" s="712"/>
      <c r="Y8" s="3309" t="s">
        <v>2374</v>
      </c>
      <c r="Z8" s="3308"/>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67" t="s">
        <v>2377</v>
      </c>
      <c r="Q9" s="1529" t="str">
        <f t="shared" ref="Q9:Q15" si="6">B9</f>
        <v>用途</v>
      </c>
      <c r="R9" s="710" t="s">
        <v>17</v>
      </c>
      <c r="S9" s="711">
        <f t="shared" si="0"/>
        <v>100</v>
      </c>
      <c r="T9" s="710" t="s">
        <v>17</v>
      </c>
      <c r="U9" s="711">
        <f t="shared" si="1"/>
        <v>100</v>
      </c>
      <c r="V9" s="710" t="s">
        <v>17</v>
      </c>
      <c r="W9" s="711">
        <f t="shared" si="2"/>
        <v>100</v>
      </c>
      <c r="X9" s="712"/>
      <c r="Y9" s="3168"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67"/>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67"/>
      <c r="Q11" s="1529"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67"/>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67"/>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67"/>
      <c r="Q14" s="1529">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713">
        <f t="shared" si="5"/>
        <v>1</v>
      </c>
    </row>
    <row r="15" spans="1:29" ht="15">
      <c r="A15" s="399" t="s">
        <v>2381</v>
      </c>
      <c r="B15" s="65" t="s">
        <v>2475</v>
      </c>
      <c r="C15" s="208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73" t="s">
        <v>2382</v>
      </c>
      <c r="Q15" s="1538" t="str">
        <f t="shared" si="6"/>
        <v>商业繁华度</v>
      </c>
      <c r="R15" s="714" t="s">
        <v>17</v>
      </c>
      <c r="S15" s="715">
        <f t="shared" si="0"/>
        <v>100</v>
      </c>
      <c r="T15" s="714" t="s">
        <v>17</v>
      </c>
      <c r="U15" s="715">
        <f t="shared" si="1"/>
        <v>100</v>
      </c>
      <c r="V15" s="714" t="s">
        <v>17</v>
      </c>
      <c r="W15" s="715">
        <f t="shared" si="2"/>
        <v>100</v>
      </c>
      <c r="X15" s="1541"/>
      <c r="Y15" s="3275"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74"/>
      <c r="Q16" s="1538"/>
      <c r="R16" s="714"/>
      <c r="S16" s="715"/>
      <c r="T16" s="714"/>
      <c r="U16" s="715"/>
      <c r="V16" s="714"/>
      <c r="W16" s="715"/>
      <c r="X16" s="1541"/>
      <c r="Y16" s="3276"/>
      <c r="Z16" s="1542"/>
      <c r="AA16" s="1539">
        <v>1</v>
      </c>
      <c r="AB16" s="1539">
        <v>1</v>
      </c>
      <c r="AC16" s="1539">
        <v>1</v>
      </c>
    </row>
    <row r="17" spans="1:29" ht="15">
      <c r="A17" s="387"/>
      <c r="B17" s="410" t="s">
        <v>1946</v>
      </c>
      <c r="C17" s="2088">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74"/>
      <c r="Q17" s="1538" t="str">
        <f>B17</f>
        <v>交通便捷度</v>
      </c>
      <c r="R17" s="714" t="s">
        <v>17</v>
      </c>
      <c r="S17" s="715">
        <f>F17</f>
        <v>100</v>
      </c>
      <c r="T17" s="714" t="s">
        <v>17</v>
      </c>
      <c r="U17" s="715">
        <f>H17</f>
        <v>100</v>
      </c>
      <c r="V17" s="714" t="s">
        <v>17</v>
      </c>
      <c r="W17" s="715">
        <f>J17</f>
        <v>100</v>
      </c>
      <c r="X17" s="1541"/>
      <c r="Y17" s="327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74"/>
      <c r="Q18" s="1538"/>
      <c r="R18" s="714"/>
      <c r="S18" s="715"/>
      <c r="T18" s="714"/>
      <c r="U18" s="715"/>
      <c r="V18" s="714"/>
      <c r="W18" s="715"/>
      <c r="X18" s="1541"/>
      <c r="Y18" s="3276"/>
      <c r="Z18" s="1542"/>
      <c r="AA18" s="1539">
        <v>1</v>
      </c>
      <c r="AB18" s="1539">
        <v>1</v>
      </c>
      <c r="AC18" s="1539">
        <v>1</v>
      </c>
    </row>
    <row r="19" spans="1:29" ht="15">
      <c r="A19" s="387"/>
      <c r="B19" s="410" t="s">
        <v>2476</v>
      </c>
      <c r="C19" s="2088">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74"/>
      <c r="Q19" s="1538" t="str">
        <f>B19</f>
        <v>公共配套设施</v>
      </c>
      <c r="R19" s="714" t="s">
        <v>17</v>
      </c>
      <c r="S19" s="715">
        <f>F19</f>
        <v>100</v>
      </c>
      <c r="T19" s="714" t="s">
        <v>17</v>
      </c>
      <c r="U19" s="715">
        <f>H19</f>
        <v>100</v>
      </c>
      <c r="V19" s="714" t="s">
        <v>17</v>
      </c>
      <c r="W19" s="715">
        <f>J19</f>
        <v>100</v>
      </c>
      <c r="X19" s="1541"/>
      <c r="Y19" s="327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74"/>
      <c r="Q20" s="1538"/>
      <c r="R20" s="714"/>
      <c r="S20" s="715"/>
      <c r="T20" s="714"/>
      <c r="U20" s="715"/>
      <c r="V20" s="714"/>
      <c r="W20" s="715"/>
      <c r="X20" s="1541"/>
      <c r="Y20" s="3276"/>
      <c r="Z20" s="1542"/>
      <c r="AA20" s="1539">
        <v>1</v>
      </c>
      <c r="AB20" s="1539">
        <v>1</v>
      </c>
      <c r="AC20" s="1539">
        <v>1</v>
      </c>
    </row>
    <row r="21" spans="1:29" ht="15">
      <c r="A21" s="387"/>
      <c r="B21" s="1293" t="s">
        <v>2477</v>
      </c>
      <c r="C21" s="2088">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74"/>
      <c r="Q21" s="1538" t="str">
        <f>B21</f>
        <v>基础设施水平</v>
      </c>
      <c r="R21" s="714" t="s">
        <v>17</v>
      </c>
      <c r="S21" s="715">
        <f>F21</f>
        <v>100</v>
      </c>
      <c r="T21" s="714" t="s">
        <v>17</v>
      </c>
      <c r="U21" s="715">
        <f>H21</f>
        <v>100</v>
      </c>
      <c r="V21" s="714" t="s">
        <v>17</v>
      </c>
      <c r="W21" s="715">
        <f>J21</f>
        <v>100</v>
      </c>
      <c r="X21" s="1541"/>
      <c r="Y21" s="327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74"/>
      <c r="Q22" s="1538"/>
      <c r="R22" s="714"/>
      <c r="S22" s="715"/>
      <c r="T22" s="714"/>
      <c r="U22" s="715"/>
      <c r="V22" s="714"/>
      <c r="W22" s="715"/>
      <c r="X22" s="1541"/>
      <c r="Y22" s="3276"/>
      <c r="Z22" s="1542"/>
      <c r="AA22" s="1539">
        <v>1</v>
      </c>
      <c r="AB22" s="1539">
        <v>1</v>
      </c>
      <c r="AC22" s="1539">
        <v>1</v>
      </c>
    </row>
    <row r="23" spans="1:29" ht="15">
      <c r="A23" s="387"/>
      <c r="B23" s="410" t="s">
        <v>1948</v>
      </c>
      <c r="C23" s="2143">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74"/>
      <c r="Q23" s="1538" t="str">
        <f>B23</f>
        <v>自然及人文环境</v>
      </c>
      <c r="R23" s="714" t="s">
        <v>17</v>
      </c>
      <c r="S23" s="715">
        <f>F23</f>
        <v>100</v>
      </c>
      <c r="T23" s="714" t="s">
        <v>17</v>
      </c>
      <c r="U23" s="715">
        <f>H23</f>
        <v>100</v>
      </c>
      <c r="V23" s="714" t="s">
        <v>17</v>
      </c>
      <c r="W23" s="715">
        <f>J23</f>
        <v>100</v>
      </c>
      <c r="X23" s="1541"/>
      <c r="Y23" s="3276"/>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74"/>
      <c r="Q24" s="1538"/>
      <c r="R24" s="714"/>
      <c r="S24" s="715"/>
      <c r="T24" s="714"/>
      <c r="U24" s="715"/>
      <c r="V24" s="714"/>
      <c r="W24" s="715"/>
      <c r="X24" s="1541"/>
      <c r="Y24" s="3276"/>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74"/>
      <c r="Q25" s="1538" t="str">
        <f t="shared" ref="Q25:Q46" si="11">B25</f>
        <v>临街状况</v>
      </c>
      <c r="R25" s="714" t="s">
        <v>17</v>
      </c>
      <c r="S25" s="715">
        <f>F25</f>
        <v>100</v>
      </c>
      <c r="T25" s="714" t="s">
        <v>17</v>
      </c>
      <c r="U25" s="715">
        <f>H25</f>
        <v>100</v>
      </c>
      <c r="V25" s="714" t="s">
        <v>17</v>
      </c>
      <c r="W25" s="715">
        <f>J25</f>
        <v>100</v>
      </c>
      <c r="X25" s="1541"/>
      <c r="Y25" s="3276"/>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74"/>
      <c r="Q26" s="1538" t="str">
        <f t="shared" si="11"/>
        <v>平面位置/可视性</v>
      </c>
      <c r="R26" s="714" t="s">
        <v>17</v>
      </c>
      <c r="S26" s="715">
        <f>F26</f>
        <v>100</v>
      </c>
      <c r="T26" s="714" t="s">
        <v>17</v>
      </c>
      <c r="U26" s="715">
        <f>H26</f>
        <v>100</v>
      </c>
      <c r="V26" s="714" t="s">
        <v>17</v>
      </c>
      <c r="W26" s="715">
        <f>J26</f>
        <v>100</v>
      </c>
      <c r="X26" s="1541"/>
      <c r="Y26" s="3276"/>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74"/>
      <c r="Q27" s="1529" t="str">
        <f t="shared" si="11"/>
        <v>人流量</v>
      </c>
      <c r="R27" s="710" t="s">
        <v>17</v>
      </c>
      <c r="S27" s="711">
        <f>F27</f>
        <v>100</v>
      </c>
      <c r="T27" s="710" t="s">
        <v>17</v>
      </c>
      <c r="U27" s="711">
        <f>H27</f>
        <v>100</v>
      </c>
      <c r="V27" s="710" t="s">
        <v>17</v>
      </c>
      <c r="W27" s="711">
        <f>J27</f>
        <v>100</v>
      </c>
      <c r="X27" s="712"/>
      <c r="Y27" s="3276"/>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74"/>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76"/>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74"/>
      <c r="Q29" s="1538">
        <f t="shared" si="11"/>
        <v>111</v>
      </c>
      <c r="R29" s="714" t="s">
        <v>17</v>
      </c>
      <c r="S29" s="715">
        <f t="shared" si="12"/>
        <v>100</v>
      </c>
      <c r="T29" s="714" t="s">
        <v>17</v>
      </c>
      <c r="U29" s="715">
        <f t="shared" si="13"/>
        <v>100</v>
      </c>
      <c r="V29" s="714" t="s">
        <v>17</v>
      </c>
      <c r="W29" s="715">
        <f t="shared" si="14"/>
        <v>100</v>
      </c>
      <c r="X29" s="1541"/>
      <c r="Y29" s="3276"/>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74"/>
      <c r="Q30" s="1538">
        <f t="shared" si="11"/>
        <v>111</v>
      </c>
      <c r="R30" s="714" t="s">
        <v>17</v>
      </c>
      <c r="S30" s="715">
        <f t="shared" si="12"/>
        <v>100</v>
      </c>
      <c r="T30" s="714" t="s">
        <v>17</v>
      </c>
      <c r="U30" s="715">
        <f t="shared" si="13"/>
        <v>100</v>
      </c>
      <c r="V30" s="714" t="s">
        <v>17</v>
      </c>
      <c r="W30" s="715">
        <f t="shared" si="14"/>
        <v>100</v>
      </c>
      <c r="X30" s="1541"/>
      <c r="Y30" s="3276"/>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74"/>
      <c r="Q31" s="1538">
        <f t="shared" si="11"/>
        <v>111</v>
      </c>
      <c r="R31" s="714" t="s">
        <v>17</v>
      </c>
      <c r="S31" s="715">
        <f t="shared" si="12"/>
        <v>100</v>
      </c>
      <c r="T31" s="714" t="s">
        <v>17</v>
      </c>
      <c r="U31" s="715">
        <f t="shared" si="13"/>
        <v>100</v>
      </c>
      <c r="V31" s="714" t="s">
        <v>17</v>
      </c>
      <c r="W31" s="715">
        <f t="shared" si="14"/>
        <v>100</v>
      </c>
      <c r="X31" s="1541"/>
      <c r="Y31" s="3276"/>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77" t="s">
        <v>2387</v>
      </c>
      <c r="Q32" s="1538" t="str">
        <f t="shared" si="11"/>
        <v>商业类型</v>
      </c>
      <c r="R32" s="714" t="s">
        <v>17</v>
      </c>
      <c r="S32" s="715">
        <f t="shared" si="12"/>
        <v>100</v>
      </c>
      <c r="T32" s="714" t="s">
        <v>17</v>
      </c>
      <c r="U32" s="715">
        <f t="shared" si="13"/>
        <v>100</v>
      </c>
      <c r="V32" s="714" t="s">
        <v>17</v>
      </c>
      <c r="W32" s="715">
        <f t="shared" si="14"/>
        <v>100</v>
      </c>
      <c r="X32" s="1541"/>
      <c r="Y32" s="3280"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278"/>
      <c r="Q33" s="716" t="str">
        <f t="shared" si="11"/>
        <v>项目建筑规模</v>
      </c>
      <c r="R33" s="717" t="s">
        <v>17</v>
      </c>
      <c r="S33" s="718" t="e">
        <f t="shared" si="12"/>
        <v>#N/A</v>
      </c>
      <c r="T33" s="717" t="s">
        <v>17</v>
      </c>
      <c r="U33" s="718" t="e">
        <f t="shared" si="13"/>
        <v>#N/A</v>
      </c>
      <c r="V33" s="717" t="s">
        <v>17</v>
      </c>
      <c r="W33" s="718" t="e">
        <f t="shared" si="14"/>
        <v>#N/A</v>
      </c>
      <c r="X33" s="719"/>
      <c r="Y33" s="3280"/>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78"/>
      <c r="Q34" s="1538" t="str">
        <f t="shared" si="11"/>
        <v>建筑结构</v>
      </c>
      <c r="R34" s="714" t="s">
        <v>17</v>
      </c>
      <c r="S34" s="715">
        <f t="shared" si="12"/>
        <v>100</v>
      </c>
      <c r="T34" s="714" t="s">
        <v>17</v>
      </c>
      <c r="U34" s="715">
        <f t="shared" si="13"/>
        <v>100</v>
      </c>
      <c r="V34" s="714" t="s">
        <v>17</v>
      </c>
      <c r="W34" s="715">
        <f t="shared" si="14"/>
        <v>100</v>
      </c>
      <c r="X34" s="1541"/>
      <c r="Y34" s="3280"/>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78"/>
      <c r="Q35" s="1538" t="str">
        <f t="shared" si="11"/>
        <v>公共部分装修</v>
      </c>
      <c r="R35" s="714" t="s">
        <v>17</v>
      </c>
      <c r="S35" s="715">
        <f t="shared" si="12"/>
        <v>100</v>
      </c>
      <c r="T35" s="714" t="s">
        <v>17</v>
      </c>
      <c r="U35" s="715">
        <f t="shared" si="13"/>
        <v>100</v>
      </c>
      <c r="V35" s="714" t="s">
        <v>17</v>
      </c>
      <c r="W35" s="715">
        <f t="shared" si="14"/>
        <v>100</v>
      </c>
      <c r="X35" s="1541"/>
      <c r="Y35" s="3280"/>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278"/>
      <c r="Q36" s="1538" t="str">
        <f t="shared" si="11"/>
        <v>成新度</v>
      </c>
      <c r="R36" s="714" t="s">
        <v>17</v>
      </c>
      <c r="S36" s="715" t="e">
        <f t="shared" si="12"/>
        <v>#N/A</v>
      </c>
      <c r="T36" s="714" t="s">
        <v>17</v>
      </c>
      <c r="U36" s="715" t="e">
        <f t="shared" si="13"/>
        <v>#N/A</v>
      </c>
      <c r="V36" s="714" t="s">
        <v>17</v>
      </c>
      <c r="W36" s="715" t="e">
        <f t="shared" si="14"/>
        <v>#N/A</v>
      </c>
      <c r="X36" s="1541"/>
      <c r="Y36" s="3280"/>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78"/>
      <c r="Q37" s="1529" t="str">
        <f t="shared" si="11"/>
        <v>市政基础设施</v>
      </c>
      <c r="R37" s="710" t="s">
        <v>17</v>
      </c>
      <c r="S37" s="711">
        <f t="shared" si="12"/>
        <v>100</v>
      </c>
      <c r="T37" s="710" t="s">
        <v>17</v>
      </c>
      <c r="U37" s="711">
        <f t="shared" si="13"/>
        <v>100</v>
      </c>
      <c r="V37" s="710" t="s">
        <v>17</v>
      </c>
      <c r="W37" s="711">
        <f t="shared" si="14"/>
        <v>100</v>
      </c>
      <c r="X37" s="712"/>
      <c r="Y37" s="3280"/>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78" t="s">
        <v>2387</v>
      </c>
      <c r="Q38" s="1538" t="str">
        <f t="shared" si="11"/>
        <v>业态</v>
      </c>
      <c r="R38" s="714" t="s">
        <v>17</v>
      </c>
      <c r="S38" s="715">
        <f t="shared" si="12"/>
        <v>100</v>
      </c>
      <c r="T38" s="714" t="s">
        <v>17</v>
      </c>
      <c r="U38" s="715">
        <f t="shared" si="13"/>
        <v>100</v>
      </c>
      <c r="V38" s="714" t="s">
        <v>17</v>
      </c>
      <c r="W38" s="715">
        <f t="shared" si="14"/>
        <v>100</v>
      </c>
      <c r="X38" s="1541"/>
      <c r="Y38" s="3280"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78"/>
      <c r="Q39" s="1538" t="str">
        <f t="shared" si="11"/>
        <v>层高</v>
      </c>
      <c r="R39" s="714" t="s">
        <v>17</v>
      </c>
      <c r="S39" s="715">
        <f t="shared" si="12"/>
        <v>100</v>
      </c>
      <c r="T39" s="714" t="s">
        <v>17</v>
      </c>
      <c r="U39" s="715">
        <f t="shared" si="13"/>
        <v>100</v>
      </c>
      <c r="V39" s="714" t="s">
        <v>17</v>
      </c>
      <c r="W39" s="715">
        <f t="shared" si="14"/>
        <v>100</v>
      </c>
      <c r="X39" s="1541"/>
      <c r="Y39" s="3280"/>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78"/>
      <c r="Q40" s="1538" t="str">
        <f t="shared" si="11"/>
        <v>单套建筑面积</v>
      </c>
      <c r="R40" s="714" t="s">
        <v>17</v>
      </c>
      <c r="S40" s="715">
        <f t="shared" si="12"/>
        <v>100</v>
      </c>
      <c r="T40" s="714" t="s">
        <v>17</v>
      </c>
      <c r="U40" s="715">
        <f t="shared" si="13"/>
        <v>100</v>
      </c>
      <c r="V40" s="714" t="s">
        <v>17</v>
      </c>
      <c r="W40" s="715">
        <f t="shared" si="14"/>
        <v>100</v>
      </c>
      <c r="X40" s="1541"/>
      <c r="Y40" s="3280"/>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78"/>
      <c r="Q41" s="716" t="str">
        <f t="shared" si="11"/>
        <v>进深比</v>
      </c>
      <c r="R41" s="717" t="s">
        <v>17</v>
      </c>
      <c r="S41" s="718">
        <f t="shared" si="12"/>
        <v>100</v>
      </c>
      <c r="T41" s="717" t="s">
        <v>17</v>
      </c>
      <c r="U41" s="718">
        <f t="shared" si="13"/>
        <v>100</v>
      </c>
      <c r="V41" s="717" t="s">
        <v>17</v>
      </c>
      <c r="W41" s="718">
        <f t="shared" si="14"/>
        <v>100</v>
      </c>
      <c r="X41" s="719"/>
      <c r="Y41" s="3280"/>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78"/>
      <c r="Q42" s="1538" t="str">
        <f t="shared" si="11"/>
        <v>内部装修</v>
      </c>
      <c r="R42" s="714" t="s">
        <v>17</v>
      </c>
      <c r="S42" s="715">
        <f t="shared" si="12"/>
        <v>100</v>
      </c>
      <c r="T42" s="714" t="s">
        <v>17</v>
      </c>
      <c r="U42" s="715">
        <f t="shared" si="13"/>
        <v>100</v>
      </c>
      <c r="V42" s="714" t="s">
        <v>17</v>
      </c>
      <c r="W42" s="715">
        <f t="shared" si="14"/>
        <v>100</v>
      </c>
      <c r="X42" s="1541"/>
      <c r="Y42" s="3280"/>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78"/>
      <c r="Q43" s="1538" t="str">
        <f t="shared" si="11"/>
        <v>内部装修维护情况</v>
      </c>
      <c r="R43" s="714" t="s">
        <v>17</v>
      </c>
      <c r="S43" s="715">
        <f t="shared" si="12"/>
        <v>100</v>
      </c>
      <c r="T43" s="714" t="s">
        <v>17</v>
      </c>
      <c r="U43" s="715">
        <f t="shared" si="13"/>
        <v>100</v>
      </c>
      <c r="V43" s="714" t="s">
        <v>17</v>
      </c>
      <c r="W43" s="715">
        <f t="shared" si="14"/>
        <v>100</v>
      </c>
      <c r="X43" s="1541"/>
      <c r="Y43" s="3280"/>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78"/>
      <c r="Q44" s="1529">
        <f t="shared" si="11"/>
        <v>111</v>
      </c>
      <c r="R44" s="710" t="s">
        <v>17</v>
      </c>
      <c r="S44" s="711">
        <f t="shared" si="12"/>
        <v>100</v>
      </c>
      <c r="T44" s="710" t="s">
        <v>17</v>
      </c>
      <c r="U44" s="711">
        <f t="shared" si="13"/>
        <v>100</v>
      </c>
      <c r="V44" s="710" t="s">
        <v>17</v>
      </c>
      <c r="W44" s="711">
        <f t="shared" si="14"/>
        <v>100</v>
      </c>
      <c r="X44" s="712"/>
      <c r="Y44" s="328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78"/>
      <c r="Q45" s="1538">
        <f t="shared" si="11"/>
        <v>111</v>
      </c>
      <c r="R45" s="714" t="s">
        <v>17</v>
      </c>
      <c r="S45" s="715">
        <f t="shared" si="12"/>
        <v>100</v>
      </c>
      <c r="T45" s="714" t="s">
        <v>17</v>
      </c>
      <c r="U45" s="715">
        <f t="shared" si="13"/>
        <v>100</v>
      </c>
      <c r="V45" s="714" t="s">
        <v>17</v>
      </c>
      <c r="W45" s="715">
        <f t="shared" si="14"/>
        <v>100</v>
      </c>
      <c r="X45" s="1541"/>
      <c r="Y45" s="3280"/>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79"/>
      <c r="Q46" s="1538">
        <f t="shared" si="11"/>
        <v>111</v>
      </c>
      <c r="R46" s="714" t="s">
        <v>17</v>
      </c>
      <c r="S46" s="715">
        <f t="shared" si="12"/>
        <v>100</v>
      </c>
      <c r="T46" s="714" t="s">
        <v>17</v>
      </c>
      <c r="U46" s="715">
        <f t="shared" si="13"/>
        <v>100</v>
      </c>
      <c r="V46" s="714" t="s">
        <v>17</v>
      </c>
      <c r="W46" s="715">
        <f t="shared" si="14"/>
        <v>100</v>
      </c>
      <c r="X46" s="1541"/>
      <c r="Y46" s="3281"/>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268" t="str">
        <f>A47</f>
        <v>成交单价（元/平方米）</v>
      </c>
      <c r="Q47" s="3268"/>
      <c r="R47" s="3302">
        <f>E47</f>
        <v>0</v>
      </c>
      <c r="S47" s="3302"/>
      <c r="T47" s="3302">
        <f>G47</f>
        <v>0</v>
      </c>
      <c r="U47" s="3302"/>
      <c r="V47" s="3302">
        <f>I47</f>
        <v>0</v>
      </c>
      <c r="W47" s="3302"/>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350" t="str">
        <f>A49</f>
        <v>估价对象XX用房的比较价值（楼面单价，元/平方米）</v>
      </c>
      <c r="Q49" s="3351"/>
      <c r="R49" s="3384" t="e">
        <f>IF(F1="售价",ROUND(IF(D48="简单平均",AVERAGE(R48:V48),R48*F48+T48*H48+V48*J48),0),ROUND(IF(D48="简单平均",AVERAGE(R48:V48),R48*F48+T48*H48+V48*J48),1))</f>
        <v>#DIV/0!</v>
      </c>
      <c r="S49" s="3384"/>
      <c r="T49" s="3384"/>
      <c r="U49" s="3384"/>
      <c r="V49" s="3384"/>
      <c r="W49" s="3384"/>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2021-2</v>
      </c>
      <c r="D58" s="1347">
        <f>EDATE(C58,-1)</f>
        <v>44197</v>
      </c>
      <c r="E58" s="1347">
        <f t="shared" ref="E58:N58" si="16">EDATE(D58,-1)</f>
        <v>44166</v>
      </c>
      <c r="F58" s="1347">
        <f t="shared" si="16"/>
        <v>44136</v>
      </c>
      <c r="G58" s="1347">
        <f t="shared" si="16"/>
        <v>44105</v>
      </c>
      <c r="H58" s="1347">
        <f t="shared" si="16"/>
        <v>44075</v>
      </c>
      <c r="I58" s="1347">
        <f t="shared" si="16"/>
        <v>44044</v>
      </c>
      <c r="J58" s="1347">
        <f t="shared" si="16"/>
        <v>44013</v>
      </c>
      <c r="K58" s="1347">
        <f t="shared" si="16"/>
        <v>43983</v>
      </c>
      <c r="L58" s="1347">
        <f t="shared" si="16"/>
        <v>43952</v>
      </c>
      <c r="M58" s="1347">
        <f t="shared" si="16"/>
        <v>43922</v>
      </c>
      <c r="N58" s="1347">
        <f t="shared" si="16"/>
        <v>43891</v>
      </c>
      <c r="O58" s="1347">
        <f>EDATE(N58,-1)</f>
        <v>43862</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1724.67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85" t="s">
        <v>2468</v>
      </c>
      <c r="D4" s="3286"/>
      <c r="E4" s="3287" t="s">
        <v>2469</v>
      </c>
      <c r="F4" s="3288"/>
      <c r="G4" s="3285" t="s">
        <v>2470</v>
      </c>
      <c r="H4" s="3286"/>
      <c r="I4" s="3285" t="s">
        <v>2471</v>
      </c>
      <c r="J4" s="3286"/>
      <c r="K4" s="567" t="s">
        <v>2472</v>
      </c>
      <c r="L4" s="1044"/>
      <c r="M4" s="1045"/>
      <c r="N4" s="1045"/>
      <c r="O4" s="1045"/>
      <c r="P4" s="3355" t="s">
        <v>2473</v>
      </c>
      <c r="Q4" s="3356"/>
      <c r="R4" s="3359" t="s">
        <v>2469</v>
      </c>
      <c r="S4" s="3360"/>
      <c r="T4" s="3359" t="s">
        <v>2470</v>
      </c>
      <c r="U4" s="3360"/>
      <c r="V4" s="3302" t="s">
        <v>2471</v>
      </c>
      <c r="W4" s="3302"/>
      <c r="X4" s="1541"/>
      <c r="Y4" s="3359" t="s">
        <v>2473</v>
      </c>
      <c r="Z4" s="3360"/>
      <c r="AA4" s="3354" t="s">
        <v>2469</v>
      </c>
      <c r="AB4" s="3315" t="s">
        <v>2470</v>
      </c>
      <c r="AC4" s="3354" t="s">
        <v>2471</v>
      </c>
    </row>
    <row r="5" spans="1:29" ht="15">
      <c r="A5" s="364"/>
      <c r="B5" s="365"/>
      <c r="C5" s="3311" t="s">
        <v>2364</v>
      </c>
      <c r="D5" s="3306"/>
      <c r="E5" s="3385" t="s">
        <v>2365</v>
      </c>
      <c r="F5" s="3318"/>
      <c r="G5" s="3311" t="s">
        <v>2366</v>
      </c>
      <c r="H5" s="3306"/>
      <c r="I5" s="3311" t="s">
        <v>2367</v>
      </c>
      <c r="J5" s="3306"/>
      <c r="K5" s="567"/>
      <c r="L5" s="1044"/>
      <c r="M5" s="1045"/>
      <c r="N5" s="1045"/>
      <c r="O5" s="1045"/>
      <c r="P5" s="3357"/>
      <c r="Q5" s="3292"/>
      <c r="R5" s="3297"/>
      <c r="S5" s="3298"/>
      <c r="T5" s="3297"/>
      <c r="U5" s="3298"/>
      <c r="V5" s="3302"/>
      <c r="W5" s="3302"/>
      <c r="X5" s="1541"/>
      <c r="Y5" s="3297"/>
      <c r="Z5" s="3298"/>
      <c r="AA5" s="3315"/>
      <c r="AB5" s="3315"/>
      <c r="AC5" s="3315"/>
    </row>
    <row r="6" spans="1:29" ht="15.75" thickBot="1">
      <c r="A6" s="366"/>
      <c r="B6" s="367"/>
      <c r="C6" s="3303" t="s">
        <v>2368</v>
      </c>
      <c r="D6" s="3304"/>
      <c r="E6" s="3312" t="s">
        <v>2368</v>
      </c>
      <c r="F6" s="3313"/>
      <c r="G6" s="3303" t="s">
        <v>2368</v>
      </c>
      <c r="H6" s="3304"/>
      <c r="I6" s="3303" t="s">
        <v>2368</v>
      </c>
      <c r="J6" s="3304"/>
      <c r="K6" s="567" t="s">
        <v>2369</v>
      </c>
      <c r="L6" s="1044"/>
      <c r="M6" s="1045"/>
      <c r="N6" s="1045"/>
      <c r="O6" s="1045"/>
      <c r="P6" s="3358"/>
      <c r="Q6" s="3294"/>
      <c r="R6" s="3297"/>
      <c r="S6" s="3298"/>
      <c r="T6" s="3299"/>
      <c r="U6" s="3300"/>
      <c r="V6" s="3302"/>
      <c r="W6" s="3302"/>
      <c r="X6" s="1541"/>
      <c r="Y6" s="3299"/>
      <c r="Z6" s="3300"/>
      <c r="AA6" s="3316"/>
      <c r="AB6" s="3316"/>
      <c r="AC6" s="3316"/>
    </row>
    <row r="7" spans="1:29" s="113" customFormat="1" ht="15.75" thickBot="1">
      <c r="A7" s="368" t="s">
        <v>2370</v>
      </c>
      <c r="B7" s="369"/>
      <c r="C7" s="370">
        <f>'数据-取费表'!B2</f>
        <v>44230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9" t="s">
        <v>2371</v>
      </c>
      <c r="Q7" s="3310"/>
      <c r="R7" s="710" t="s">
        <v>17</v>
      </c>
      <c r="S7" s="711">
        <f t="shared" ref="S7:S15" si="0">F7</f>
        <v>0</v>
      </c>
      <c r="T7" s="710" t="s">
        <v>17</v>
      </c>
      <c r="U7" s="711">
        <f t="shared" ref="U7:U15" si="1">H7</f>
        <v>0</v>
      </c>
      <c r="V7" s="710" t="s">
        <v>17</v>
      </c>
      <c r="W7" s="711">
        <f t="shared" ref="W7:W15" si="2">J7</f>
        <v>0</v>
      </c>
      <c r="X7" s="712"/>
      <c r="Y7" s="3309" t="s">
        <v>2371</v>
      </c>
      <c r="Z7" s="3308"/>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9" t="s">
        <v>2374</v>
      </c>
      <c r="Q8" s="3308"/>
      <c r="R8" s="710" t="s">
        <v>17</v>
      </c>
      <c r="S8" s="711">
        <f t="shared" si="0"/>
        <v>0</v>
      </c>
      <c r="T8" s="710" t="s">
        <v>17</v>
      </c>
      <c r="U8" s="711">
        <f t="shared" si="1"/>
        <v>0</v>
      </c>
      <c r="V8" s="710" t="s">
        <v>17</v>
      </c>
      <c r="W8" s="711">
        <f t="shared" si="2"/>
        <v>0</v>
      </c>
      <c r="X8" s="712"/>
      <c r="Y8" s="3309" t="s">
        <v>2374</v>
      </c>
      <c r="Z8" s="3308"/>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8" t="s">
        <v>2377</v>
      </c>
      <c r="Q9" s="1529" t="str">
        <f t="shared" ref="Q9:Q15" si="6">B9</f>
        <v>用途</v>
      </c>
      <c r="R9" s="710" t="s">
        <v>17</v>
      </c>
      <c r="S9" s="711">
        <f t="shared" si="0"/>
        <v>100</v>
      </c>
      <c r="T9" s="710" t="s">
        <v>17</v>
      </c>
      <c r="U9" s="711">
        <f t="shared" si="1"/>
        <v>100</v>
      </c>
      <c r="V9" s="710" t="s">
        <v>17</v>
      </c>
      <c r="W9" s="711">
        <f t="shared" si="2"/>
        <v>100</v>
      </c>
      <c r="X9" s="712"/>
      <c r="Y9" s="3168"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8"/>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8"/>
      <c r="Q11" s="1529"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68"/>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68"/>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68"/>
      <c r="Q14" s="1529">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713">
        <f t="shared" si="5"/>
        <v>1</v>
      </c>
    </row>
    <row r="15" spans="1:29" ht="15">
      <c r="A15" s="399" t="s">
        <v>2381</v>
      </c>
      <c r="B15" s="65" t="s">
        <v>2525</v>
      </c>
      <c r="C15" s="2159">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5" t="s">
        <v>2382</v>
      </c>
      <c r="Q15" s="1538" t="str">
        <f t="shared" si="6"/>
        <v>产业集聚程度</v>
      </c>
      <c r="R15" s="714" t="s">
        <v>17</v>
      </c>
      <c r="S15" s="715">
        <f t="shared" si="0"/>
        <v>100</v>
      </c>
      <c r="T15" s="714" t="s">
        <v>17</v>
      </c>
      <c r="U15" s="715">
        <f t="shared" si="1"/>
        <v>100</v>
      </c>
      <c r="V15" s="714" t="s">
        <v>17</v>
      </c>
      <c r="W15" s="715">
        <f t="shared" si="2"/>
        <v>100</v>
      </c>
      <c r="X15" s="1541"/>
      <c r="Y15" s="3275"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76"/>
      <c r="Q16" s="1538"/>
      <c r="R16" s="714"/>
      <c r="S16" s="715"/>
      <c r="T16" s="714"/>
      <c r="U16" s="715"/>
      <c r="V16" s="714"/>
      <c r="W16" s="715"/>
      <c r="X16" s="1541"/>
      <c r="Y16" s="3276"/>
      <c r="Z16" s="1542"/>
      <c r="AA16" s="1539">
        <v>1</v>
      </c>
      <c r="AB16" s="1539">
        <v>1</v>
      </c>
      <c r="AC16" s="1539">
        <v>1</v>
      </c>
    </row>
    <row r="17" spans="1:29" ht="15">
      <c r="A17" s="387"/>
      <c r="B17" s="410" t="s">
        <v>1946</v>
      </c>
      <c r="C17" s="2088">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6"/>
      <c r="Q17" s="1538" t="str">
        <f>B17</f>
        <v>交通便捷度</v>
      </c>
      <c r="R17" s="714" t="s">
        <v>17</v>
      </c>
      <c r="S17" s="715">
        <f>F17</f>
        <v>100</v>
      </c>
      <c r="T17" s="714" t="s">
        <v>17</v>
      </c>
      <c r="U17" s="715">
        <f>H17</f>
        <v>100</v>
      </c>
      <c r="V17" s="714" t="s">
        <v>17</v>
      </c>
      <c r="W17" s="715">
        <f>J17</f>
        <v>100</v>
      </c>
      <c r="X17" s="1541"/>
      <c r="Y17" s="327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76"/>
      <c r="Q18" s="1538"/>
      <c r="R18" s="714"/>
      <c r="S18" s="715"/>
      <c r="T18" s="714"/>
      <c r="U18" s="715"/>
      <c r="V18" s="714"/>
      <c r="W18" s="715"/>
      <c r="X18" s="1541"/>
      <c r="Y18" s="3276"/>
      <c r="Z18" s="1542"/>
      <c r="AA18" s="1539">
        <v>1</v>
      </c>
      <c r="AB18" s="1539">
        <v>1</v>
      </c>
      <c r="AC18" s="1539">
        <v>1</v>
      </c>
    </row>
    <row r="19" spans="1:29" ht="15">
      <c r="A19" s="387"/>
      <c r="B19" s="410" t="s">
        <v>2510</v>
      </c>
      <c r="C19" s="2088">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6"/>
      <c r="Q19" s="1538" t="str">
        <f>B19</f>
        <v>公共配套设施</v>
      </c>
      <c r="R19" s="714" t="s">
        <v>17</v>
      </c>
      <c r="S19" s="715">
        <f>F19</f>
        <v>100</v>
      </c>
      <c r="T19" s="714" t="s">
        <v>17</v>
      </c>
      <c r="U19" s="715">
        <f>H19</f>
        <v>100</v>
      </c>
      <c r="V19" s="714" t="s">
        <v>17</v>
      </c>
      <c r="W19" s="715">
        <f>J19</f>
        <v>100</v>
      </c>
      <c r="X19" s="1541"/>
      <c r="Y19" s="327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76"/>
      <c r="Q20" s="1538"/>
      <c r="R20" s="714"/>
      <c r="S20" s="715"/>
      <c r="T20" s="714"/>
      <c r="U20" s="715"/>
      <c r="V20" s="714"/>
      <c r="W20" s="715"/>
      <c r="X20" s="1541"/>
      <c r="Y20" s="3276"/>
      <c r="Z20" s="1542"/>
      <c r="AA20" s="1539">
        <v>1</v>
      </c>
      <c r="AB20" s="1539">
        <v>1</v>
      </c>
      <c r="AC20" s="1539">
        <v>1</v>
      </c>
    </row>
    <row r="21" spans="1:29" ht="15">
      <c r="A21" s="387"/>
      <c r="B21" s="1293" t="s">
        <v>2511</v>
      </c>
      <c r="C21" s="2088">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6"/>
      <c r="Q21" s="1538" t="str">
        <f>B21</f>
        <v>基础设施水平</v>
      </c>
      <c r="R21" s="714" t="s">
        <v>17</v>
      </c>
      <c r="S21" s="715">
        <f>F21</f>
        <v>100</v>
      </c>
      <c r="T21" s="714" t="s">
        <v>17</v>
      </c>
      <c r="U21" s="715">
        <f>H21</f>
        <v>100</v>
      </c>
      <c r="V21" s="714" t="s">
        <v>17</v>
      </c>
      <c r="W21" s="715">
        <f>J21</f>
        <v>100</v>
      </c>
      <c r="X21" s="1541"/>
      <c r="Y21" s="327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76"/>
      <c r="Q22" s="1538"/>
      <c r="R22" s="714"/>
      <c r="S22" s="715"/>
      <c r="T22" s="714"/>
      <c r="U22" s="715"/>
      <c r="V22" s="714"/>
      <c r="W22" s="715"/>
      <c r="X22" s="1541"/>
      <c r="Y22" s="3276"/>
      <c r="Z22" s="1542"/>
      <c r="AA22" s="1539">
        <v>1</v>
      </c>
      <c r="AB22" s="1539">
        <v>1</v>
      </c>
      <c r="AC22" s="1539">
        <v>1</v>
      </c>
    </row>
    <row r="23" spans="1:29" ht="15">
      <c r="A23" s="387"/>
      <c r="B23" s="410" t="s">
        <v>2512</v>
      </c>
      <c r="C23" s="2088">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6"/>
      <c r="Q23" s="1538" t="str">
        <f>B23</f>
        <v>环境质量</v>
      </c>
      <c r="R23" s="714" t="s">
        <v>17</v>
      </c>
      <c r="S23" s="715">
        <f>F23</f>
        <v>100</v>
      </c>
      <c r="T23" s="714" t="s">
        <v>17</v>
      </c>
      <c r="U23" s="715">
        <f>H23</f>
        <v>100</v>
      </c>
      <c r="V23" s="714" t="s">
        <v>17</v>
      </c>
      <c r="W23" s="715">
        <f>J23</f>
        <v>100</v>
      </c>
      <c r="X23" s="1541"/>
      <c r="Y23" s="3276"/>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76"/>
      <c r="Q24" s="1538"/>
      <c r="R24" s="714"/>
      <c r="S24" s="715"/>
      <c r="T24" s="714"/>
      <c r="U24" s="715"/>
      <c r="V24" s="714"/>
      <c r="W24" s="715"/>
      <c r="X24" s="1541"/>
      <c r="Y24" s="3276"/>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6"/>
      <c r="Q25" s="1538">
        <f>B25</f>
        <v>111</v>
      </c>
      <c r="R25" s="714" t="s">
        <v>17</v>
      </c>
      <c r="S25" s="715">
        <f>F25</f>
        <v>100</v>
      </c>
      <c r="T25" s="714" t="s">
        <v>17</v>
      </c>
      <c r="U25" s="715">
        <f>H25</f>
        <v>100</v>
      </c>
      <c r="V25" s="714" t="s">
        <v>17</v>
      </c>
      <c r="W25" s="715">
        <f>J25</f>
        <v>100</v>
      </c>
      <c r="X25" s="1541"/>
      <c r="Y25" s="3276"/>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6"/>
      <c r="Q26" s="1538">
        <f t="shared" ref="Q26:Q40" si="11">B26</f>
        <v>111</v>
      </c>
      <c r="R26" s="714" t="s">
        <v>17</v>
      </c>
      <c r="S26" s="715">
        <f>F26</f>
        <v>100</v>
      </c>
      <c r="T26" s="714" t="s">
        <v>17</v>
      </c>
      <c r="U26" s="715">
        <f>H26</f>
        <v>100</v>
      </c>
      <c r="V26" s="714" t="s">
        <v>17</v>
      </c>
      <c r="W26" s="715">
        <f>J26</f>
        <v>100</v>
      </c>
      <c r="X26" s="1541"/>
      <c r="Y26" s="3276"/>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6"/>
      <c r="Q27" s="1529">
        <f t="shared" si="11"/>
        <v>111</v>
      </c>
      <c r="R27" s="710" t="s">
        <v>17</v>
      </c>
      <c r="S27" s="711">
        <f>F27</f>
        <v>100</v>
      </c>
      <c r="T27" s="710" t="s">
        <v>17</v>
      </c>
      <c r="U27" s="711">
        <f>H27</f>
        <v>100</v>
      </c>
      <c r="V27" s="710" t="s">
        <v>17</v>
      </c>
      <c r="W27" s="711">
        <f>J27</f>
        <v>100</v>
      </c>
      <c r="X27" s="712"/>
      <c r="Y27" s="3276"/>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6"/>
      <c r="Q28" s="1538">
        <f t="shared" si="11"/>
        <v>111</v>
      </c>
      <c r="R28" s="714" t="s">
        <v>17</v>
      </c>
      <c r="S28" s="715">
        <f t="shared" ref="S28:S40" si="12">F28</f>
        <v>100</v>
      </c>
      <c r="T28" s="714" t="s">
        <v>17</v>
      </c>
      <c r="U28" s="715">
        <f t="shared" ref="U28:U40" si="13">H28</f>
        <v>100</v>
      </c>
      <c r="V28" s="714" t="s">
        <v>17</v>
      </c>
      <c r="W28" s="715">
        <f t="shared" ref="W28:W40" si="14">J28</f>
        <v>100</v>
      </c>
      <c r="X28" s="1541"/>
      <c r="Y28" s="3276"/>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53" t="s">
        <v>2387</v>
      </c>
      <c r="Q29" s="1538" t="str">
        <f t="shared" si="11"/>
        <v>建筑类型</v>
      </c>
      <c r="R29" s="714" t="s">
        <v>17</v>
      </c>
      <c r="S29" s="715">
        <f t="shared" si="12"/>
        <v>100</v>
      </c>
      <c r="T29" s="714" t="s">
        <v>17</v>
      </c>
      <c r="U29" s="715">
        <f t="shared" si="13"/>
        <v>100</v>
      </c>
      <c r="V29" s="714" t="s">
        <v>17</v>
      </c>
      <c r="W29" s="715">
        <f t="shared" si="14"/>
        <v>100</v>
      </c>
      <c r="X29" s="1541"/>
      <c r="Y29" s="3280"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0"/>
      <c r="Q30" s="716" t="str">
        <f t="shared" si="11"/>
        <v>项目建筑规模</v>
      </c>
      <c r="R30" s="717" t="s">
        <v>17</v>
      </c>
      <c r="S30" s="718" t="e">
        <f t="shared" si="12"/>
        <v>#N/A</v>
      </c>
      <c r="T30" s="717" t="s">
        <v>17</v>
      </c>
      <c r="U30" s="718" t="e">
        <f t="shared" si="13"/>
        <v>#N/A</v>
      </c>
      <c r="V30" s="717" t="s">
        <v>17</v>
      </c>
      <c r="W30" s="718" t="e">
        <f t="shared" si="14"/>
        <v>#N/A</v>
      </c>
      <c r="X30" s="719"/>
      <c r="Y30" s="3280"/>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0"/>
      <c r="Q31" s="1538" t="str">
        <f t="shared" si="11"/>
        <v>建筑结构</v>
      </c>
      <c r="R31" s="714" t="s">
        <v>17</v>
      </c>
      <c r="S31" s="715">
        <f t="shared" si="12"/>
        <v>100</v>
      </c>
      <c r="T31" s="714" t="s">
        <v>17</v>
      </c>
      <c r="U31" s="715">
        <f t="shared" si="13"/>
        <v>100</v>
      </c>
      <c r="V31" s="714" t="s">
        <v>17</v>
      </c>
      <c r="W31" s="715">
        <f t="shared" si="14"/>
        <v>100</v>
      </c>
      <c r="X31" s="1541"/>
      <c r="Y31" s="3280"/>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0"/>
      <c r="Q32" s="1538" t="str">
        <f t="shared" si="11"/>
        <v>公共部分装修</v>
      </c>
      <c r="R32" s="714" t="s">
        <v>17</v>
      </c>
      <c r="S32" s="715">
        <f t="shared" si="12"/>
        <v>100</v>
      </c>
      <c r="T32" s="714" t="s">
        <v>17</v>
      </c>
      <c r="U32" s="715">
        <f t="shared" si="13"/>
        <v>100</v>
      </c>
      <c r="V32" s="714" t="s">
        <v>17</v>
      </c>
      <c r="W32" s="715">
        <f t="shared" si="14"/>
        <v>100</v>
      </c>
      <c r="X32" s="1541"/>
      <c r="Y32" s="3280"/>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0"/>
      <c r="Q33" s="1538" t="str">
        <f t="shared" si="11"/>
        <v>成新度</v>
      </c>
      <c r="R33" s="714" t="s">
        <v>17</v>
      </c>
      <c r="S33" s="715" t="e">
        <f t="shared" si="12"/>
        <v>#N/A</v>
      </c>
      <c r="T33" s="714" t="s">
        <v>17</v>
      </c>
      <c r="U33" s="715" t="e">
        <f t="shared" si="13"/>
        <v>#N/A</v>
      </c>
      <c r="V33" s="714" t="s">
        <v>17</v>
      </c>
      <c r="W33" s="715" t="e">
        <f t="shared" si="14"/>
        <v>#N/A</v>
      </c>
      <c r="X33" s="1541"/>
      <c r="Y33" s="3280"/>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0"/>
      <c r="Q34" s="1529" t="str">
        <f t="shared" si="11"/>
        <v>物业管理</v>
      </c>
      <c r="R34" s="710" t="s">
        <v>17</v>
      </c>
      <c r="S34" s="711">
        <f t="shared" si="12"/>
        <v>100</v>
      </c>
      <c r="T34" s="710" t="s">
        <v>17</v>
      </c>
      <c r="U34" s="711">
        <f t="shared" si="13"/>
        <v>100</v>
      </c>
      <c r="V34" s="710" t="s">
        <v>17</v>
      </c>
      <c r="W34" s="711">
        <f t="shared" si="14"/>
        <v>100</v>
      </c>
      <c r="X34" s="712"/>
      <c r="Y34" s="3280"/>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0" t="s">
        <v>2387</v>
      </c>
      <c r="Q35" s="1538" t="str">
        <f t="shared" si="11"/>
        <v>市政基础设施</v>
      </c>
      <c r="R35" s="714" t="s">
        <v>17</v>
      </c>
      <c r="S35" s="715">
        <f t="shared" si="12"/>
        <v>100</v>
      </c>
      <c r="T35" s="714" t="s">
        <v>17</v>
      </c>
      <c r="U35" s="715">
        <f t="shared" si="13"/>
        <v>100</v>
      </c>
      <c r="V35" s="714" t="s">
        <v>17</v>
      </c>
      <c r="W35" s="715">
        <f t="shared" si="14"/>
        <v>100</v>
      </c>
      <c r="X35" s="1541"/>
      <c r="Y35" s="3280"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0"/>
      <c r="Q36" s="1538" t="str">
        <f t="shared" si="11"/>
        <v>内部装修</v>
      </c>
      <c r="R36" s="714" t="s">
        <v>17</v>
      </c>
      <c r="S36" s="715">
        <f t="shared" si="12"/>
        <v>100</v>
      </c>
      <c r="T36" s="714" t="s">
        <v>17</v>
      </c>
      <c r="U36" s="715">
        <f t="shared" si="13"/>
        <v>100</v>
      </c>
      <c r="V36" s="714" t="s">
        <v>17</v>
      </c>
      <c r="W36" s="715">
        <f t="shared" si="14"/>
        <v>100</v>
      </c>
      <c r="X36" s="1541"/>
      <c r="Y36" s="3280"/>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0"/>
      <c r="Q37" s="1538" t="str">
        <f t="shared" si="11"/>
        <v>内部装修状况</v>
      </c>
      <c r="R37" s="714" t="s">
        <v>17</v>
      </c>
      <c r="S37" s="715">
        <f t="shared" si="12"/>
        <v>100</v>
      </c>
      <c r="T37" s="714" t="s">
        <v>17</v>
      </c>
      <c r="U37" s="715">
        <f t="shared" si="13"/>
        <v>100</v>
      </c>
      <c r="V37" s="714" t="s">
        <v>17</v>
      </c>
      <c r="W37" s="715">
        <f t="shared" si="14"/>
        <v>100</v>
      </c>
      <c r="X37" s="1541"/>
      <c r="Y37" s="328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0"/>
      <c r="Q38" s="716">
        <f t="shared" si="11"/>
        <v>111</v>
      </c>
      <c r="R38" s="717" t="s">
        <v>17</v>
      </c>
      <c r="S38" s="718">
        <f t="shared" si="12"/>
        <v>100</v>
      </c>
      <c r="T38" s="717" t="s">
        <v>17</v>
      </c>
      <c r="U38" s="718">
        <f t="shared" si="13"/>
        <v>100</v>
      </c>
      <c r="V38" s="717" t="s">
        <v>17</v>
      </c>
      <c r="W38" s="718">
        <f t="shared" si="14"/>
        <v>100</v>
      </c>
      <c r="X38" s="719"/>
      <c r="Y38" s="328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0"/>
      <c r="Q39" s="1538">
        <f t="shared" si="11"/>
        <v>111</v>
      </c>
      <c r="R39" s="714" t="s">
        <v>17</v>
      </c>
      <c r="S39" s="715">
        <f t="shared" si="12"/>
        <v>100</v>
      </c>
      <c r="T39" s="714" t="s">
        <v>17</v>
      </c>
      <c r="U39" s="715">
        <f t="shared" si="13"/>
        <v>100</v>
      </c>
      <c r="V39" s="714" t="s">
        <v>17</v>
      </c>
      <c r="W39" s="715">
        <f t="shared" si="14"/>
        <v>100</v>
      </c>
      <c r="X39" s="1541"/>
      <c r="Y39" s="328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1"/>
      <c r="Q40" s="1538">
        <f t="shared" si="11"/>
        <v>111</v>
      </c>
      <c r="R40" s="714" t="s">
        <v>17</v>
      </c>
      <c r="S40" s="715">
        <f t="shared" si="12"/>
        <v>100</v>
      </c>
      <c r="T40" s="714" t="s">
        <v>17</v>
      </c>
      <c r="U40" s="715">
        <f t="shared" si="13"/>
        <v>100</v>
      </c>
      <c r="V40" s="714" t="s">
        <v>17</v>
      </c>
      <c r="W40" s="715">
        <f t="shared" si="14"/>
        <v>100</v>
      </c>
      <c r="X40" s="1541"/>
      <c r="Y40" s="3281"/>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68" t="str">
        <f>A41</f>
        <v>成交单价（元/平方米）</v>
      </c>
      <c r="Q41" s="3268"/>
      <c r="R41" s="3269">
        <f>E41</f>
        <v>0</v>
      </c>
      <c r="S41" s="3269"/>
      <c r="T41" s="3269">
        <f>G41</f>
        <v>0</v>
      </c>
      <c r="U41" s="3269"/>
      <c r="V41" s="3269">
        <f>I41</f>
        <v>0</v>
      </c>
      <c r="W41" s="3269"/>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50" t="str">
        <f>A43</f>
        <v>估价对象XX用房的比较价值（楼面单价，元/平方米）</v>
      </c>
      <c r="Q43" s="3351"/>
      <c r="R43" s="3384" t="e">
        <f>IF(F1="售价",ROUND(IF(D42="简单平均",AVERAGE(R42:V42),R42*F42+T42*H42+V42*J42),0),ROUND(IF(D42="简单平均",AVERAGE(R42:V42),R42*F42+T42*H42+V42*J42),1))</f>
        <v>#DIV/0!</v>
      </c>
      <c r="S43" s="3384"/>
      <c r="T43" s="3384"/>
      <c r="U43" s="3384"/>
      <c r="V43" s="3384"/>
      <c r="W43" s="3384"/>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2021-2</v>
      </c>
      <c r="D52" s="1347">
        <f>EDATE(C52,-1)</f>
        <v>44197</v>
      </c>
      <c r="E52" s="1347">
        <f t="shared" ref="E52:O52" si="16">EDATE(D52,-1)</f>
        <v>44166</v>
      </c>
      <c r="F52" s="1347">
        <f t="shared" si="16"/>
        <v>44136</v>
      </c>
      <c r="G52" s="1347">
        <f t="shared" si="16"/>
        <v>44105</v>
      </c>
      <c r="H52" s="1347">
        <f t="shared" si="16"/>
        <v>44075</v>
      </c>
      <c r="I52" s="1347">
        <f t="shared" si="16"/>
        <v>44044</v>
      </c>
      <c r="J52" s="1347">
        <f t="shared" si="16"/>
        <v>44013</v>
      </c>
      <c r="K52" s="1347">
        <f t="shared" si="16"/>
        <v>43983</v>
      </c>
      <c r="L52" s="1347">
        <f t="shared" si="16"/>
        <v>43952</v>
      </c>
      <c r="M52" s="1347">
        <f t="shared" si="16"/>
        <v>43922</v>
      </c>
      <c r="N52" s="1347">
        <f t="shared" si="16"/>
        <v>43891</v>
      </c>
      <c r="O52" s="1347">
        <f t="shared" si="16"/>
        <v>43862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5" t="s">
        <v>2468</v>
      </c>
      <c r="D4" s="3286"/>
      <c r="E4" s="3287" t="s">
        <v>2469</v>
      </c>
      <c r="F4" s="3288"/>
      <c r="G4" s="3285" t="s">
        <v>2470</v>
      </c>
      <c r="H4" s="3286"/>
      <c r="I4" s="3285" t="s">
        <v>2471</v>
      </c>
      <c r="J4" s="3286"/>
      <c r="K4" s="567" t="s">
        <v>2472</v>
      </c>
      <c r="L4" s="2946"/>
      <c r="M4" s="2947"/>
      <c r="N4" s="2947"/>
      <c r="O4" s="2947"/>
      <c r="P4" s="3355" t="s">
        <v>2473</v>
      </c>
      <c r="Q4" s="3356"/>
      <c r="R4" s="3359" t="s">
        <v>2469</v>
      </c>
      <c r="S4" s="3360"/>
      <c r="T4" s="3359" t="s">
        <v>2470</v>
      </c>
      <c r="U4" s="3360"/>
      <c r="V4" s="3302" t="s">
        <v>2471</v>
      </c>
      <c r="W4" s="3302"/>
      <c r="X4" s="1541"/>
      <c r="Y4" s="3359" t="s">
        <v>2473</v>
      </c>
      <c r="Z4" s="3360"/>
      <c r="AA4" s="3354" t="s">
        <v>2469</v>
      </c>
      <c r="AB4" s="3315" t="s">
        <v>2470</v>
      </c>
      <c r="AC4" s="3354" t="s">
        <v>2471</v>
      </c>
    </row>
    <row r="5" spans="1:29" ht="15">
      <c r="A5" s="364"/>
      <c r="B5" s="365"/>
      <c r="C5" s="3311" t="s">
        <v>2364</v>
      </c>
      <c r="D5" s="3306"/>
      <c r="E5" s="3385" t="s">
        <v>2365</v>
      </c>
      <c r="F5" s="3318"/>
      <c r="G5" s="3311" t="s">
        <v>2366</v>
      </c>
      <c r="H5" s="3306"/>
      <c r="I5" s="3311" t="s">
        <v>2367</v>
      </c>
      <c r="J5" s="3306"/>
      <c r="K5" s="567"/>
      <c r="L5" s="2946"/>
      <c r="M5" s="2947"/>
      <c r="N5" s="2947"/>
      <c r="O5" s="2947"/>
      <c r="P5" s="3357"/>
      <c r="Q5" s="3292"/>
      <c r="R5" s="3297"/>
      <c r="S5" s="3298"/>
      <c r="T5" s="3297"/>
      <c r="U5" s="3298"/>
      <c r="V5" s="3302"/>
      <c r="W5" s="3302"/>
      <c r="X5" s="1541"/>
      <c r="Y5" s="3297"/>
      <c r="Z5" s="3298"/>
      <c r="AA5" s="3315"/>
      <c r="AB5" s="3315"/>
      <c r="AC5" s="3315"/>
    </row>
    <row r="6" spans="1:29" ht="15.75" thickBot="1">
      <c r="A6" s="366"/>
      <c r="B6" s="367"/>
      <c r="C6" s="3303" t="s">
        <v>2368</v>
      </c>
      <c r="D6" s="3304"/>
      <c r="E6" s="3312" t="s">
        <v>2368</v>
      </c>
      <c r="F6" s="3313"/>
      <c r="G6" s="3303" t="s">
        <v>2368</v>
      </c>
      <c r="H6" s="3304"/>
      <c r="I6" s="3303" t="s">
        <v>2368</v>
      </c>
      <c r="J6" s="3304"/>
      <c r="K6" s="567" t="s">
        <v>2369</v>
      </c>
      <c r="L6" s="2946"/>
      <c r="M6" s="2947"/>
      <c r="N6" s="2947"/>
      <c r="O6" s="2947"/>
      <c r="P6" s="3358"/>
      <c r="Q6" s="3294"/>
      <c r="R6" s="3297"/>
      <c r="S6" s="3298"/>
      <c r="T6" s="3299"/>
      <c r="U6" s="3300"/>
      <c r="V6" s="3302"/>
      <c r="W6" s="3302"/>
      <c r="X6" s="1541"/>
      <c r="Y6" s="3299"/>
      <c r="Z6" s="3300"/>
      <c r="AA6" s="3316"/>
      <c r="AB6" s="3316"/>
      <c r="AC6" s="3316"/>
    </row>
    <row r="7" spans="1:29" s="113" customFormat="1" ht="15.75" thickBot="1">
      <c r="A7" s="368" t="s">
        <v>2370</v>
      </c>
      <c r="B7" s="369"/>
      <c r="C7" s="370">
        <f>'数据-取费表'!B2</f>
        <v>44230</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09" t="s">
        <v>2371</v>
      </c>
      <c r="Q7" s="3310"/>
      <c r="R7" s="710" t="s">
        <v>17</v>
      </c>
      <c r="S7" s="711">
        <f t="shared" ref="S7:S14" si="0">F7</f>
        <v>0</v>
      </c>
      <c r="T7" s="710" t="s">
        <v>17</v>
      </c>
      <c r="U7" s="711">
        <f t="shared" ref="U7:U14" si="1">H7</f>
        <v>0</v>
      </c>
      <c r="V7" s="710" t="s">
        <v>17</v>
      </c>
      <c r="W7" s="711">
        <f t="shared" ref="W7:W14" si="2">J7</f>
        <v>0</v>
      </c>
      <c r="X7" s="712"/>
      <c r="Y7" s="3309" t="s">
        <v>2371</v>
      </c>
      <c r="Z7" s="3308"/>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09" t="s">
        <v>2374</v>
      </c>
      <c r="Q8" s="3308"/>
      <c r="R8" s="710" t="s">
        <v>17</v>
      </c>
      <c r="S8" s="711">
        <f t="shared" si="0"/>
        <v>0</v>
      </c>
      <c r="T8" s="710" t="s">
        <v>17</v>
      </c>
      <c r="U8" s="711">
        <f t="shared" si="1"/>
        <v>0</v>
      </c>
      <c r="V8" s="710" t="s">
        <v>17</v>
      </c>
      <c r="W8" s="711">
        <f t="shared" si="2"/>
        <v>0</v>
      </c>
      <c r="X8" s="712"/>
      <c r="Y8" s="3309" t="s">
        <v>2374</v>
      </c>
      <c r="Z8" s="3308"/>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68" t="s">
        <v>2377</v>
      </c>
      <c r="Q9" s="1529" t="str">
        <f t="shared" ref="Q9:Q14" si="6">B9</f>
        <v>用途</v>
      </c>
      <c r="R9" s="710" t="s">
        <v>17</v>
      </c>
      <c r="S9" s="711">
        <f t="shared" si="0"/>
        <v>100</v>
      </c>
      <c r="T9" s="710" t="s">
        <v>17</v>
      </c>
      <c r="U9" s="711">
        <f t="shared" si="1"/>
        <v>100</v>
      </c>
      <c r="V9" s="710" t="s">
        <v>17</v>
      </c>
      <c r="W9" s="711">
        <f t="shared" si="2"/>
        <v>100</v>
      </c>
      <c r="X9" s="712"/>
      <c r="Y9" s="3168"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68"/>
      <c r="Q10" s="1529"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68"/>
      <c r="Q11" s="1529">
        <f t="shared" si="6"/>
        <v>111</v>
      </c>
      <c r="R11" s="710" t="s">
        <v>17</v>
      </c>
      <c r="S11" s="711">
        <f t="shared" si="0"/>
        <v>100</v>
      </c>
      <c r="T11" s="710" t="s">
        <v>17</v>
      </c>
      <c r="U11" s="711">
        <f t="shared" si="1"/>
        <v>100</v>
      </c>
      <c r="V11" s="710" t="s">
        <v>17</v>
      </c>
      <c r="W11" s="711">
        <f t="shared" si="2"/>
        <v>100</v>
      </c>
      <c r="X11" s="712"/>
      <c r="Y11" s="3168"/>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68"/>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68"/>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
      <c r="A14" s="399" t="s">
        <v>2381</v>
      </c>
      <c r="B14" s="65" t="s">
        <v>2531</v>
      </c>
      <c r="C14" s="2159">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75" t="s">
        <v>2382</v>
      </c>
      <c r="Q14" s="1538" t="str">
        <f t="shared" si="6"/>
        <v>交通便捷度</v>
      </c>
      <c r="R14" s="714" t="s">
        <v>17</v>
      </c>
      <c r="S14" s="715">
        <f t="shared" si="0"/>
        <v>100</v>
      </c>
      <c r="T14" s="714" t="s">
        <v>17</v>
      </c>
      <c r="U14" s="715">
        <f t="shared" si="1"/>
        <v>100</v>
      </c>
      <c r="V14" s="714" t="s">
        <v>17</v>
      </c>
      <c r="W14" s="715">
        <f t="shared" si="2"/>
        <v>100</v>
      </c>
      <c r="X14" s="1541"/>
      <c r="Y14" s="3275"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76"/>
      <c r="Q15" s="1538"/>
      <c r="R15" s="714"/>
      <c r="S15" s="715"/>
      <c r="T15" s="714"/>
      <c r="U15" s="715"/>
      <c r="V15" s="714"/>
      <c r="W15" s="715"/>
      <c r="X15" s="1541"/>
      <c r="Y15" s="3276"/>
      <c r="Z15" s="1542"/>
      <c r="AA15" s="1539">
        <v>1</v>
      </c>
      <c r="AB15" s="1539">
        <v>1</v>
      </c>
      <c r="AC15" s="1539">
        <v>1</v>
      </c>
    </row>
    <row r="16" spans="1:29" ht="15">
      <c r="A16" s="387"/>
      <c r="B16" s="410" t="s">
        <v>2510</v>
      </c>
      <c r="C16" s="2088">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76"/>
      <c r="Q16" s="1538" t="str">
        <f>B16</f>
        <v>公共配套设施</v>
      </c>
      <c r="R16" s="714" t="s">
        <v>17</v>
      </c>
      <c r="S16" s="715">
        <f>F16</f>
        <v>100</v>
      </c>
      <c r="T16" s="714" t="s">
        <v>17</v>
      </c>
      <c r="U16" s="715">
        <f>H16</f>
        <v>100</v>
      </c>
      <c r="V16" s="714" t="s">
        <v>17</v>
      </c>
      <c r="W16" s="715">
        <f>J16</f>
        <v>100</v>
      </c>
      <c r="X16" s="1541"/>
      <c r="Y16" s="3276"/>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76"/>
      <c r="Q17" s="1538"/>
      <c r="R17" s="714"/>
      <c r="S17" s="715"/>
      <c r="T17" s="714"/>
      <c r="U17" s="715"/>
      <c r="V17" s="714"/>
      <c r="W17" s="715"/>
      <c r="X17" s="1541"/>
      <c r="Y17" s="3276"/>
      <c r="Z17" s="1542"/>
      <c r="AA17" s="1539">
        <v>1</v>
      </c>
      <c r="AB17" s="1539">
        <v>1</v>
      </c>
      <c r="AC17" s="1539">
        <v>1</v>
      </c>
    </row>
    <row r="18" spans="1:29" ht="15">
      <c r="A18" s="387"/>
      <c r="B18" s="1293" t="s">
        <v>2511</v>
      </c>
      <c r="C18" s="2088">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76"/>
      <c r="Q18" s="1538" t="str">
        <f>B18</f>
        <v>基础设施水平</v>
      </c>
      <c r="R18" s="714" t="s">
        <v>17</v>
      </c>
      <c r="S18" s="715">
        <f>F18</f>
        <v>100</v>
      </c>
      <c r="T18" s="714" t="s">
        <v>17</v>
      </c>
      <c r="U18" s="715">
        <f>H18</f>
        <v>100</v>
      </c>
      <c r="V18" s="714" t="s">
        <v>17</v>
      </c>
      <c r="W18" s="715">
        <f>J18</f>
        <v>100</v>
      </c>
      <c r="X18" s="1541"/>
      <c r="Y18" s="3276"/>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76"/>
      <c r="Q19" s="1538"/>
      <c r="R19" s="714"/>
      <c r="S19" s="715"/>
      <c r="T19" s="714"/>
      <c r="U19" s="715"/>
      <c r="V19" s="714"/>
      <c r="W19" s="715"/>
      <c r="X19" s="1541"/>
      <c r="Y19" s="3276"/>
      <c r="Z19" s="1542"/>
      <c r="AA19" s="1539">
        <v>1</v>
      </c>
      <c r="AB19" s="1539">
        <v>1</v>
      </c>
      <c r="AC19" s="1539">
        <v>1</v>
      </c>
    </row>
    <row r="20" spans="1:29" ht="15">
      <c r="A20" s="387"/>
      <c r="B20" s="410" t="s">
        <v>2532</v>
      </c>
      <c r="C20" s="2088">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76"/>
      <c r="Q20" s="1538" t="str">
        <f>B20</f>
        <v>自然及人文环境</v>
      </c>
      <c r="R20" s="714" t="s">
        <v>17</v>
      </c>
      <c r="S20" s="715">
        <f>F20</f>
        <v>100</v>
      </c>
      <c r="T20" s="714" t="s">
        <v>17</v>
      </c>
      <c r="U20" s="715">
        <f>H20</f>
        <v>100</v>
      </c>
      <c r="V20" s="714" t="s">
        <v>17</v>
      </c>
      <c r="W20" s="715">
        <f>J20</f>
        <v>100</v>
      </c>
      <c r="X20" s="1541"/>
      <c r="Y20" s="3276"/>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76"/>
      <c r="Q21" s="1538"/>
      <c r="R21" s="714"/>
      <c r="S21" s="715"/>
      <c r="T21" s="714"/>
      <c r="U21" s="715"/>
      <c r="V21" s="714"/>
      <c r="W21" s="715"/>
      <c r="X21" s="1541"/>
      <c r="Y21" s="3276"/>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76"/>
      <c r="Q22" s="1538" t="str">
        <f>B22</f>
        <v>楼层</v>
      </c>
      <c r="R22" s="714" t="s">
        <v>17</v>
      </c>
      <c r="S22" s="715">
        <f>F22</f>
        <v>100</v>
      </c>
      <c r="T22" s="714" t="s">
        <v>17</v>
      </c>
      <c r="U22" s="715">
        <f>H22</f>
        <v>100</v>
      </c>
      <c r="V22" s="714" t="s">
        <v>17</v>
      </c>
      <c r="W22" s="715">
        <f>J22</f>
        <v>100</v>
      </c>
      <c r="X22" s="1541"/>
      <c r="Y22" s="3276"/>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76"/>
      <c r="Q23" s="1538">
        <f>B23</f>
        <v>111</v>
      </c>
      <c r="R23" s="714" t="s">
        <v>17</v>
      </c>
      <c r="S23" s="715">
        <f>F23</f>
        <v>100</v>
      </c>
      <c r="T23" s="714" t="s">
        <v>17</v>
      </c>
      <c r="U23" s="715">
        <f>H23</f>
        <v>100</v>
      </c>
      <c r="V23" s="714" t="s">
        <v>17</v>
      </c>
      <c r="W23" s="715">
        <f>J23</f>
        <v>100</v>
      </c>
      <c r="X23" s="1541"/>
      <c r="Y23" s="3276"/>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76"/>
      <c r="Q24" s="1538">
        <f t="shared" ref="Q24:Q34" si="11">B24</f>
        <v>111</v>
      </c>
      <c r="R24" s="714" t="s">
        <v>17</v>
      </c>
      <c r="S24" s="715">
        <f>F24</f>
        <v>100</v>
      </c>
      <c r="T24" s="714" t="s">
        <v>17</v>
      </c>
      <c r="U24" s="715">
        <f>H24</f>
        <v>100</v>
      </c>
      <c r="V24" s="714" t="s">
        <v>17</v>
      </c>
      <c r="W24" s="715">
        <f>J24</f>
        <v>100</v>
      </c>
      <c r="X24" s="1541"/>
      <c r="Y24" s="3276"/>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76"/>
      <c r="Q25" s="1529">
        <f t="shared" si="11"/>
        <v>111</v>
      </c>
      <c r="R25" s="710" t="s">
        <v>17</v>
      </c>
      <c r="S25" s="711">
        <f>F25</f>
        <v>100</v>
      </c>
      <c r="T25" s="710" t="s">
        <v>17</v>
      </c>
      <c r="U25" s="711">
        <f>H25</f>
        <v>100</v>
      </c>
      <c r="V25" s="710" t="s">
        <v>17</v>
      </c>
      <c r="W25" s="711">
        <f>J25</f>
        <v>100</v>
      </c>
      <c r="X25" s="712"/>
      <c r="Y25" s="3276"/>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53"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80"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80"/>
      <c r="Q27" s="716" t="str">
        <f t="shared" si="11"/>
        <v>成新率</v>
      </c>
      <c r="R27" s="717" t="s">
        <v>17</v>
      </c>
      <c r="S27" s="718" t="e">
        <f t="shared" si="12"/>
        <v>#N/A</v>
      </c>
      <c r="T27" s="717" t="s">
        <v>17</v>
      </c>
      <c r="U27" s="718" t="e">
        <f t="shared" si="13"/>
        <v>#N/A</v>
      </c>
      <c r="V27" s="717" t="s">
        <v>17</v>
      </c>
      <c r="W27" s="718" t="e">
        <f t="shared" si="14"/>
        <v>#N/A</v>
      </c>
      <c r="X27" s="719"/>
      <c r="Y27" s="3280"/>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80"/>
      <c r="Q28" s="1538" t="str">
        <f t="shared" si="11"/>
        <v>物业等级</v>
      </c>
      <c r="R28" s="714" t="s">
        <v>17</v>
      </c>
      <c r="S28" s="715">
        <f t="shared" si="12"/>
        <v>100</v>
      </c>
      <c r="T28" s="714" t="s">
        <v>17</v>
      </c>
      <c r="U28" s="715">
        <f t="shared" si="13"/>
        <v>100</v>
      </c>
      <c r="V28" s="714" t="s">
        <v>17</v>
      </c>
      <c r="W28" s="715">
        <f t="shared" si="14"/>
        <v>100</v>
      </c>
      <c r="X28" s="1541"/>
      <c r="Y28" s="3280"/>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80"/>
      <c r="Q29" s="1538" t="str">
        <f t="shared" si="11"/>
        <v>有无电梯</v>
      </c>
      <c r="R29" s="714" t="s">
        <v>17</v>
      </c>
      <c r="S29" s="715">
        <f t="shared" si="12"/>
        <v>100</v>
      </c>
      <c r="T29" s="714" t="s">
        <v>17</v>
      </c>
      <c r="U29" s="715">
        <f t="shared" si="13"/>
        <v>100</v>
      </c>
      <c r="V29" s="714" t="s">
        <v>17</v>
      </c>
      <c r="W29" s="715">
        <f t="shared" si="14"/>
        <v>100</v>
      </c>
      <c r="X29" s="1541"/>
      <c r="Y29" s="3280"/>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80"/>
      <c r="Q30" s="1538" t="str">
        <f t="shared" si="11"/>
        <v>建筑面积</v>
      </c>
      <c r="R30" s="714" t="s">
        <v>17</v>
      </c>
      <c r="S30" s="715" t="e">
        <f t="shared" si="12"/>
        <v>#N/A</v>
      </c>
      <c r="T30" s="714" t="s">
        <v>17</v>
      </c>
      <c r="U30" s="715" t="e">
        <f t="shared" si="13"/>
        <v>#N/A</v>
      </c>
      <c r="V30" s="714" t="s">
        <v>17</v>
      </c>
      <c r="W30" s="715" t="e">
        <f t="shared" si="14"/>
        <v>#N/A</v>
      </c>
      <c r="X30" s="1541"/>
      <c r="Y30" s="3280"/>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80"/>
      <c r="Q31" s="1529" t="str">
        <f t="shared" si="11"/>
        <v>是否封闭</v>
      </c>
      <c r="R31" s="710" t="s">
        <v>17</v>
      </c>
      <c r="S31" s="711">
        <f t="shared" si="12"/>
        <v>100</v>
      </c>
      <c r="T31" s="710" t="s">
        <v>17</v>
      </c>
      <c r="U31" s="711">
        <f t="shared" si="13"/>
        <v>100</v>
      </c>
      <c r="V31" s="710" t="s">
        <v>17</v>
      </c>
      <c r="W31" s="711">
        <f t="shared" si="14"/>
        <v>100</v>
      </c>
      <c r="X31" s="712"/>
      <c r="Y31" s="328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80" t="s">
        <v>2387</v>
      </c>
      <c r="Q32" s="1538">
        <f t="shared" si="11"/>
        <v>111</v>
      </c>
      <c r="R32" s="714" t="s">
        <v>17</v>
      </c>
      <c r="S32" s="715">
        <f t="shared" si="12"/>
        <v>100</v>
      </c>
      <c r="T32" s="714" t="s">
        <v>17</v>
      </c>
      <c r="U32" s="715">
        <f t="shared" si="13"/>
        <v>100</v>
      </c>
      <c r="V32" s="714" t="s">
        <v>17</v>
      </c>
      <c r="W32" s="715">
        <f t="shared" si="14"/>
        <v>100</v>
      </c>
      <c r="X32" s="1541"/>
      <c r="Y32" s="3280"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80"/>
      <c r="Q33" s="1538">
        <f t="shared" si="11"/>
        <v>111</v>
      </c>
      <c r="R33" s="714" t="s">
        <v>17</v>
      </c>
      <c r="S33" s="715">
        <f t="shared" si="12"/>
        <v>100</v>
      </c>
      <c r="T33" s="714" t="s">
        <v>17</v>
      </c>
      <c r="U33" s="715">
        <f t="shared" si="13"/>
        <v>100</v>
      </c>
      <c r="V33" s="714" t="s">
        <v>17</v>
      </c>
      <c r="W33" s="715">
        <f t="shared" si="14"/>
        <v>100</v>
      </c>
      <c r="X33" s="1541"/>
      <c r="Y33" s="3280"/>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80"/>
      <c r="Q34" s="1538">
        <f t="shared" si="11"/>
        <v>111</v>
      </c>
      <c r="R34" s="714" t="s">
        <v>17</v>
      </c>
      <c r="S34" s="715">
        <f t="shared" si="12"/>
        <v>100</v>
      </c>
      <c r="T34" s="714" t="s">
        <v>17</v>
      </c>
      <c r="U34" s="715">
        <f t="shared" si="13"/>
        <v>100</v>
      </c>
      <c r="V34" s="714" t="s">
        <v>17</v>
      </c>
      <c r="W34" s="715">
        <f t="shared" si="14"/>
        <v>100</v>
      </c>
      <c r="X34" s="1541"/>
      <c r="Y34" s="3280"/>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268" t="str">
        <f>A35</f>
        <v>成交单价（元/平方米）</v>
      </c>
      <c r="Q35" s="3268"/>
      <c r="R35" s="3269">
        <f>E35</f>
        <v>0</v>
      </c>
      <c r="S35" s="3269"/>
      <c r="T35" s="3269">
        <f>G35</f>
        <v>0</v>
      </c>
      <c r="U35" s="3269"/>
      <c r="V35" s="3269">
        <f>I35</f>
        <v>0</v>
      </c>
      <c r="W35" s="3269"/>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50" t="str">
        <f>A37</f>
        <v>估价对象XX用房的比较价值（楼面单价，元/平方米）</v>
      </c>
      <c r="Q37" s="3351"/>
      <c r="R37" s="3352" t="e">
        <f>IF(F1="售价",ROUND(IF(D36="简单平均",AVERAGE(R36:W36),R36*F36+T36*H36+V36*J36),0),ROUND(IF(D36="简单平均",AVERAGE(R36:V36),R36*F36+T36*H36+V36*J36),1))</f>
        <v>#DIV/0!</v>
      </c>
      <c r="S37" s="3352"/>
      <c r="T37" s="3352"/>
      <c r="U37" s="3352"/>
      <c r="V37" s="3352"/>
      <c r="W37" s="3352"/>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2021-2</v>
      </c>
      <c r="D46" s="1347">
        <f>EDATE(C46,-1)</f>
        <v>44197</v>
      </c>
      <c r="E46" s="1347">
        <f t="shared" ref="E46:O46" si="16">EDATE(D46,-1)</f>
        <v>44166</v>
      </c>
      <c r="F46" s="1347">
        <f t="shared" si="16"/>
        <v>44136</v>
      </c>
      <c r="G46" s="1347">
        <f t="shared" si="16"/>
        <v>44105</v>
      </c>
      <c r="H46" s="1347">
        <f t="shared" si="16"/>
        <v>44075</v>
      </c>
      <c r="I46" s="1347">
        <f t="shared" si="16"/>
        <v>44044</v>
      </c>
      <c r="J46" s="1347">
        <f t="shared" si="16"/>
        <v>44013</v>
      </c>
      <c r="K46" s="1347">
        <f t="shared" si="16"/>
        <v>43983</v>
      </c>
      <c r="L46" s="1347">
        <f t="shared" si="16"/>
        <v>43952</v>
      </c>
      <c r="M46" s="1347">
        <f t="shared" si="16"/>
        <v>43922</v>
      </c>
      <c r="N46" s="1347">
        <f t="shared" si="16"/>
        <v>43891</v>
      </c>
      <c r="O46" s="1347">
        <f t="shared" si="16"/>
        <v>43862</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0" zoomScaleNormal="60" zoomScaleSheetLayoutView="100" workbookViewId="0">
      <selection activeCell="I47" sqref="I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2413</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13991</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85" t="s">
        <v>2468</v>
      </c>
      <c r="D4" s="3286"/>
      <c r="E4" s="3287" t="s">
        <v>2469</v>
      </c>
      <c r="F4" s="3288"/>
      <c r="G4" s="3285" t="s">
        <v>2470</v>
      </c>
      <c r="H4" s="3286"/>
      <c r="I4" s="3285" t="s">
        <v>2471</v>
      </c>
      <c r="J4" s="3286"/>
      <c r="K4" s="567" t="s">
        <v>2472</v>
      </c>
      <c r="L4" s="2946"/>
      <c r="M4" s="2947"/>
      <c r="N4" s="2947"/>
      <c r="O4" s="2947"/>
      <c r="P4" s="3355" t="s">
        <v>2473</v>
      </c>
      <c r="Q4" s="3356"/>
      <c r="R4" s="3359" t="s">
        <v>2469</v>
      </c>
      <c r="S4" s="3360"/>
      <c r="T4" s="3359" t="s">
        <v>2470</v>
      </c>
      <c r="U4" s="3360"/>
      <c r="V4" s="3302" t="s">
        <v>2471</v>
      </c>
      <c r="W4" s="3302"/>
      <c r="X4" s="1541"/>
      <c r="Y4" s="3359" t="s">
        <v>2473</v>
      </c>
      <c r="Z4" s="3360"/>
      <c r="AA4" s="3354" t="s">
        <v>2469</v>
      </c>
      <c r="AB4" s="3315" t="s">
        <v>2470</v>
      </c>
      <c r="AC4" s="3354" t="s">
        <v>2471</v>
      </c>
    </row>
    <row r="5" spans="1:30" ht="15">
      <c r="A5" s="364"/>
      <c r="B5" s="365"/>
      <c r="C5" s="3311" t="s">
        <v>2364</v>
      </c>
      <c r="D5" s="3306"/>
      <c r="E5" s="3385" t="s">
        <v>2365</v>
      </c>
      <c r="F5" s="3318"/>
      <c r="G5" s="3311" t="s">
        <v>2366</v>
      </c>
      <c r="H5" s="3306"/>
      <c r="I5" s="3311" t="s">
        <v>2367</v>
      </c>
      <c r="J5" s="3306"/>
      <c r="K5" s="567"/>
      <c r="L5" s="2946"/>
      <c r="M5" s="2947"/>
      <c r="N5" s="2947"/>
      <c r="O5" s="2947"/>
      <c r="P5" s="3357"/>
      <c r="Q5" s="3292"/>
      <c r="R5" s="3297"/>
      <c r="S5" s="3298"/>
      <c r="T5" s="3297"/>
      <c r="U5" s="3298"/>
      <c r="V5" s="3302"/>
      <c r="W5" s="3302"/>
      <c r="X5" s="1541"/>
      <c r="Y5" s="3297"/>
      <c r="Z5" s="3298"/>
      <c r="AA5" s="3315"/>
      <c r="AB5" s="3315"/>
      <c r="AC5" s="3315"/>
    </row>
    <row r="6" spans="1:30" ht="15.75" thickBot="1">
      <c r="A6" s="366"/>
      <c r="B6" s="367"/>
      <c r="C6" s="3303" t="s">
        <v>2368</v>
      </c>
      <c r="D6" s="3304"/>
      <c r="E6" s="3312" t="s">
        <v>2368</v>
      </c>
      <c r="F6" s="3313"/>
      <c r="G6" s="3303" t="s">
        <v>2368</v>
      </c>
      <c r="H6" s="3304"/>
      <c r="I6" s="3303" t="s">
        <v>2368</v>
      </c>
      <c r="J6" s="3304"/>
      <c r="K6" s="567" t="s">
        <v>2369</v>
      </c>
      <c r="L6" s="2946"/>
      <c r="M6" s="2947"/>
      <c r="N6" s="2947"/>
      <c r="O6" s="2947"/>
      <c r="P6" s="3358"/>
      <c r="Q6" s="3294"/>
      <c r="R6" s="3297"/>
      <c r="S6" s="3298"/>
      <c r="T6" s="3299"/>
      <c r="U6" s="3300"/>
      <c r="V6" s="3302"/>
      <c r="W6" s="3302"/>
      <c r="X6" s="1541"/>
      <c r="Y6" s="3299"/>
      <c r="Z6" s="3300"/>
      <c r="AA6" s="3316"/>
      <c r="AB6" s="3316"/>
      <c r="AC6" s="3316"/>
    </row>
    <row r="7" spans="1:30" s="113" customFormat="1" ht="15.75" thickBot="1">
      <c r="A7" s="368" t="s">
        <v>2370</v>
      </c>
      <c r="B7" s="369"/>
      <c r="C7" s="370">
        <f>'数据-取费表'!B2</f>
        <v>44230</v>
      </c>
      <c r="D7" s="371">
        <v>100</v>
      </c>
      <c r="E7" s="372">
        <v>44201</v>
      </c>
      <c r="F7" s="373">
        <f>SUMIF(70:70,YEAR(E7)&amp;"-"&amp;INT((MONTH(E7)+2)/3),71:71)</f>
        <v>100</v>
      </c>
      <c r="G7" s="2162">
        <v>44201</v>
      </c>
      <c r="H7" s="371">
        <f>SUMIF(70:70,YEAR(G7)&amp;"-"&amp;INT((MONTH(G7)+2)/3),71:71)</f>
        <v>100</v>
      </c>
      <c r="I7" s="2162">
        <v>44201</v>
      </c>
      <c r="J7" s="371">
        <f>SUMIF(70:70,YEAR(I7)&amp;"-"&amp;INT((MONTH(I7)+2)/3),71:71)</f>
        <v>100</v>
      </c>
      <c r="K7" s="568"/>
      <c r="L7" s="2948"/>
      <c r="M7" s="2949"/>
      <c r="N7" s="2949"/>
      <c r="O7" s="2949"/>
      <c r="P7" s="3309" t="s">
        <v>2371</v>
      </c>
      <c r="Q7" s="3310"/>
      <c r="R7" s="710" t="s">
        <v>17</v>
      </c>
      <c r="S7" s="711">
        <f t="shared" ref="S7:S15" si="0">F7</f>
        <v>100</v>
      </c>
      <c r="T7" s="710" t="s">
        <v>17</v>
      </c>
      <c r="U7" s="711">
        <f t="shared" ref="U7:U15" si="1">H7</f>
        <v>100</v>
      </c>
      <c r="V7" s="710" t="s">
        <v>17</v>
      </c>
      <c r="W7" s="711">
        <f t="shared" ref="W7:W15" si="2">J7</f>
        <v>100</v>
      </c>
      <c r="X7" s="712"/>
      <c r="Y7" s="3309" t="s">
        <v>2371</v>
      </c>
      <c r="Z7" s="3308"/>
      <c r="AA7" s="713">
        <f>D7/F7</f>
        <v>1</v>
      </c>
      <c r="AB7" s="713">
        <f>D7/H7</f>
        <v>1</v>
      </c>
      <c r="AC7" s="713">
        <f>D7/J7</f>
        <v>1</v>
      </c>
    </row>
    <row r="8" spans="1:30" s="113" customFormat="1" ht="15.75" thickBot="1">
      <c r="A8" s="368" t="s">
        <v>2372</v>
      </c>
      <c r="B8" s="369"/>
      <c r="C8" s="374" t="s">
        <v>2373</v>
      </c>
      <c r="D8" s="371">
        <v>100</v>
      </c>
      <c r="E8" s="374" t="s">
        <v>3072</v>
      </c>
      <c r="F8" s="373">
        <f>SUMIF(73:73,E8,74:74)-SUMIF(73:73,C8,74:74)+100</f>
        <v>100</v>
      </c>
      <c r="G8" s="374" t="s">
        <v>3072</v>
      </c>
      <c r="H8" s="371">
        <f>SUMIF(73:73,G8,74:74)-SUMIF(73:73,C8,74:74)+100</f>
        <v>100</v>
      </c>
      <c r="I8" s="374" t="s">
        <v>3072</v>
      </c>
      <c r="J8" s="371">
        <f>SUMIF(73:73,I8,74:74)-SUMIF(73:73,C8,74:74)+100</f>
        <v>100</v>
      </c>
      <c r="K8" s="568"/>
      <c r="L8" s="2948"/>
      <c r="M8" s="2949"/>
      <c r="N8" s="2949"/>
      <c r="O8" s="2949"/>
      <c r="P8" s="3309" t="s">
        <v>2374</v>
      </c>
      <c r="Q8" s="3308"/>
      <c r="R8" s="710" t="s">
        <v>17</v>
      </c>
      <c r="S8" s="711">
        <f t="shared" si="0"/>
        <v>100</v>
      </c>
      <c r="T8" s="710" t="s">
        <v>17</v>
      </c>
      <c r="U8" s="711">
        <f t="shared" si="1"/>
        <v>100</v>
      </c>
      <c r="V8" s="710" t="s">
        <v>17</v>
      </c>
      <c r="W8" s="711">
        <f t="shared" si="2"/>
        <v>100</v>
      </c>
      <c r="X8" s="712"/>
      <c r="Y8" s="3309" t="s">
        <v>2374</v>
      </c>
      <c r="Z8" s="3308"/>
      <c r="AA8" s="713">
        <f t="shared" ref="AA8:AA45" si="3">D8/F8</f>
        <v>1</v>
      </c>
      <c r="AB8" s="713">
        <f t="shared" ref="AB8:AB45" si="4">D8/H8</f>
        <v>1</v>
      </c>
      <c r="AC8" s="713">
        <f t="shared" ref="AC8:AC45" si="5">D8/J8</f>
        <v>1</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68" t="s">
        <v>2377</v>
      </c>
      <c r="Q9" s="1529" t="str">
        <f t="shared" ref="Q9:Q15" si="6">B9</f>
        <v>用途</v>
      </c>
      <c r="R9" s="710" t="s">
        <v>17</v>
      </c>
      <c r="S9" s="711">
        <f t="shared" si="0"/>
        <v>100</v>
      </c>
      <c r="T9" s="710" t="s">
        <v>17</v>
      </c>
      <c r="U9" s="711">
        <f t="shared" si="1"/>
        <v>100</v>
      </c>
      <c r="V9" s="710" t="s">
        <v>17</v>
      </c>
      <c r="W9" s="711">
        <f t="shared" si="2"/>
        <v>100</v>
      </c>
      <c r="X9" s="712"/>
      <c r="Y9" s="3168"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116</v>
      </c>
      <c r="G10" s="422"/>
      <c r="H10" s="132">
        <f>ROUND(100/'数据-取费表'!G16,0)</f>
        <v>116</v>
      </c>
      <c r="I10" s="422"/>
      <c r="J10" s="132">
        <f>ROUND(100/'数据-取费表'!G16,0)</f>
        <v>116</v>
      </c>
      <c r="K10" s="628"/>
      <c r="L10" s="2950"/>
      <c r="M10" s="2951"/>
      <c r="N10" s="2951"/>
      <c r="O10" s="3004"/>
      <c r="P10" s="3268"/>
      <c r="Q10" s="1529" t="str">
        <f t="shared" si="6"/>
        <v>土地使用年限（年）</v>
      </c>
      <c r="R10" s="710" t="s">
        <v>17</v>
      </c>
      <c r="S10" s="711">
        <f t="shared" si="0"/>
        <v>116</v>
      </c>
      <c r="T10" s="710" t="s">
        <v>17</v>
      </c>
      <c r="U10" s="711">
        <f t="shared" si="1"/>
        <v>116</v>
      </c>
      <c r="V10" s="710" t="s">
        <v>17</v>
      </c>
      <c r="W10" s="711">
        <f t="shared" si="2"/>
        <v>116</v>
      </c>
      <c r="X10" s="712"/>
      <c r="Y10" s="3168"/>
      <c r="Z10" s="55" t="str">
        <f t="shared" si="7"/>
        <v>土地使用年限（年）</v>
      </c>
      <c r="AA10" s="713">
        <f t="shared" si="3"/>
        <v>0.86206896551724133</v>
      </c>
      <c r="AB10" s="713">
        <f t="shared" si="4"/>
        <v>0.86206896551724133</v>
      </c>
      <c r="AC10" s="713">
        <f t="shared" si="5"/>
        <v>0.86206896551724133</v>
      </c>
    </row>
    <row r="11" spans="1:30" ht="15">
      <c r="A11" s="387"/>
      <c r="B11" s="381" t="s">
        <v>2380</v>
      </c>
      <c r="C11" s="388"/>
      <c r="D11" s="132">
        <v>100</v>
      </c>
      <c r="E11" s="388"/>
      <c r="F11" s="132">
        <f>LOOKUP(E11,80:80,81:81)-LOOKUP(C11,80:80,81:81)+100</f>
        <v>100</v>
      </c>
      <c r="G11" s="389"/>
      <c r="H11" s="132">
        <f>LOOKUP(G11,80:80,81:81)-LOOKUP(C11,80:80,81:81)+100</f>
        <v>100</v>
      </c>
      <c r="I11" s="388"/>
      <c r="J11" s="132">
        <f>LOOKUP(I11,80:80,81:81)-LOOKUP(C11,80:80,81:81)+100</f>
        <v>100</v>
      </c>
      <c r="K11" s="629"/>
      <c r="L11" s="2952"/>
      <c r="M11" s="2947"/>
      <c r="N11" s="2947"/>
      <c r="O11" s="3005"/>
      <c r="P11" s="3268"/>
      <c r="Q11" s="1529" t="str">
        <f t="shared" si="6"/>
        <v>容积率</v>
      </c>
      <c r="R11" s="710" t="s">
        <v>17</v>
      </c>
      <c r="S11" s="711">
        <f t="shared" si="0"/>
        <v>100</v>
      </c>
      <c r="T11" s="710" t="s">
        <v>17</v>
      </c>
      <c r="U11" s="711">
        <f t="shared" si="1"/>
        <v>100</v>
      </c>
      <c r="V11" s="710" t="s">
        <v>17</v>
      </c>
      <c r="W11" s="711">
        <f t="shared" si="2"/>
        <v>100</v>
      </c>
      <c r="X11" s="712"/>
      <c r="Y11" s="3168"/>
      <c r="Z11" s="55" t="str">
        <f t="shared" si="7"/>
        <v>容积率</v>
      </c>
      <c r="AA11" s="713">
        <f t="shared" si="3"/>
        <v>1</v>
      </c>
      <c r="AB11" s="713">
        <f t="shared" si="4"/>
        <v>1</v>
      </c>
      <c r="AC11" s="713">
        <f t="shared" si="5"/>
        <v>1</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68"/>
      <c r="Q12" s="1529" t="str">
        <f t="shared" si="6"/>
        <v>配建</v>
      </c>
      <c r="R12" s="710" t="s">
        <v>17</v>
      </c>
      <c r="S12" s="711">
        <f t="shared" si="0"/>
        <v>100</v>
      </c>
      <c r="T12" s="710" t="s">
        <v>17</v>
      </c>
      <c r="U12" s="711">
        <f t="shared" si="1"/>
        <v>100</v>
      </c>
      <c r="V12" s="710" t="s">
        <v>17</v>
      </c>
      <c r="W12" s="711">
        <f t="shared" si="2"/>
        <v>100</v>
      </c>
      <c r="X12" s="712"/>
      <c r="Y12" s="3168"/>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68"/>
      <c r="Q13" s="1529">
        <f t="shared" si="6"/>
        <v>111</v>
      </c>
      <c r="R13" s="710" t="s">
        <v>17</v>
      </c>
      <c r="S13" s="711">
        <f t="shared" si="0"/>
        <v>100</v>
      </c>
      <c r="T13" s="710" t="s">
        <v>17</v>
      </c>
      <c r="U13" s="711">
        <f t="shared" si="1"/>
        <v>100</v>
      </c>
      <c r="V13" s="710" t="s">
        <v>17</v>
      </c>
      <c r="W13" s="711">
        <f t="shared" si="2"/>
        <v>100</v>
      </c>
      <c r="X13" s="712"/>
      <c r="Y13" s="3168"/>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68"/>
      <c r="Q14" s="1529">
        <f t="shared" si="6"/>
        <v>111</v>
      </c>
      <c r="R14" s="710" t="s">
        <v>17</v>
      </c>
      <c r="S14" s="711">
        <f t="shared" si="0"/>
        <v>100</v>
      </c>
      <c r="T14" s="710" t="s">
        <v>17</v>
      </c>
      <c r="U14" s="711">
        <f t="shared" si="1"/>
        <v>100</v>
      </c>
      <c r="V14" s="710" t="s">
        <v>17</v>
      </c>
      <c r="W14" s="711">
        <f t="shared" si="2"/>
        <v>100</v>
      </c>
      <c r="X14" s="712"/>
      <c r="Y14" s="3168"/>
      <c r="Z14" s="55">
        <f t="shared" si="7"/>
        <v>111</v>
      </c>
      <c r="AA14" s="713">
        <f>D14/F14</f>
        <v>1</v>
      </c>
      <c r="AB14" s="713">
        <f>D14/H14</f>
        <v>1</v>
      </c>
      <c r="AC14" s="713">
        <f>D14/J14</f>
        <v>1</v>
      </c>
    </row>
    <row r="15" spans="1:30" ht="15">
      <c r="A15" s="399" t="s">
        <v>2381</v>
      </c>
      <c r="B15" s="65" t="s">
        <v>1944</v>
      </c>
      <c r="C15" s="208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75" t="s">
        <v>2382</v>
      </c>
      <c r="Q15" s="1538" t="str">
        <f t="shared" si="6"/>
        <v>居住社区成熟度</v>
      </c>
      <c r="R15" s="714" t="s">
        <v>17</v>
      </c>
      <c r="S15" s="715">
        <f t="shared" si="0"/>
        <v>100</v>
      </c>
      <c r="T15" s="714" t="s">
        <v>17</v>
      </c>
      <c r="U15" s="715">
        <f t="shared" si="1"/>
        <v>100</v>
      </c>
      <c r="V15" s="714" t="s">
        <v>17</v>
      </c>
      <c r="W15" s="715">
        <f t="shared" si="2"/>
        <v>100</v>
      </c>
      <c r="X15" s="1541"/>
      <c r="Y15" s="3275"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76"/>
      <c r="Q16" s="1538"/>
      <c r="R16" s="714"/>
      <c r="S16" s="715"/>
      <c r="T16" s="714"/>
      <c r="U16" s="715"/>
      <c r="V16" s="714"/>
      <c r="W16" s="715"/>
      <c r="X16" s="1541"/>
      <c r="Y16" s="3276"/>
      <c r="Z16" s="1542"/>
      <c r="AA16" s="1539">
        <v>1</v>
      </c>
      <c r="AB16" s="1539">
        <v>1</v>
      </c>
      <c r="AC16" s="1539">
        <v>1</v>
      </c>
    </row>
    <row r="17" spans="1:29" ht="15">
      <c r="A17" s="387"/>
      <c r="B17" s="410" t="s">
        <v>2475</v>
      </c>
      <c r="C17" s="214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76"/>
      <c r="Q17" s="1538" t="str">
        <f>B17</f>
        <v>商业繁华度</v>
      </c>
      <c r="R17" s="714" t="s">
        <v>17</v>
      </c>
      <c r="S17" s="715">
        <f>F17</f>
        <v>100</v>
      </c>
      <c r="T17" s="714" t="s">
        <v>17</v>
      </c>
      <c r="U17" s="715">
        <f>H17</f>
        <v>100</v>
      </c>
      <c r="V17" s="714" t="s">
        <v>17</v>
      </c>
      <c r="W17" s="715">
        <f>J17</f>
        <v>100</v>
      </c>
      <c r="X17" s="1541"/>
      <c r="Y17" s="3276"/>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76"/>
      <c r="Q18" s="1538"/>
      <c r="R18" s="714"/>
      <c r="S18" s="715"/>
      <c r="T18" s="714"/>
      <c r="U18" s="715"/>
      <c r="V18" s="714"/>
      <c r="W18" s="715"/>
      <c r="X18" s="1541"/>
      <c r="Y18" s="3276"/>
      <c r="Z18" s="1542"/>
      <c r="AA18" s="1539">
        <v>1</v>
      </c>
      <c r="AB18" s="1539">
        <v>1</v>
      </c>
      <c r="AC18" s="1539">
        <v>1</v>
      </c>
    </row>
    <row r="19" spans="1:29" ht="15">
      <c r="A19" s="387"/>
      <c r="B19" s="410" t="s">
        <v>2509</v>
      </c>
      <c r="C19" s="2143">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76"/>
      <c r="Q19" s="1538" t="str">
        <f>B19</f>
        <v>办公集聚程度</v>
      </c>
      <c r="R19" s="714" t="s">
        <v>17</v>
      </c>
      <c r="S19" s="715">
        <f>F19</f>
        <v>100</v>
      </c>
      <c r="T19" s="714" t="s">
        <v>17</v>
      </c>
      <c r="U19" s="715">
        <f>H19</f>
        <v>100</v>
      </c>
      <c r="V19" s="714" t="s">
        <v>17</v>
      </c>
      <c r="W19" s="715">
        <f>J19</f>
        <v>100</v>
      </c>
      <c r="X19" s="1541"/>
      <c r="Y19" s="3276"/>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76"/>
      <c r="Q20" s="1538"/>
      <c r="R20" s="714"/>
      <c r="S20" s="715"/>
      <c r="T20" s="714"/>
      <c r="U20" s="715"/>
      <c r="V20" s="714"/>
      <c r="W20" s="715"/>
      <c r="X20" s="1541"/>
      <c r="Y20" s="3276"/>
      <c r="Z20" s="1542"/>
      <c r="AA20" s="1539">
        <v>1</v>
      </c>
      <c r="AB20" s="1539">
        <v>1</v>
      </c>
      <c r="AC20" s="1539">
        <v>1</v>
      </c>
    </row>
    <row r="21" spans="1:29" ht="15">
      <c r="A21" s="387"/>
      <c r="B21" s="410" t="s">
        <v>2531</v>
      </c>
      <c r="C21" s="2088">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76"/>
      <c r="Q21" s="1538" t="str">
        <f>B21</f>
        <v>交通便捷度</v>
      </c>
      <c r="R21" s="714" t="s">
        <v>17</v>
      </c>
      <c r="S21" s="715">
        <f>F21</f>
        <v>100</v>
      </c>
      <c r="T21" s="714" t="s">
        <v>17</v>
      </c>
      <c r="U21" s="715">
        <f>H21</f>
        <v>100</v>
      </c>
      <c r="V21" s="714" t="s">
        <v>17</v>
      </c>
      <c r="W21" s="715">
        <f>J21</f>
        <v>100</v>
      </c>
      <c r="X21" s="1541"/>
      <c r="Y21" s="3276"/>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76"/>
      <c r="Q22" s="1538"/>
      <c r="R22" s="714"/>
      <c r="S22" s="715"/>
      <c r="T22" s="714"/>
      <c r="U22" s="715"/>
      <c r="V22" s="714"/>
      <c r="W22" s="715"/>
      <c r="X22" s="1541"/>
      <c r="Y22" s="3276"/>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76"/>
      <c r="Q23" s="1538" t="str">
        <f t="shared" ref="Q23:Q37" si="8">B23</f>
        <v>区域土地利用方向</v>
      </c>
      <c r="R23" s="714" t="s">
        <v>17</v>
      </c>
      <c r="S23" s="715">
        <f>F23</f>
        <v>100</v>
      </c>
      <c r="T23" s="714" t="s">
        <v>17</v>
      </c>
      <c r="U23" s="715">
        <f>H23</f>
        <v>100</v>
      </c>
      <c r="V23" s="714" t="s">
        <v>17</v>
      </c>
      <c r="W23" s="715">
        <f>J23</f>
        <v>100</v>
      </c>
      <c r="X23" s="1541"/>
      <c r="Y23" s="3276"/>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76"/>
      <c r="Q24" s="1538"/>
      <c r="R24" s="714"/>
      <c r="S24" s="715"/>
      <c r="T24" s="714"/>
      <c r="U24" s="715"/>
      <c r="V24" s="714"/>
      <c r="W24" s="715"/>
      <c r="X24" s="1541"/>
      <c r="Y24" s="3276"/>
      <c r="Z24" s="1542"/>
      <c r="AA24" s="1539"/>
      <c r="AB24" s="1539"/>
      <c r="AC24" s="1539"/>
    </row>
    <row r="25" spans="1:29" ht="27">
      <c r="A25" s="364"/>
      <c r="B25" s="1293" t="s">
        <v>2571</v>
      </c>
      <c r="C25" s="2143">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76"/>
      <c r="Q25" s="1538" t="str">
        <f t="shared" si="8"/>
        <v>自然及人文环境状况</v>
      </c>
      <c r="R25" s="714" t="s">
        <v>17</v>
      </c>
      <c r="S25" s="715">
        <f>F25</f>
        <v>100</v>
      </c>
      <c r="T25" s="714" t="s">
        <v>17</v>
      </c>
      <c r="U25" s="715">
        <f>H25</f>
        <v>100</v>
      </c>
      <c r="V25" s="714" t="s">
        <v>17</v>
      </c>
      <c r="W25" s="715">
        <f>J25</f>
        <v>100</v>
      </c>
      <c r="X25" s="1541"/>
      <c r="Y25" s="3276"/>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76"/>
      <c r="Q26" s="1538"/>
      <c r="R26" s="714"/>
      <c r="S26" s="715"/>
      <c r="T26" s="714"/>
      <c r="U26" s="715"/>
      <c r="V26" s="714"/>
      <c r="W26" s="715"/>
      <c r="X26" s="1541"/>
      <c r="Y26" s="3276"/>
      <c r="Z26" s="1542"/>
      <c r="AA26" s="1539">
        <v>1</v>
      </c>
      <c r="AB26" s="1539">
        <v>1</v>
      </c>
      <c r="AC26" s="1539">
        <v>1</v>
      </c>
    </row>
    <row r="27" spans="1:29" s="113" customFormat="1" ht="15">
      <c r="A27" s="605"/>
      <c r="B27" s="1293" t="s">
        <v>2476</v>
      </c>
      <c r="C27" s="2088">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76"/>
      <c r="Q27" s="1529" t="str">
        <f t="shared" si="8"/>
        <v>公共配套设施</v>
      </c>
      <c r="R27" s="710" t="s">
        <v>17</v>
      </c>
      <c r="S27" s="711">
        <f>F27</f>
        <v>100</v>
      </c>
      <c r="T27" s="710" t="s">
        <v>17</v>
      </c>
      <c r="U27" s="711">
        <f>H27</f>
        <v>100</v>
      </c>
      <c r="V27" s="710" t="s">
        <v>17</v>
      </c>
      <c r="W27" s="711">
        <f>J27</f>
        <v>100</v>
      </c>
      <c r="X27" s="712"/>
      <c r="Y27" s="3276"/>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76"/>
      <c r="Q28" s="1529"/>
      <c r="R28" s="710"/>
      <c r="S28" s="711"/>
      <c r="T28" s="710"/>
      <c r="U28" s="711"/>
      <c r="V28" s="710"/>
      <c r="W28" s="711"/>
      <c r="X28" s="712"/>
      <c r="Y28" s="3276"/>
      <c r="Z28" s="55"/>
      <c r="AA28" s="1539">
        <v>1</v>
      </c>
      <c r="AB28" s="1539">
        <v>1</v>
      </c>
      <c r="AC28" s="1539">
        <v>1</v>
      </c>
    </row>
    <row r="29" spans="1:29" s="113" customFormat="1" ht="15">
      <c r="A29" s="605"/>
      <c r="B29" s="1293" t="s">
        <v>2477</v>
      </c>
      <c r="C29" s="2088">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76"/>
      <c r="Q29" s="1529" t="str">
        <f t="shared" ref="Q29" si="9">B29</f>
        <v>基础设施水平</v>
      </c>
      <c r="R29" s="710" t="s">
        <v>17</v>
      </c>
      <c r="S29" s="711">
        <f>F29</f>
        <v>100</v>
      </c>
      <c r="T29" s="710" t="s">
        <v>17</v>
      </c>
      <c r="U29" s="711">
        <f>H29</f>
        <v>100</v>
      </c>
      <c r="V29" s="710" t="s">
        <v>17</v>
      </c>
      <c r="W29" s="711">
        <f>J29</f>
        <v>100</v>
      </c>
      <c r="X29" s="712"/>
      <c r="Y29" s="3276"/>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76"/>
      <c r="Q30" s="1529"/>
      <c r="R30" s="710"/>
      <c r="S30" s="711"/>
      <c r="T30" s="710"/>
      <c r="U30" s="711"/>
      <c r="V30" s="710"/>
      <c r="W30" s="711"/>
      <c r="X30" s="712"/>
      <c r="Y30" s="3276"/>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76"/>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76"/>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76"/>
      <c r="Q32" s="1538" t="str">
        <f t="shared" si="8"/>
        <v>毗邻道路的类型与等级</v>
      </c>
      <c r="R32" s="714" t="s">
        <v>17</v>
      </c>
      <c r="S32" s="715">
        <f t="shared" si="10"/>
        <v>100</v>
      </c>
      <c r="T32" s="714" t="s">
        <v>17</v>
      </c>
      <c r="U32" s="715">
        <f t="shared" si="11"/>
        <v>100</v>
      </c>
      <c r="V32" s="714" t="s">
        <v>17</v>
      </c>
      <c r="W32" s="715">
        <f t="shared" si="12"/>
        <v>100</v>
      </c>
      <c r="X32" s="1541"/>
      <c r="Y32" s="3276"/>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76"/>
      <c r="Q33" s="1538"/>
      <c r="R33" s="714"/>
      <c r="S33" s="715"/>
      <c r="T33" s="714"/>
      <c r="U33" s="715"/>
      <c r="V33" s="714"/>
      <c r="W33" s="715"/>
      <c r="X33" s="1541"/>
      <c r="Y33" s="3276"/>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76"/>
      <c r="Q34" s="1538" t="str">
        <f t="shared" si="8"/>
        <v>土地级别</v>
      </c>
      <c r="R34" s="714" t="s">
        <v>17</v>
      </c>
      <c r="S34" s="715">
        <f t="shared" si="10"/>
        <v>100</v>
      </c>
      <c r="T34" s="714" t="s">
        <v>17</v>
      </c>
      <c r="U34" s="715">
        <f t="shared" si="11"/>
        <v>100</v>
      </c>
      <c r="V34" s="714" t="s">
        <v>17</v>
      </c>
      <c r="W34" s="715">
        <f t="shared" si="12"/>
        <v>100</v>
      </c>
      <c r="X34" s="1541"/>
      <c r="Y34" s="3276"/>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76"/>
      <c r="Q35" s="1538">
        <f t="shared" si="8"/>
        <v>111</v>
      </c>
      <c r="R35" s="714" t="s">
        <v>17</v>
      </c>
      <c r="S35" s="715">
        <f t="shared" si="10"/>
        <v>100</v>
      </c>
      <c r="T35" s="714" t="s">
        <v>17</v>
      </c>
      <c r="U35" s="715">
        <f t="shared" si="11"/>
        <v>100</v>
      </c>
      <c r="V35" s="714" t="s">
        <v>17</v>
      </c>
      <c r="W35" s="715">
        <f t="shared" si="12"/>
        <v>100</v>
      </c>
      <c r="X35" s="1541"/>
      <c r="Y35" s="3276"/>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53" t="s">
        <v>2387</v>
      </c>
      <c r="Q36" s="1538">
        <f t="shared" si="8"/>
        <v>111</v>
      </c>
      <c r="R36" s="714" t="s">
        <v>17</v>
      </c>
      <c r="S36" s="715">
        <f t="shared" si="10"/>
        <v>100</v>
      </c>
      <c r="T36" s="714" t="s">
        <v>17</v>
      </c>
      <c r="U36" s="715">
        <f t="shared" si="11"/>
        <v>100</v>
      </c>
      <c r="V36" s="714" t="s">
        <v>17</v>
      </c>
      <c r="W36" s="715">
        <f t="shared" si="12"/>
        <v>100</v>
      </c>
      <c r="X36" s="1541"/>
      <c r="Y36" s="3280"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80"/>
      <c r="Q37" s="1538">
        <f t="shared" si="8"/>
        <v>111</v>
      </c>
      <c r="R37" s="717" t="s">
        <v>17</v>
      </c>
      <c r="S37" s="718">
        <f t="shared" si="10"/>
        <v>100</v>
      </c>
      <c r="T37" s="717" t="s">
        <v>17</v>
      </c>
      <c r="U37" s="718">
        <f t="shared" si="11"/>
        <v>100</v>
      </c>
      <c r="V37" s="717" t="s">
        <v>17</v>
      </c>
      <c r="W37" s="718">
        <f t="shared" si="12"/>
        <v>100</v>
      </c>
      <c r="X37" s="719"/>
      <c r="Y37" s="3280"/>
      <c r="Z37" s="720">
        <f t="shared" si="13"/>
        <v>111</v>
      </c>
      <c r="AA37" s="1539">
        <f t="shared" si="3"/>
        <v>1</v>
      </c>
      <c r="AB37" s="1539">
        <f t="shared" si="4"/>
        <v>1</v>
      </c>
      <c r="AC37" s="1539">
        <f t="shared" si="5"/>
        <v>1</v>
      </c>
    </row>
    <row r="38" spans="1:29" ht="15">
      <c r="A38" s="431" t="s">
        <v>2385</v>
      </c>
      <c r="B38" s="415" t="s">
        <v>2573</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53"/>
      <c r="M38" s="2947"/>
      <c r="N38" s="2947"/>
      <c r="O38" s="3005"/>
      <c r="P38" s="3280"/>
      <c r="Q38" s="1538" t="str">
        <f>B38</f>
        <v>宗地面积</v>
      </c>
      <c r="R38" s="714" t="s">
        <v>17</v>
      </c>
      <c r="S38" s="715">
        <f t="shared" si="10"/>
        <v>100</v>
      </c>
      <c r="T38" s="714" t="s">
        <v>17</v>
      </c>
      <c r="U38" s="715">
        <f t="shared" si="11"/>
        <v>100</v>
      </c>
      <c r="V38" s="714" t="s">
        <v>17</v>
      </c>
      <c r="W38" s="715">
        <f t="shared" si="12"/>
        <v>100</v>
      </c>
      <c r="X38" s="1541"/>
      <c r="Y38" s="3280"/>
      <c r="Z38" s="1542" t="str">
        <f t="shared" si="13"/>
        <v>宗地面积</v>
      </c>
      <c r="AA38" s="1539">
        <f t="shared" si="3"/>
        <v>1</v>
      </c>
      <c r="AB38" s="1539">
        <f t="shared" si="4"/>
        <v>1</v>
      </c>
      <c r="AC38" s="1539">
        <f t="shared" si="5"/>
        <v>1</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80"/>
      <c r="Q39" s="1538" t="str">
        <f t="shared" ref="Q39:Q45" si="14">B39</f>
        <v>宗地形状</v>
      </c>
      <c r="R39" s="714" t="s">
        <v>17</v>
      </c>
      <c r="S39" s="715">
        <f t="shared" si="10"/>
        <v>100</v>
      </c>
      <c r="T39" s="714" t="s">
        <v>17</v>
      </c>
      <c r="U39" s="715">
        <f t="shared" si="11"/>
        <v>100</v>
      </c>
      <c r="V39" s="714" t="s">
        <v>17</v>
      </c>
      <c r="W39" s="715">
        <f t="shared" si="12"/>
        <v>100</v>
      </c>
      <c r="X39" s="1541"/>
      <c r="Y39" s="3280"/>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80"/>
      <c r="Q40" s="1538" t="str">
        <f t="shared" si="14"/>
        <v>临街宽度及深度</v>
      </c>
      <c r="R40" s="714" t="s">
        <v>17</v>
      </c>
      <c r="S40" s="715">
        <f t="shared" si="10"/>
        <v>100</v>
      </c>
      <c r="T40" s="714" t="s">
        <v>17</v>
      </c>
      <c r="U40" s="715">
        <f t="shared" si="11"/>
        <v>100</v>
      </c>
      <c r="V40" s="714" t="s">
        <v>17</v>
      </c>
      <c r="W40" s="715">
        <f t="shared" si="12"/>
        <v>100</v>
      </c>
      <c r="X40" s="1541"/>
      <c r="Y40" s="3280"/>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80"/>
      <c r="Q41" s="1538" t="str">
        <f t="shared" si="14"/>
        <v>宗地开发程度</v>
      </c>
      <c r="R41" s="710" t="s">
        <v>17</v>
      </c>
      <c r="S41" s="711">
        <f t="shared" si="10"/>
        <v>100</v>
      </c>
      <c r="T41" s="710" t="s">
        <v>17</v>
      </c>
      <c r="U41" s="711">
        <f t="shared" si="11"/>
        <v>100</v>
      </c>
      <c r="V41" s="710" t="s">
        <v>17</v>
      </c>
      <c r="W41" s="711">
        <f t="shared" si="12"/>
        <v>100</v>
      </c>
      <c r="X41" s="712"/>
      <c r="Y41" s="3280"/>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80" t="s">
        <v>2387</v>
      </c>
      <c r="Q42" s="1538" t="str">
        <f t="shared" si="14"/>
        <v>工程地质条件</v>
      </c>
      <c r="R42" s="714" t="s">
        <v>17</v>
      </c>
      <c r="S42" s="715">
        <f t="shared" si="10"/>
        <v>100</v>
      </c>
      <c r="T42" s="714" t="s">
        <v>17</v>
      </c>
      <c r="U42" s="715">
        <f t="shared" si="11"/>
        <v>100</v>
      </c>
      <c r="V42" s="714" t="s">
        <v>17</v>
      </c>
      <c r="W42" s="715">
        <f t="shared" si="12"/>
        <v>100</v>
      </c>
      <c r="X42" s="1541"/>
      <c r="Y42" s="3280"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80"/>
      <c r="Q43" s="1538">
        <f t="shared" si="14"/>
        <v>111</v>
      </c>
      <c r="R43" s="714" t="s">
        <v>17</v>
      </c>
      <c r="S43" s="715">
        <f t="shared" si="10"/>
        <v>100</v>
      </c>
      <c r="T43" s="714" t="s">
        <v>17</v>
      </c>
      <c r="U43" s="715">
        <f t="shared" si="11"/>
        <v>100</v>
      </c>
      <c r="V43" s="714" t="s">
        <v>17</v>
      </c>
      <c r="W43" s="715">
        <f t="shared" si="12"/>
        <v>100</v>
      </c>
      <c r="X43" s="1541"/>
      <c r="Y43" s="328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80"/>
      <c r="Q44" s="1538">
        <f t="shared" si="14"/>
        <v>111</v>
      </c>
      <c r="R44" s="714" t="s">
        <v>17</v>
      </c>
      <c r="S44" s="715">
        <f t="shared" si="10"/>
        <v>100</v>
      </c>
      <c r="T44" s="714" t="s">
        <v>17</v>
      </c>
      <c r="U44" s="715">
        <f t="shared" si="11"/>
        <v>100</v>
      </c>
      <c r="V44" s="714" t="s">
        <v>17</v>
      </c>
      <c r="W44" s="715">
        <f t="shared" si="12"/>
        <v>100</v>
      </c>
      <c r="X44" s="1541"/>
      <c r="Y44" s="3280"/>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80"/>
      <c r="Q45" s="1538">
        <f t="shared" si="14"/>
        <v>111</v>
      </c>
      <c r="R45" s="717" t="s">
        <v>17</v>
      </c>
      <c r="S45" s="718">
        <f t="shared" si="10"/>
        <v>100</v>
      </c>
      <c r="T45" s="717" t="s">
        <v>17</v>
      </c>
      <c r="U45" s="718">
        <f t="shared" si="11"/>
        <v>100</v>
      </c>
      <c r="V45" s="717" t="s">
        <v>17</v>
      </c>
      <c r="W45" s="718">
        <f t="shared" si="12"/>
        <v>100</v>
      </c>
      <c r="X45" s="719"/>
      <c r="Y45" s="3280"/>
      <c r="Z45" s="720">
        <f t="shared" si="13"/>
        <v>111</v>
      </c>
      <c r="AA45" s="1539">
        <f t="shared" si="3"/>
        <v>1</v>
      </c>
      <c r="AB45" s="1539">
        <f t="shared" si="4"/>
        <v>1</v>
      </c>
      <c r="AC45" s="1539">
        <f t="shared" si="5"/>
        <v>1</v>
      </c>
    </row>
    <row r="46" spans="1:29" ht="15">
      <c r="A46" s="438" t="s">
        <v>2542</v>
      </c>
      <c r="B46" s="2170" t="s">
        <v>2578</v>
      </c>
      <c r="C46" s="638" t="s">
        <v>1</v>
      </c>
      <c r="D46" s="440"/>
      <c r="E46" s="441">
        <v>22000</v>
      </c>
      <c r="F46" s="442"/>
      <c r="G46" s="443">
        <v>22000</v>
      </c>
      <c r="H46" s="444"/>
      <c r="I46" s="441">
        <v>22000</v>
      </c>
      <c r="J46" s="444"/>
      <c r="K46" s="723"/>
      <c r="L46" s="2955"/>
      <c r="M46" s="2956"/>
      <c r="N46" s="2947"/>
      <c r="O46" s="2956"/>
      <c r="P46" s="3268" t="str">
        <f>A46</f>
        <v>成交单价</v>
      </c>
      <c r="Q46" s="3268"/>
      <c r="R46" s="3302">
        <f>E46</f>
        <v>22000</v>
      </c>
      <c r="S46" s="3302"/>
      <c r="T46" s="3302">
        <f>G46</f>
        <v>22000</v>
      </c>
      <c r="U46" s="3302"/>
      <c r="V46" s="3302">
        <f>I46</f>
        <v>22000</v>
      </c>
      <c r="W46" s="3302"/>
      <c r="X46" s="699"/>
      <c r="Y46" s="721"/>
      <c r="Z46" s="699"/>
      <c r="AA46" s="699"/>
      <c r="AB46" s="699"/>
      <c r="AC46" s="699"/>
    </row>
    <row r="47" spans="1:29" ht="15.75" thickBot="1">
      <c r="A47" s="445" t="s">
        <v>2491</v>
      </c>
      <c r="B47" s="639"/>
      <c r="C47" s="448">
        <f>R48</f>
        <v>18966</v>
      </c>
      <c r="D47" s="2540" t="s">
        <v>2880</v>
      </c>
      <c r="E47" s="448">
        <f>R47</f>
        <v>18966</v>
      </c>
      <c r="F47" s="2541"/>
      <c r="G47" s="447">
        <f>T47</f>
        <v>18966</v>
      </c>
      <c r="H47" s="2541"/>
      <c r="I47" s="448">
        <f>V47</f>
        <v>18966</v>
      </c>
      <c r="J47" s="2541"/>
      <c r="K47" s="2543">
        <f>F47+H47+J47</f>
        <v>0</v>
      </c>
      <c r="L47" s="2955"/>
      <c r="M47" s="2956"/>
      <c r="N47" s="2956"/>
      <c r="O47" s="2956"/>
      <c r="P47" s="3268" t="str">
        <f>A47</f>
        <v>比较价值（元/平方米）</v>
      </c>
      <c r="Q47" s="3268"/>
      <c r="R47" s="3386">
        <f>ROUND(PRODUCT(R46,AA7:AA45),0)</f>
        <v>18966</v>
      </c>
      <c r="S47" s="3386"/>
      <c r="T47" s="3386">
        <f>ROUND(PRODUCT(T46,AB7:AB45),0)</f>
        <v>18966</v>
      </c>
      <c r="U47" s="3386"/>
      <c r="V47" s="3386">
        <f>ROUND(PRODUCT(V46,AC7:AC45),0)</f>
        <v>18966</v>
      </c>
      <c r="W47" s="3386"/>
      <c r="X47" s="699"/>
      <c r="Y47" s="699"/>
      <c r="Z47" s="699"/>
      <c r="AA47" s="699"/>
      <c r="AB47" s="699"/>
      <c r="AC47" s="699"/>
    </row>
    <row r="48" spans="1:29" ht="15.75" thickBot="1">
      <c r="A48" s="449" t="s">
        <v>2579</v>
      </c>
      <c r="B48" s="450"/>
      <c r="C48" s="451">
        <f>R48</f>
        <v>18966</v>
      </c>
      <c r="D48" s="451"/>
      <c r="E48" s="451"/>
      <c r="F48" s="451"/>
      <c r="G48" s="451"/>
      <c r="H48" s="451"/>
      <c r="I48" s="451"/>
      <c r="J48" s="451"/>
      <c r="K48" s="724"/>
      <c r="L48" s="2955"/>
      <c r="M48" s="2956"/>
      <c r="N48" s="2956"/>
      <c r="O48" s="2956"/>
      <c r="P48" s="3350" t="str">
        <f>A48</f>
        <v>估价对象XX用房的比较价值（楼面单价，元/平方米）</v>
      </c>
      <c r="Q48" s="3351"/>
      <c r="R48" s="3387">
        <f>ROUND(IF(D47="简单平均",AVERAGE(R47:W47),R47*F47+T47*H47+V47*J47),0)</f>
        <v>18966</v>
      </c>
      <c r="S48" s="3387"/>
      <c r="T48" s="3387"/>
      <c r="U48" s="3387"/>
      <c r="V48" s="3387"/>
      <c r="W48" s="3387"/>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f>IF(E46&lt;E47,E47/E46-1,E46/E47-1)</f>
        <v>0.15997047347885696</v>
      </c>
      <c r="F51" s="457" t="str">
        <f>IF(OR(E51&gt;=0.3,E51&lt;=-0.3),"超过30%","")</f>
        <v/>
      </c>
      <c r="G51" s="456">
        <f>IF(G46&lt;G47,G47/G46-1,G46/G47-1)</f>
        <v>0.15997047347885696</v>
      </c>
      <c r="H51" s="457" t="str">
        <f>IF(OR(G51&gt;=0.3,G51&lt;=-0.3),"超过30%","")</f>
        <v/>
      </c>
      <c r="I51" s="456">
        <f>IF(I46&lt;I47,I47/I46-1,I46/I47-1)</f>
        <v>0.15997047347885696</v>
      </c>
      <c r="J51" s="457" t="str">
        <f>IF(OR(I51&gt;=0.3,I51&lt;=-0.3),"超过30%","")</f>
        <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f>IF(E47&lt;G47,G47/E47-1,E47/G47-1)</f>
        <v>0</v>
      </c>
      <c r="F52" s="457" t="str">
        <f>IF(OR(E52&gt;=0.2,E52&lt;=-0.2),"超过20%","")</f>
        <v/>
      </c>
      <c r="G52" s="456">
        <f>IF(G47&lt;I47,I47/G47-1,G47/I47-1)</f>
        <v>0</v>
      </c>
      <c r="H52" s="457" t="str">
        <f>IF(OR(G52&gt;=0.2,G52&lt;=-0.2),"超过20%","")</f>
        <v/>
      </c>
      <c r="I52" s="456">
        <f>IF(I47&lt;E47,E47/I47-1,I47/E47-1)</f>
        <v>0</v>
      </c>
      <c r="J52" s="457" t="str">
        <f>IF(OR(I52&gt;=0.2,I52&lt;=-0.2),"超过20%","")</f>
        <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f>IF(E46&lt;G46,G46/E46-1,E46/G46-1)</f>
        <v>0</v>
      </c>
      <c r="F53" s="457" t="str">
        <f>IF(OR(E53&gt;=0.3,E53&lt;=-0.3),"超过30%","")</f>
        <v/>
      </c>
      <c r="G53" s="456">
        <f>IF(G46&lt;I46,I46/G46-1,G46/I46-1)</f>
        <v>0</v>
      </c>
      <c r="H53" s="457" t="str">
        <f>IF(OR(G53&gt;=0.3,G53&lt;=-0.3),"超过30%","")</f>
        <v/>
      </c>
      <c r="I53" s="456">
        <f>IF(I46&lt;E46,E46/I46-1,I46/E46-1)</f>
        <v>0</v>
      </c>
      <c r="J53" s="457" t="str">
        <f>IF(OR(I53&gt;=0.3,I53&lt;=-0.3),"超过30%","")</f>
        <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85" t="s">
        <v>2586</v>
      </c>
      <c r="H55" s="3388"/>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f>C48</f>
        <v>18966</v>
      </c>
      <c r="C56" s="646">
        <v>1</v>
      </c>
      <c r="D56" s="1075">
        <v>1</v>
      </c>
      <c r="E56" s="646">
        <f>'数据-汇总表'!E8+'数据-汇总表'!E9</f>
        <v>1272.47</v>
      </c>
      <c r="F56" s="1017">
        <f t="shared" ref="F56:F65" si="15">ROUND(B56*E56/10000,0)</f>
        <v>2413</v>
      </c>
      <c r="G56" s="3267"/>
      <c r="H56" s="3268"/>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f>ROUND($C$48*C57*D57,0)</f>
        <v>0</v>
      </c>
      <c r="C57" s="176">
        <f t="shared" ref="C57:C65" si="16">IF($C$55="北京市系数",I57,J57)</f>
        <v>0</v>
      </c>
      <c r="D57" s="1076">
        <v>0.25</v>
      </c>
      <c r="E57" s="650"/>
      <c r="F57" s="1017">
        <f t="shared" si="15"/>
        <v>0</v>
      </c>
      <c r="G57" s="3389"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f t="shared" ref="B58:B65" si="17">ROUND($C$48*C58*D58,0)</f>
        <v>0</v>
      </c>
      <c r="C58" s="176">
        <f t="shared" si="16"/>
        <v>0</v>
      </c>
      <c r="D58" s="1076">
        <v>0.25</v>
      </c>
      <c r="E58" s="650"/>
      <c r="F58" s="1017">
        <f t="shared" si="15"/>
        <v>0</v>
      </c>
      <c r="G58" s="3389"/>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f t="shared" si="17"/>
        <v>0</v>
      </c>
      <c r="C59" s="176">
        <f t="shared" si="16"/>
        <v>0</v>
      </c>
      <c r="D59" s="1076">
        <v>0.25</v>
      </c>
      <c r="E59" s="650"/>
      <c r="F59" s="1017">
        <f t="shared" si="15"/>
        <v>0</v>
      </c>
      <c r="G59" s="3389"/>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f t="shared" si="17"/>
        <v>0</v>
      </c>
      <c r="C60" s="176">
        <f t="shared" si="16"/>
        <v>0</v>
      </c>
      <c r="D60" s="1076">
        <v>0.25</v>
      </c>
      <c r="E60" s="650"/>
      <c r="F60" s="1017">
        <f t="shared" si="15"/>
        <v>0</v>
      </c>
      <c r="G60" s="3389"/>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f t="shared" si="17"/>
        <v>1185</v>
      </c>
      <c r="C61" s="176">
        <f t="shared" si="16"/>
        <v>0.25</v>
      </c>
      <c r="D61" s="1076">
        <v>0.25</v>
      </c>
      <c r="E61" s="223">
        <f>'数据-汇总表'!E11</f>
        <v>0</v>
      </c>
      <c r="F61" s="1017">
        <f t="shared" si="15"/>
        <v>0</v>
      </c>
      <c r="G61" s="2175" t="s">
        <v>2596</v>
      </c>
      <c r="H61" s="1018" t="str">
        <f>项目基本情况!C37</f>
        <v>四级</v>
      </c>
      <c r="I61" s="1022">
        <f>SUMIF(修正!A45:A56,H61,修正!F45:F56)</f>
        <v>0.25</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f t="shared" si="17"/>
        <v>1185</v>
      </c>
      <c r="C62" s="176">
        <f t="shared" si="16"/>
        <v>0.25</v>
      </c>
      <c r="D62" s="1076">
        <v>0.25</v>
      </c>
      <c r="E62" s="223">
        <f>'数据-汇总表'!E12</f>
        <v>0</v>
      </c>
      <c r="F62" s="1017">
        <f t="shared" si="15"/>
        <v>0</v>
      </c>
      <c r="G62" s="1023" t="s">
        <v>2598</v>
      </c>
      <c r="H62" s="1018" t="str">
        <f>IF(G62="商业",项目基本情况!B37,IF(G62="办公",项目基本情况!C37,IF(G62="住宅",项目基本情况!D37,项目基本情况!E37)))</f>
        <v>四级</v>
      </c>
      <c r="I62" s="1022">
        <f>SUMIF(修正!A45:A56,H62,修正!G45:G56)</f>
        <v>0.25</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f t="shared" si="17"/>
        <v>0</v>
      </c>
      <c r="C63" s="176">
        <f t="shared" si="16"/>
        <v>0</v>
      </c>
      <c r="D63" s="1076">
        <v>0.25</v>
      </c>
      <c r="E63" s="223">
        <f>'数据-汇总表'!E13</f>
        <v>452.2</v>
      </c>
      <c r="F63" s="1017">
        <f t="shared" si="15"/>
        <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f t="shared" si="17"/>
        <v>0</v>
      </c>
      <c r="C64" s="176">
        <f t="shared" si="16"/>
        <v>0</v>
      </c>
      <c r="D64" s="1076">
        <v>0.25</v>
      </c>
      <c r="E64" s="223">
        <f>'数据-汇总表'!E14</f>
        <v>0</v>
      </c>
      <c r="F64" s="1017">
        <f t="shared" si="15"/>
        <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f t="shared" si="17"/>
        <v>948</v>
      </c>
      <c r="C65" s="176">
        <f t="shared" si="16"/>
        <v>0.2</v>
      </c>
      <c r="D65" s="1076">
        <v>0.25</v>
      </c>
      <c r="E65" s="223">
        <f>'数据-汇总表'!E15</f>
        <v>0</v>
      </c>
      <c r="F65" s="1017">
        <f t="shared" si="15"/>
        <v>0</v>
      </c>
      <c r="G65" s="2176" t="s">
        <v>2596</v>
      </c>
      <c r="H65" s="1028" t="str">
        <f>项目基本情况!C37</f>
        <v>四级</v>
      </c>
      <c r="I65" s="1024">
        <f>SUMIF(修正!A45:A56,H65,修正!H45:H56)</f>
        <v>0.2</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1724.67</v>
      </c>
      <c r="F66" s="653">
        <f>IF(B46="楼面地价",SUM(F56:F65),ROUND(C48*E66/10000,0))</f>
        <v>2413</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0（含）-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v>0</v>
      </c>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0(含)-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v>0</v>
      </c>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v>100</v>
      </c>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5" t="s">
        <v>2468</v>
      </c>
      <c r="D4" s="3286"/>
      <c r="E4" s="3287" t="s">
        <v>2469</v>
      </c>
      <c r="F4" s="3288"/>
      <c r="G4" s="3285" t="s">
        <v>2470</v>
      </c>
      <c r="H4" s="3286"/>
      <c r="I4" s="3285" t="s">
        <v>2471</v>
      </c>
      <c r="J4" s="3286"/>
      <c r="K4" s="567" t="s">
        <v>2472</v>
      </c>
      <c r="L4" s="2946"/>
      <c r="M4" s="2947"/>
      <c r="N4" s="2947"/>
      <c r="O4" s="2947"/>
      <c r="P4" s="3355" t="s">
        <v>2473</v>
      </c>
      <c r="Q4" s="3356"/>
      <c r="R4" s="3359" t="s">
        <v>2469</v>
      </c>
      <c r="S4" s="3360"/>
      <c r="T4" s="3359" t="s">
        <v>2470</v>
      </c>
      <c r="U4" s="3360"/>
      <c r="V4" s="3302" t="s">
        <v>2471</v>
      </c>
      <c r="W4" s="3302"/>
      <c r="X4" s="1541"/>
      <c r="Y4" s="3359" t="s">
        <v>2473</v>
      </c>
      <c r="Z4" s="3360"/>
      <c r="AA4" s="3354" t="s">
        <v>2469</v>
      </c>
      <c r="AB4" s="3315" t="s">
        <v>2470</v>
      </c>
      <c r="AC4" s="3354" t="s">
        <v>2471</v>
      </c>
    </row>
    <row r="5" spans="1:29" ht="15">
      <c r="A5" s="364"/>
      <c r="B5" s="365"/>
      <c r="C5" s="3311" t="s">
        <v>2364</v>
      </c>
      <c r="D5" s="3306"/>
      <c r="E5" s="3385" t="s">
        <v>2365</v>
      </c>
      <c r="F5" s="3318"/>
      <c r="G5" s="3311" t="s">
        <v>2366</v>
      </c>
      <c r="H5" s="3306"/>
      <c r="I5" s="3311" t="s">
        <v>2367</v>
      </c>
      <c r="J5" s="3306"/>
      <c r="K5" s="567"/>
      <c r="L5" s="2946"/>
      <c r="M5" s="2947"/>
      <c r="N5" s="2947"/>
      <c r="O5" s="2947"/>
      <c r="P5" s="3357"/>
      <c r="Q5" s="3292"/>
      <c r="R5" s="3297"/>
      <c r="S5" s="3298"/>
      <c r="T5" s="3297"/>
      <c r="U5" s="3298"/>
      <c r="V5" s="3302"/>
      <c r="W5" s="3302"/>
      <c r="X5" s="1541"/>
      <c r="Y5" s="3297"/>
      <c r="Z5" s="3298"/>
      <c r="AA5" s="3315"/>
      <c r="AB5" s="3315"/>
      <c r="AC5" s="3315"/>
    </row>
    <row r="6" spans="1:29" ht="15.75" thickBot="1">
      <c r="A6" s="366"/>
      <c r="B6" s="367"/>
      <c r="C6" s="3390" t="s">
        <v>2619</v>
      </c>
      <c r="D6" s="3391"/>
      <c r="E6" s="3392" t="s">
        <v>2619</v>
      </c>
      <c r="F6" s="3393"/>
      <c r="G6" s="3390" t="s">
        <v>2619</v>
      </c>
      <c r="H6" s="3391"/>
      <c r="I6" s="3390" t="s">
        <v>2619</v>
      </c>
      <c r="J6" s="3391"/>
      <c r="K6" s="567" t="s">
        <v>2369</v>
      </c>
      <c r="L6" s="2946"/>
      <c r="M6" s="2947"/>
      <c r="N6" s="2947"/>
      <c r="O6" s="2947"/>
      <c r="P6" s="3358"/>
      <c r="Q6" s="3294"/>
      <c r="R6" s="3297"/>
      <c r="S6" s="3298"/>
      <c r="T6" s="3299"/>
      <c r="U6" s="3300"/>
      <c r="V6" s="3302"/>
      <c r="W6" s="3302"/>
      <c r="X6" s="1541"/>
      <c r="Y6" s="3299"/>
      <c r="Z6" s="3300"/>
      <c r="AA6" s="3316"/>
      <c r="AB6" s="3316"/>
      <c r="AC6" s="3316"/>
    </row>
    <row r="7" spans="1:29" s="113" customFormat="1" ht="15.75" thickBot="1">
      <c r="A7" s="368" t="s">
        <v>2370</v>
      </c>
      <c r="B7" s="369"/>
      <c r="C7" s="370">
        <f>'数据-取费表'!B2</f>
        <v>44230</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09" t="s">
        <v>2371</v>
      </c>
      <c r="Q7" s="3310"/>
      <c r="R7" s="710" t="s">
        <v>17</v>
      </c>
      <c r="S7" s="711">
        <f t="shared" ref="S7:S15" si="0">F7</f>
        <v>0</v>
      </c>
      <c r="T7" s="710" t="s">
        <v>17</v>
      </c>
      <c r="U7" s="711">
        <f t="shared" ref="U7:U15" si="1">H7</f>
        <v>0</v>
      </c>
      <c r="V7" s="710" t="s">
        <v>17</v>
      </c>
      <c r="W7" s="711">
        <f t="shared" ref="W7:W15" si="2">J7</f>
        <v>0</v>
      </c>
      <c r="X7" s="712"/>
      <c r="Y7" s="3309" t="s">
        <v>2371</v>
      </c>
      <c r="Z7" s="3308"/>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09" t="s">
        <v>2374</v>
      </c>
      <c r="Q8" s="3308"/>
      <c r="R8" s="710" t="s">
        <v>17</v>
      </c>
      <c r="S8" s="711">
        <f t="shared" si="0"/>
        <v>0</v>
      </c>
      <c r="T8" s="710" t="s">
        <v>17</v>
      </c>
      <c r="U8" s="711">
        <f t="shared" si="1"/>
        <v>0</v>
      </c>
      <c r="V8" s="710" t="s">
        <v>17</v>
      </c>
      <c r="W8" s="711">
        <f t="shared" si="2"/>
        <v>0</v>
      </c>
      <c r="X8" s="712"/>
      <c r="Y8" s="3309" t="s">
        <v>2374</v>
      </c>
      <c r="Z8" s="3308"/>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68" t="s">
        <v>2377</v>
      </c>
      <c r="Q9" s="1529" t="str">
        <f t="shared" ref="Q9:Q15" si="6">B9</f>
        <v>用途</v>
      </c>
      <c r="R9" s="710" t="s">
        <v>17</v>
      </c>
      <c r="S9" s="711">
        <f t="shared" si="0"/>
        <v>100</v>
      </c>
      <c r="T9" s="710" t="s">
        <v>17</v>
      </c>
      <c r="U9" s="711">
        <f t="shared" si="1"/>
        <v>100</v>
      </c>
      <c r="V9" s="710" t="s">
        <v>17</v>
      </c>
      <c r="W9" s="711">
        <f t="shared" si="2"/>
        <v>100</v>
      </c>
      <c r="X9" s="712"/>
      <c r="Y9" s="3168"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116</v>
      </c>
      <c r="G10" s="391"/>
      <c r="H10" s="132">
        <f>ROUND(100/'数据-取费表'!G16,0)</f>
        <v>116</v>
      </c>
      <c r="I10" s="391"/>
      <c r="J10" s="132">
        <f>ROUND(100/'数据-取费表'!G16,0)</f>
        <v>116</v>
      </c>
      <c r="K10" s="628"/>
      <c r="L10" s="2950"/>
      <c r="M10" s="2951"/>
      <c r="N10" s="2951"/>
      <c r="O10" s="3004"/>
      <c r="P10" s="3268"/>
      <c r="Q10" s="1529" t="str">
        <f t="shared" si="6"/>
        <v>土地使用年限（年）</v>
      </c>
      <c r="R10" s="710" t="s">
        <v>17</v>
      </c>
      <c r="S10" s="711">
        <f t="shared" si="0"/>
        <v>116</v>
      </c>
      <c r="T10" s="710" t="s">
        <v>17</v>
      </c>
      <c r="U10" s="711">
        <f t="shared" si="1"/>
        <v>116</v>
      </c>
      <c r="V10" s="710" t="s">
        <v>17</v>
      </c>
      <c r="W10" s="711">
        <f t="shared" si="2"/>
        <v>116</v>
      </c>
      <c r="X10" s="712"/>
      <c r="Y10" s="3168"/>
      <c r="Z10" s="55" t="str">
        <f t="shared" si="7"/>
        <v>土地使用年限（年）</v>
      </c>
      <c r="AA10" s="713">
        <f t="shared" si="3"/>
        <v>0.86206896551724133</v>
      </c>
      <c r="AB10" s="713">
        <f t="shared" si="4"/>
        <v>0.86206896551724133</v>
      </c>
      <c r="AC10" s="713">
        <f t="shared" si="5"/>
        <v>0.86206896551724133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68"/>
      <c r="Q11" s="1529"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68"/>
      <c r="Q12" s="1529">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68"/>
      <c r="Q13" s="1529">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68"/>
      <c r="Q14" s="1529">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713">
        <f t="shared" si="5"/>
        <v>1</v>
      </c>
    </row>
    <row r="15" spans="1:29" ht="15">
      <c r="A15" s="399" t="s">
        <v>2381</v>
      </c>
      <c r="B15" s="585" t="s">
        <v>2620</v>
      </c>
      <c r="C15" s="2159">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75" t="s">
        <v>2382</v>
      </c>
      <c r="Q15" s="1538" t="str">
        <f t="shared" si="6"/>
        <v>产业集聚程度</v>
      </c>
      <c r="R15" s="714" t="s">
        <v>17</v>
      </c>
      <c r="S15" s="715">
        <f t="shared" si="0"/>
        <v>100</v>
      </c>
      <c r="T15" s="714" t="s">
        <v>17</v>
      </c>
      <c r="U15" s="715">
        <f t="shared" si="1"/>
        <v>100</v>
      </c>
      <c r="V15" s="714" t="s">
        <v>17</v>
      </c>
      <c r="W15" s="715">
        <f t="shared" si="2"/>
        <v>100</v>
      </c>
      <c r="X15" s="1541"/>
      <c r="Y15" s="3275"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76"/>
      <c r="Q16" s="1538"/>
      <c r="R16" s="714"/>
      <c r="S16" s="715"/>
      <c r="T16" s="714"/>
      <c r="U16" s="715"/>
      <c r="V16" s="714"/>
      <c r="W16" s="715"/>
      <c r="X16" s="1541"/>
      <c r="Y16" s="3276"/>
      <c r="Z16" s="1542"/>
      <c r="AA16" s="1539">
        <v>1</v>
      </c>
      <c r="AB16" s="1539">
        <v>1</v>
      </c>
      <c r="AC16" s="1539">
        <v>1</v>
      </c>
    </row>
    <row r="17" spans="1:29" ht="15">
      <c r="A17" s="387"/>
      <c r="B17" s="587" t="s">
        <v>2531</v>
      </c>
      <c r="C17" s="2088">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76"/>
      <c r="Q17" s="1538" t="str">
        <f>B17</f>
        <v>交通便捷度</v>
      </c>
      <c r="R17" s="714" t="s">
        <v>17</v>
      </c>
      <c r="S17" s="715">
        <f>F17</f>
        <v>100</v>
      </c>
      <c r="T17" s="714" t="s">
        <v>17</v>
      </c>
      <c r="U17" s="715">
        <f>H17</f>
        <v>100</v>
      </c>
      <c r="V17" s="714" t="s">
        <v>17</v>
      </c>
      <c r="W17" s="715">
        <f>J17</f>
        <v>100</v>
      </c>
      <c r="X17" s="1541"/>
      <c r="Y17" s="3276"/>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76"/>
      <c r="Q18" s="1538"/>
      <c r="R18" s="714"/>
      <c r="S18" s="715"/>
      <c r="T18" s="714"/>
      <c r="U18" s="715"/>
      <c r="V18" s="714"/>
      <c r="W18" s="715"/>
      <c r="X18" s="1541"/>
      <c r="Y18" s="3276"/>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76"/>
      <c r="Q19" s="1538" t="str">
        <f t="shared" ref="Q19:Q33" si="8">B19</f>
        <v>区域土地利用方向</v>
      </c>
      <c r="R19" s="714" t="s">
        <v>17</v>
      </c>
      <c r="S19" s="715">
        <f>F19</f>
        <v>100</v>
      </c>
      <c r="T19" s="714" t="s">
        <v>17</v>
      </c>
      <c r="U19" s="715">
        <f>H19</f>
        <v>100</v>
      </c>
      <c r="V19" s="714" t="s">
        <v>17</v>
      </c>
      <c r="W19" s="715">
        <f>J19</f>
        <v>100</v>
      </c>
      <c r="X19" s="1541"/>
      <c r="Y19" s="3276"/>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76"/>
      <c r="Q20" s="1538"/>
      <c r="R20" s="714"/>
      <c r="S20" s="715"/>
      <c r="T20" s="714"/>
      <c r="U20" s="715"/>
      <c r="V20" s="714"/>
      <c r="W20" s="715"/>
      <c r="X20" s="1541"/>
      <c r="Y20" s="3276"/>
      <c r="Z20" s="1542"/>
      <c r="AA20" s="1539"/>
      <c r="AB20" s="1539"/>
      <c r="AC20" s="1539"/>
    </row>
    <row r="21" spans="1:29" ht="15">
      <c r="A21" s="364"/>
      <c r="B21" s="587" t="s">
        <v>2621</v>
      </c>
      <c r="C21" s="2088">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76"/>
      <c r="Q21" s="1538" t="str">
        <f t="shared" si="8"/>
        <v>环境状况</v>
      </c>
      <c r="R21" s="714" t="s">
        <v>17</v>
      </c>
      <c r="S21" s="715">
        <f>F21</f>
        <v>100</v>
      </c>
      <c r="T21" s="714" t="s">
        <v>17</v>
      </c>
      <c r="U21" s="715">
        <f>H21</f>
        <v>100</v>
      </c>
      <c r="V21" s="714" t="s">
        <v>17</v>
      </c>
      <c r="W21" s="715">
        <f>J21</f>
        <v>100</v>
      </c>
      <c r="X21" s="1541"/>
      <c r="Y21" s="3276"/>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76"/>
      <c r="Q22" s="1538"/>
      <c r="R22" s="714"/>
      <c r="S22" s="715"/>
      <c r="T22" s="714"/>
      <c r="U22" s="715"/>
      <c r="V22" s="714"/>
      <c r="W22" s="715"/>
      <c r="X22" s="1541"/>
      <c r="Y22" s="3276"/>
      <c r="Z22" s="1542"/>
      <c r="AA22" s="1539">
        <v>1</v>
      </c>
      <c r="AB22" s="1539">
        <v>1</v>
      </c>
      <c r="AC22" s="1539">
        <v>1</v>
      </c>
    </row>
    <row r="23" spans="1:29" s="113" customFormat="1" ht="15">
      <c r="A23" s="605"/>
      <c r="B23" s="589" t="s">
        <v>2476</v>
      </c>
      <c r="C23" s="2088">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76"/>
      <c r="Q23" s="1529" t="str">
        <f t="shared" si="8"/>
        <v>公共配套设施</v>
      </c>
      <c r="R23" s="710" t="s">
        <v>17</v>
      </c>
      <c r="S23" s="711">
        <f>F23</f>
        <v>100</v>
      </c>
      <c r="T23" s="710" t="s">
        <v>17</v>
      </c>
      <c r="U23" s="711">
        <f>H23</f>
        <v>100</v>
      </c>
      <c r="V23" s="710" t="s">
        <v>17</v>
      </c>
      <c r="W23" s="711">
        <f>J23</f>
        <v>100</v>
      </c>
      <c r="X23" s="712"/>
      <c r="Y23" s="3276"/>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76"/>
      <c r="Q24" s="1529"/>
      <c r="R24" s="710"/>
      <c r="S24" s="711"/>
      <c r="T24" s="710"/>
      <c r="U24" s="711"/>
      <c r="V24" s="710"/>
      <c r="W24" s="711"/>
      <c r="X24" s="712"/>
      <c r="Y24" s="3276"/>
      <c r="Z24" s="55"/>
      <c r="AA24" s="713">
        <v>1</v>
      </c>
      <c r="AB24" s="713">
        <v>1</v>
      </c>
      <c r="AC24" s="713">
        <v>1</v>
      </c>
    </row>
    <row r="25" spans="1:29" s="113" customFormat="1" ht="15">
      <c r="A25" s="605"/>
      <c r="B25" s="589" t="s">
        <v>2477</v>
      </c>
      <c r="C25" s="2088">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76"/>
      <c r="Q25" s="1529" t="str">
        <f t="shared" ref="Q25" si="9">B25</f>
        <v>基础设施水平</v>
      </c>
      <c r="R25" s="710" t="s">
        <v>17</v>
      </c>
      <c r="S25" s="711">
        <f>F25</f>
        <v>100</v>
      </c>
      <c r="T25" s="710" t="s">
        <v>17</v>
      </c>
      <c r="U25" s="711">
        <f>H25</f>
        <v>100</v>
      </c>
      <c r="V25" s="710" t="s">
        <v>17</v>
      </c>
      <c r="W25" s="711">
        <f>J25</f>
        <v>100</v>
      </c>
      <c r="X25" s="712"/>
      <c r="Y25" s="3276"/>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76"/>
      <c r="Q26" s="1529"/>
      <c r="R26" s="710"/>
      <c r="S26" s="711"/>
      <c r="T26" s="710"/>
      <c r="U26" s="711"/>
      <c r="V26" s="710"/>
      <c r="W26" s="711"/>
      <c r="X26" s="712"/>
      <c r="Y26" s="3276"/>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76"/>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76"/>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76"/>
      <c r="Q28" s="1538" t="str">
        <f t="shared" si="8"/>
        <v>毗邻道路的类型与等级</v>
      </c>
      <c r="R28" s="714" t="s">
        <v>17</v>
      </c>
      <c r="S28" s="715">
        <f t="shared" si="10"/>
        <v>100</v>
      </c>
      <c r="T28" s="714" t="s">
        <v>17</v>
      </c>
      <c r="U28" s="715">
        <f t="shared" si="11"/>
        <v>100</v>
      </c>
      <c r="V28" s="714" t="s">
        <v>17</v>
      </c>
      <c r="W28" s="715">
        <f t="shared" si="12"/>
        <v>100</v>
      </c>
      <c r="X28" s="1541"/>
      <c r="Y28" s="3276"/>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76"/>
      <c r="Q29" s="1538"/>
      <c r="R29" s="714"/>
      <c r="S29" s="715"/>
      <c r="T29" s="714"/>
      <c r="U29" s="715"/>
      <c r="V29" s="714"/>
      <c r="W29" s="715"/>
      <c r="X29" s="1541"/>
      <c r="Y29" s="3276"/>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76"/>
      <c r="Q30" s="1538" t="str">
        <f t="shared" si="8"/>
        <v>土地级别</v>
      </c>
      <c r="R30" s="714" t="s">
        <v>17</v>
      </c>
      <c r="S30" s="715">
        <f t="shared" si="10"/>
        <v>100</v>
      </c>
      <c r="T30" s="714" t="s">
        <v>17</v>
      </c>
      <c r="U30" s="715">
        <f t="shared" si="11"/>
        <v>100</v>
      </c>
      <c r="V30" s="714" t="s">
        <v>17</v>
      </c>
      <c r="W30" s="715">
        <f t="shared" si="12"/>
        <v>100</v>
      </c>
      <c r="X30" s="1541"/>
      <c r="Y30" s="3276"/>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76"/>
      <c r="Q31" s="1538">
        <f t="shared" si="8"/>
        <v>111</v>
      </c>
      <c r="R31" s="714" t="s">
        <v>17</v>
      </c>
      <c r="S31" s="715">
        <f t="shared" si="10"/>
        <v>100</v>
      </c>
      <c r="T31" s="714" t="s">
        <v>17</v>
      </c>
      <c r="U31" s="715">
        <f t="shared" si="11"/>
        <v>100</v>
      </c>
      <c r="V31" s="714" t="s">
        <v>17</v>
      </c>
      <c r="W31" s="715">
        <f t="shared" si="12"/>
        <v>100</v>
      </c>
      <c r="X31" s="1541"/>
      <c r="Y31" s="3276"/>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53" t="s">
        <v>2387</v>
      </c>
      <c r="Q32" s="1538">
        <f t="shared" si="8"/>
        <v>111</v>
      </c>
      <c r="R32" s="714" t="s">
        <v>17</v>
      </c>
      <c r="S32" s="715">
        <f t="shared" si="10"/>
        <v>100</v>
      </c>
      <c r="T32" s="714" t="s">
        <v>17</v>
      </c>
      <c r="U32" s="715">
        <f t="shared" si="11"/>
        <v>100</v>
      </c>
      <c r="V32" s="714" t="s">
        <v>17</v>
      </c>
      <c r="W32" s="715">
        <f t="shared" si="12"/>
        <v>100</v>
      </c>
      <c r="X32" s="1541"/>
      <c r="Y32" s="3280"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80"/>
      <c r="Q33" s="1538">
        <f t="shared" si="8"/>
        <v>111</v>
      </c>
      <c r="R33" s="717" t="s">
        <v>17</v>
      </c>
      <c r="S33" s="718">
        <f t="shared" si="10"/>
        <v>100</v>
      </c>
      <c r="T33" s="717" t="s">
        <v>17</v>
      </c>
      <c r="U33" s="718">
        <f t="shared" si="11"/>
        <v>100</v>
      </c>
      <c r="V33" s="717" t="s">
        <v>17</v>
      </c>
      <c r="W33" s="718">
        <f t="shared" si="12"/>
        <v>100</v>
      </c>
      <c r="X33" s="719"/>
      <c r="Y33" s="3280"/>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80"/>
      <c r="Q34" s="1538" t="str">
        <f>B34</f>
        <v>宗地面积</v>
      </c>
      <c r="R34" s="714" t="s">
        <v>17</v>
      </c>
      <c r="S34" s="715" t="e">
        <f t="shared" si="10"/>
        <v>#N/A</v>
      </c>
      <c r="T34" s="714" t="s">
        <v>17</v>
      </c>
      <c r="U34" s="715" t="e">
        <f t="shared" si="11"/>
        <v>#N/A</v>
      </c>
      <c r="V34" s="714" t="s">
        <v>17</v>
      </c>
      <c r="W34" s="715" t="e">
        <f t="shared" si="12"/>
        <v>#N/A</v>
      </c>
      <c r="X34" s="1541"/>
      <c r="Y34" s="3280"/>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80"/>
      <c r="Q35" s="1538" t="str">
        <f t="shared" ref="Q35:Q40" si="14">B35</f>
        <v>宗地形状</v>
      </c>
      <c r="R35" s="714" t="s">
        <v>17</v>
      </c>
      <c r="S35" s="715">
        <f t="shared" si="10"/>
        <v>100</v>
      </c>
      <c r="T35" s="714" t="s">
        <v>17</v>
      </c>
      <c r="U35" s="715">
        <f t="shared" si="11"/>
        <v>100</v>
      </c>
      <c r="V35" s="714" t="s">
        <v>17</v>
      </c>
      <c r="W35" s="715">
        <f t="shared" si="12"/>
        <v>100</v>
      </c>
      <c r="X35" s="1541"/>
      <c r="Y35" s="3280"/>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80"/>
      <c r="Q36" s="1538" t="str">
        <f t="shared" si="14"/>
        <v>宗地开发程度</v>
      </c>
      <c r="R36" s="710" t="s">
        <v>17</v>
      </c>
      <c r="S36" s="711">
        <f t="shared" si="10"/>
        <v>100</v>
      </c>
      <c r="T36" s="710" t="s">
        <v>17</v>
      </c>
      <c r="U36" s="711">
        <f t="shared" si="11"/>
        <v>100</v>
      </c>
      <c r="V36" s="710" t="s">
        <v>17</v>
      </c>
      <c r="W36" s="711">
        <f t="shared" si="12"/>
        <v>100</v>
      </c>
      <c r="X36" s="712"/>
      <c r="Y36" s="3280"/>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80" t="s">
        <v>2387</v>
      </c>
      <c r="Q37" s="1538" t="str">
        <f t="shared" si="14"/>
        <v>工程地质条件</v>
      </c>
      <c r="R37" s="714" t="s">
        <v>17</v>
      </c>
      <c r="S37" s="715">
        <f t="shared" si="10"/>
        <v>100</v>
      </c>
      <c r="T37" s="714" t="s">
        <v>17</v>
      </c>
      <c r="U37" s="715">
        <f t="shared" si="11"/>
        <v>100</v>
      </c>
      <c r="V37" s="714" t="s">
        <v>17</v>
      </c>
      <c r="W37" s="715">
        <f t="shared" si="12"/>
        <v>100</v>
      </c>
      <c r="X37" s="1541"/>
      <c r="Y37" s="3280"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80"/>
      <c r="Q38" s="1538">
        <f t="shared" si="14"/>
        <v>111</v>
      </c>
      <c r="R38" s="714" t="s">
        <v>17</v>
      </c>
      <c r="S38" s="715">
        <f t="shared" si="10"/>
        <v>100</v>
      </c>
      <c r="T38" s="714" t="s">
        <v>17</v>
      </c>
      <c r="U38" s="715">
        <f t="shared" si="11"/>
        <v>100</v>
      </c>
      <c r="V38" s="714" t="s">
        <v>17</v>
      </c>
      <c r="W38" s="715">
        <f t="shared" si="12"/>
        <v>100</v>
      </c>
      <c r="X38" s="1541"/>
      <c r="Y38" s="328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80"/>
      <c r="Q39" s="1538">
        <f t="shared" si="14"/>
        <v>111</v>
      </c>
      <c r="R39" s="714" t="s">
        <v>17</v>
      </c>
      <c r="S39" s="715">
        <f t="shared" si="10"/>
        <v>100</v>
      </c>
      <c r="T39" s="714" t="s">
        <v>17</v>
      </c>
      <c r="U39" s="715">
        <f t="shared" si="11"/>
        <v>100</v>
      </c>
      <c r="V39" s="714" t="s">
        <v>17</v>
      </c>
      <c r="W39" s="715">
        <f t="shared" si="12"/>
        <v>100</v>
      </c>
      <c r="X39" s="1541"/>
      <c r="Y39" s="3280"/>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80"/>
      <c r="Q40" s="1538">
        <f t="shared" si="14"/>
        <v>111</v>
      </c>
      <c r="R40" s="717" t="s">
        <v>17</v>
      </c>
      <c r="S40" s="718">
        <f t="shared" si="10"/>
        <v>100</v>
      </c>
      <c r="T40" s="717" t="s">
        <v>17</v>
      </c>
      <c r="U40" s="718">
        <f t="shared" si="11"/>
        <v>100</v>
      </c>
      <c r="V40" s="717" t="s">
        <v>17</v>
      </c>
      <c r="W40" s="718">
        <f t="shared" si="12"/>
        <v>100</v>
      </c>
      <c r="X40" s="719"/>
      <c r="Y40" s="3280"/>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268" t="str">
        <f>A41</f>
        <v>成交单价</v>
      </c>
      <c r="Q41" s="3268"/>
      <c r="R41" s="3302">
        <f>E41</f>
        <v>0</v>
      </c>
      <c r="S41" s="3302"/>
      <c r="T41" s="3302">
        <f>G41</f>
        <v>0</v>
      </c>
      <c r="U41" s="3302"/>
      <c r="V41" s="3302">
        <f>I41</f>
        <v>0</v>
      </c>
      <c r="W41" s="3302"/>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268" t="str">
        <f>A42</f>
        <v>比较价值（元/平方米）</v>
      </c>
      <c r="Q42" s="3268"/>
      <c r="R42" s="3386" t="e">
        <f>ROUND(PRODUCT(R41,AA7:AA40),0)</f>
        <v>#DIV/0!</v>
      </c>
      <c r="S42" s="3386"/>
      <c r="T42" s="3386" t="e">
        <f>ROUND(PRODUCT(T41,AB7:AB40),0)</f>
        <v>#DIV/0!</v>
      </c>
      <c r="U42" s="3386"/>
      <c r="V42" s="3386" t="e">
        <f>ROUND(PRODUCT(V41,AC7:AC40),0)</f>
        <v>#DIV/0!</v>
      </c>
      <c r="W42" s="3386"/>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50" t="str">
        <f>A43</f>
        <v>估价对象XX用房的比较价值（楼面单价，元/平方米）</v>
      </c>
      <c r="Q43" s="3351"/>
      <c r="R43" s="3387" t="e">
        <f>ROUND(IF(D42="简单平均",AVERAGE(R42:W42),R42*F42+T42*H42+V42*J42),0)</f>
        <v>#DIV/0!</v>
      </c>
      <c r="S43" s="3387"/>
      <c r="T43" s="3387"/>
      <c r="U43" s="3387"/>
      <c r="V43" s="3387"/>
      <c r="W43" s="3387"/>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85" t="s">
        <v>2586</v>
      </c>
      <c r="H50" s="3388"/>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1272.47</v>
      </c>
      <c r="F51" s="647" t="e">
        <f t="shared" ref="F51:F60" si="15">ROUND(B51*E51/10000,0)</f>
        <v>#DIV/0!</v>
      </c>
      <c r="G51" s="3267"/>
      <c r="H51" s="3268"/>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89"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89"/>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89"/>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89"/>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0.25</v>
      </c>
      <c r="D56" s="1076">
        <v>0.25</v>
      </c>
      <c r="E56" s="223">
        <f>'数据-汇总表'!E11</f>
        <v>0</v>
      </c>
      <c r="F56" s="647" t="e">
        <f t="shared" si="15"/>
        <v>#DIV/0!</v>
      </c>
      <c r="G56" s="2175" t="s">
        <v>2596</v>
      </c>
      <c r="H56" s="1018" t="str">
        <f>项目基本情况!C37</f>
        <v>四级</v>
      </c>
      <c r="I56" s="879">
        <f>SUMIF(修正!A45:A56,H56,修正!F45:F56)</f>
        <v>0.25</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四级</v>
      </c>
      <c r="I57" s="879">
        <f>SUMIF(修正!A45:A56,H57,修正!G45:G56)</f>
        <v>0.25</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452.2</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0.2</v>
      </c>
      <c r="D60" s="1076">
        <v>0.25</v>
      </c>
      <c r="E60" s="223">
        <f>'数据-汇总表'!E15</f>
        <v>0</v>
      </c>
      <c r="F60" s="647" t="e">
        <f t="shared" si="15"/>
        <v>#DIV/0!</v>
      </c>
      <c r="G60" s="2176" t="s">
        <v>2596</v>
      </c>
      <c r="H60" s="1028" t="str">
        <f>项目基本情况!C37</f>
        <v>四级</v>
      </c>
      <c r="I60" s="879">
        <f>SUMIF(修正!A45:A56,H60,修正!H45:H56)</f>
        <v>0.2</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4" t="s">
        <v>183</v>
      </c>
      <c r="B18" s="821" t="s">
        <v>560</v>
      </c>
      <c r="C18" s="822" t="s">
        <v>561</v>
      </c>
      <c r="D18" s="823"/>
      <c r="E18" s="821">
        <v>1</v>
      </c>
      <c r="F18" s="824" t="s">
        <v>562</v>
      </c>
      <c r="G18" s="825"/>
      <c r="H18" s="817"/>
      <c r="I18" s="817"/>
    </row>
    <row r="19" spans="1:9" s="826" customFormat="1" ht="19.5" customHeight="1">
      <c r="A19" s="3394"/>
      <c r="B19" s="3394" t="s">
        <v>563</v>
      </c>
      <c r="C19" s="822" t="s">
        <v>564</v>
      </c>
      <c r="D19" s="823"/>
      <c r="E19" s="821">
        <v>0.9</v>
      </c>
      <c r="F19" s="824" t="s">
        <v>565</v>
      </c>
      <c r="G19" s="825"/>
      <c r="H19" s="817"/>
      <c r="I19" s="817"/>
    </row>
    <row r="20" spans="1:9" s="826" customFormat="1" ht="19.5" customHeight="1">
      <c r="A20" s="3394"/>
      <c r="B20" s="3394"/>
      <c r="C20" s="822" t="s">
        <v>566</v>
      </c>
      <c r="D20" s="823"/>
      <c r="E20" s="821">
        <v>1.1000000000000001</v>
      </c>
      <c r="F20" s="824" t="s">
        <v>567</v>
      </c>
      <c r="G20" s="825"/>
      <c r="H20" s="817"/>
      <c r="I20" s="817"/>
    </row>
    <row r="21" spans="1:9" s="826" customFormat="1" ht="19.5" customHeight="1">
      <c r="A21" s="3394"/>
      <c r="B21" s="3394"/>
      <c r="C21" s="822" t="s">
        <v>568</v>
      </c>
      <c r="D21" s="823"/>
      <c r="E21" s="821">
        <v>0.8</v>
      </c>
      <c r="F21" s="824" t="s">
        <v>569</v>
      </c>
      <c r="G21" s="825"/>
      <c r="H21" s="817"/>
      <c r="I21" s="817"/>
    </row>
    <row r="22" spans="1:9" s="826" customFormat="1" ht="19.5" customHeight="1">
      <c r="A22" s="3394"/>
      <c r="B22" s="3394"/>
      <c r="C22" s="822" t="s">
        <v>570</v>
      </c>
      <c r="D22" s="823"/>
      <c r="E22" s="821">
        <v>0.5</v>
      </c>
      <c r="F22" s="824"/>
      <c r="G22" s="825"/>
      <c r="H22" s="817"/>
      <c r="I22" s="817"/>
    </row>
    <row r="23" spans="1:9" s="826" customFormat="1" ht="19.5" customHeight="1">
      <c r="A23" s="3394" t="s">
        <v>184</v>
      </c>
      <c r="B23" s="821" t="s">
        <v>560</v>
      </c>
      <c r="C23" s="822" t="s">
        <v>571</v>
      </c>
      <c r="D23" s="823"/>
      <c r="E23" s="821">
        <v>1</v>
      </c>
      <c r="F23" s="824" t="s">
        <v>572</v>
      </c>
      <c r="G23" s="825"/>
      <c r="H23" s="817"/>
      <c r="I23" s="817"/>
    </row>
    <row r="24" spans="1:9" s="826" customFormat="1" ht="19.5" customHeight="1">
      <c r="A24" s="3394"/>
      <c r="B24" s="3394" t="s">
        <v>563</v>
      </c>
      <c r="C24" s="822" t="s">
        <v>573</v>
      </c>
      <c r="D24" s="823"/>
      <c r="E24" s="821">
        <v>0.5</v>
      </c>
      <c r="F24" s="824"/>
      <c r="G24" s="825"/>
      <c r="H24" s="817"/>
      <c r="I24" s="817"/>
    </row>
    <row r="25" spans="1:9" s="826" customFormat="1" ht="19.5" customHeight="1">
      <c r="A25" s="3394"/>
      <c r="B25" s="3394"/>
      <c r="C25" s="822" t="s">
        <v>574</v>
      </c>
      <c r="D25" s="823"/>
      <c r="E25" s="821">
        <v>1.1000000000000001</v>
      </c>
      <c r="F25" s="824"/>
      <c r="G25" s="825"/>
      <c r="H25" s="817"/>
      <c r="I25" s="817"/>
    </row>
    <row r="26" spans="1:9" s="826" customFormat="1" ht="19.5" customHeight="1">
      <c r="A26" s="3394"/>
      <c r="B26" s="3394"/>
      <c r="C26" s="822" t="s">
        <v>575</v>
      </c>
      <c r="D26" s="823"/>
      <c r="E26" s="821">
        <v>1.1000000000000001</v>
      </c>
      <c r="F26" s="824"/>
      <c r="G26" s="825"/>
      <c r="H26" s="817"/>
      <c r="I26" s="817"/>
    </row>
    <row r="27" spans="1:9" s="826" customFormat="1" ht="19.5" customHeight="1">
      <c r="A27" s="3394"/>
      <c r="B27" s="3394"/>
      <c r="C27" s="822" t="s">
        <v>576</v>
      </c>
      <c r="D27" s="823"/>
      <c r="E27" s="821">
        <v>0.9</v>
      </c>
      <c r="F27" s="824" t="s">
        <v>577</v>
      </c>
      <c r="G27" s="825"/>
      <c r="H27" s="817"/>
      <c r="I27" s="817"/>
    </row>
    <row r="28" spans="1:9" s="826" customFormat="1" ht="19.5" customHeight="1">
      <c r="A28" s="3394"/>
      <c r="B28" s="3394"/>
      <c r="C28" s="822" t="s">
        <v>578</v>
      </c>
      <c r="D28" s="823"/>
      <c r="E28" s="821">
        <v>0.9</v>
      </c>
      <c r="F28" s="824" t="s">
        <v>579</v>
      </c>
      <c r="G28" s="825"/>
      <c r="H28" s="817"/>
      <c r="I28" s="817"/>
    </row>
    <row r="29" spans="1:9" s="826" customFormat="1" ht="19.5" customHeight="1">
      <c r="A29" s="3394"/>
      <c r="B29" s="3394"/>
      <c r="C29" s="822" t="s">
        <v>580</v>
      </c>
      <c r="D29" s="823"/>
      <c r="E29" s="821">
        <v>0.9</v>
      </c>
      <c r="F29" s="824" t="s">
        <v>581</v>
      </c>
      <c r="G29" s="825"/>
      <c r="H29" s="817"/>
      <c r="I29" s="817"/>
    </row>
    <row r="30" spans="1:9" s="826" customFormat="1" ht="19.5" customHeight="1">
      <c r="A30" s="3394"/>
      <c r="B30" s="3394"/>
      <c r="C30" s="822" t="s">
        <v>582</v>
      </c>
      <c r="D30" s="823"/>
      <c r="E30" s="821">
        <v>0.9</v>
      </c>
      <c r="F30" s="824" t="s">
        <v>583</v>
      </c>
      <c r="G30" s="825"/>
      <c r="H30" s="817"/>
      <c r="I30" s="817"/>
    </row>
    <row r="31" spans="1:9" s="826" customFormat="1" ht="19.5" customHeight="1">
      <c r="A31" s="3394"/>
      <c r="B31" s="3394"/>
      <c r="C31" s="822" t="s">
        <v>584</v>
      </c>
      <c r="D31" s="823"/>
      <c r="E31" s="821">
        <v>0.8</v>
      </c>
      <c r="F31" s="824" t="s">
        <v>585</v>
      </c>
      <c r="G31" s="825"/>
      <c r="H31" s="817"/>
      <c r="I31" s="817"/>
    </row>
    <row r="32" spans="1:9" s="826" customFormat="1" ht="19.5" customHeight="1">
      <c r="A32" s="3394"/>
      <c r="B32" s="3394"/>
      <c r="C32" s="822" t="s">
        <v>586</v>
      </c>
      <c r="D32" s="823"/>
      <c r="E32" s="821">
        <v>0.8</v>
      </c>
      <c r="F32" s="824" t="s">
        <v>587</v>
      </c>
      <c r="G32" s="825"/>
      <c r="H32" s="817"/>
      <c r="I32" s="817"/>
    </row>
    <row r="33" spans="1:9" s="826" customFormat="1" ht="19.5" customHeight="1">
      <c r="A33" s="3394" t="s">
        <v>185</v>
      </c>
      <c r="B33" s="821" t="s">
        <v>560</v>
      </c>
      <c r="C33" s="822" t="s">
        <v>588</v>
      </c>
      <c r="D33" s="823"/>
      <c r="E33" s="821">
        <v>1</v>
      </c>
      <c r="F33" s="824" t="s">
        <v>589</v>
      </c>
      <c r="G33" s="825"/>
      <c r="H33" s="817"/>
      <c r="I33" s="817"/>
    </row>
    <row r="34" spans="1:9" s="826" customFormat="1" ht="19.5" customHeight="1">
      <c r="A34" s="3394"/>
      <c r="B34" s="821" t="s">
        <v>563</v>
      </c>
      <c r="C34" s="822" t="s">
        <v>590</v>
      </c>
      <c r="D34" s="823"/>
      <c r="E34" s="821">
        <v>1.5</v>
      </c>
      <c r="F34" s="824" t="s">
        <v>591</v>
      </c>
      <c r="G34" s="825"/>
      <c r="H34" s="817"/>
      <c r="I34" s="817"/>
    </row>
    <row r="35" spans="1:9" s="826" customFormat="1" ht="19.5" customHeight="1">
      <c r="A35" s="3394" t="s">
        <v>186</v>
      </c>
      <c r="B35" s="821" t="s">
        <v>560</v>
      </c>
      <c r="C35" s="822" t="s">
        <v>592</v>
      </c>
      <c r="D35" s="823"/>
      <c r="E35" s="821">
        <v>1</v>
      </c>
      <c r="F35" s="824" t="s">
        <v>593</v>
      </c>
      <c r="G35" s="825"/>
      <c r="H35" s="817"/>
      <c r="I35" s="817"/>
    </row>
    <row r="36" spans="1:9" s="826" customFormat="1" ht="19.5" customHeight="1">
      <c r="A36" s="3394"/>
      <c r="B36" s="3394" t="s">
        <v>563</v>
      </c>
      <c r="C36" s="822" t="s">
        <v>594</v>
      </c>
      <c r="D36" s="823"/>
      <c r="E36" s="821">
        <v>1</v>
      </c>
      <c r="F36" s="824" t="s">
        <v>595</v>
      </c>
      <c r="G36" s="825"/>
      <c r="H36" s="817"/>
      <c r="I36" s="817"/>
    </row>
    <row r="37" spans="1:9" s="826" customFormat="1" ht="19.5" customHeight="1">
      <c r="A37" s="3394"/>
      <c r="B37" s="3394"/>
      <c r="C37" s="822" t="s">
        <v>596</v>
      </c>
      <c r="D37" s="823"/>
      <c r="E37" s="821">
        <v>1.5</v>
      </c>
      <c r="F37" s="824" t="s">
        <v>597</v>
      </c>
      <c r="G37" s="825"/>
      <c r="H37" s="817"/>
      <c r="I37" s="817"/>
    </row>
    <row r="38" spans="1:9" s="826" customFormat="1" ht="19.5" customHeight="1">
      <c r="A38" s="3394"/>
      <c r="B38" s="3394"/>
      <c r="C38" s="822" t="s">
        <v>598</v>
      </c>
      <c r="D38" s="823"/>
      <c r="E38" s="821">
        <v>1</v>
      </c>
      <c r="F38" s="824" t="s">
        <v>599</v>
      </c>
      <c r="G38" s="825"/>
      <c r="H38" s="817"/>
      <c r="I38" s="817"/>
    </row>
    <row r="39" spans="1:9" s="826" customFormat="1" ht="19.5" customHeight="1">
      <c r="A39" s="3394"/>
      <c r="B39" s="339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4" t="s">
        <v>614</v>
      </c>
      <c r="C61" s="757" t="s">
        <v>615</v>
      </c>
      <c r="D61" s="757" t="s">
        <v>616</v>
      </c>
      <c r="E61" s="834">
        <v>0.5</v>
      </c>
      <c r="F61" s="821">
        <v>80</v>
      </c>
    </row>
    <row r="62" spans="1:8" s="817" customFormat="1" ht="24">
      <c r="A62" s="821">
        <v>2</v>
      </c>
      <c r="B62" s="3394"/>
      <c r="C62" s="757" t="s">
        <v>617</v>
      </c>
      <c r="D62" s="757" t="s">
        <v>618</v>
      </c>
      <c r="E62" s="834">
        <v>0.5</v>
      </c>
      <c r="F62" s="821">
        <v>80</v>
      </c>
    </row>
    <row r="63" spans="1:8" s="817" customFormat="1" ht="36">
      <c r="A63" s="821">
        <v>3</v>
      </c>
      <c r="B63" s="3394"/>
      <c r="C63" s="757" t="s">
        <v>619</v>
      </c>
      <c r="D63" s="757" t="s">
        <v>620</v>
      </c>
      <c r="E63" s="834">
        <v>0.5</v>
      </c>
      <c r="F63" s="821">
        <v>80</v>
      </c>
    </row>
    <row r="64" spans="1:8" s="817" customFormat="1" ht="36">
      <c r="A64" s="821">
        <v>4</v>
      </c>
      <c r="B64" s="3394"/>
      <c r="C64" s="757" t="s">
        <v>621</v>
      </c>
      <c r="D64" s="757" t="s">
        <v>622</v>
      </c>
      <c r="E64" s="834">
        <v>0.4</v>
      </c>
      <c r="F64" s="821">
        <v>60</v>
      </c>
    </row>
    <row r="65" spans="1:6" s="817" customFormat="1" ht="36">
      <c r="A65" s="821">
        <v>5</v>
      </c>
      <c r="B65" s="3394"/>
      <c r="C65" s="757" t="s">
        <v>623</v>
      </c>
      <c r="D65" s="757" t="s">
        <v>624</v>
      </c>
      <c r="E65" s="834">
        <v>0.2</v>
      </c>
      <c r="F65" s="821">
        <v>30</v>
      </c>
    </row>
    <row r="66" spans="1:6" s="817" customFormat="1" ht="36">
      <c r="A66" s="821">
        <v>6</v>
      </c>
      <c r="B66" s="3394"/>
      <c r="C66" s="757" t="s">
        <v>625</v>
      </c>
      <c r="D66" s="757" t="s">
        <v>626</v>
      </c>
      <c r="E66" s="834">
        <v>0.3</v>
      </c>
      <c r="F66" s="821">
        <v>50</v>
      </c>
    </row>
    <row r="67" spans="1:6" s="817" customFormat="1" ht="36">
      <c r="A67" s="821">
        <v>7</v>
      </c>
      <c r="B67" s="3394"/>
      <c r="C67" s="757" t="s">
        <v>627</v>
      </c>
      <c r="D67" s="757" t="s">
        <v>628</v>
      </c>
      <c r="E67" s="834">
        <v>0.2</v>
      </c>
      <c r="F67" s="821">
        <v>30</v>
      </c>
    </row>
    <row r="68" spans="1:6" s="817" customFormat="1" ht="36">
      <c r="A68" s="821">
        <v>8</v>
      </c>
      <c r="B68" s="3394"/>
      <c r="C68" s="757" t="s">
        <v>629</v>
      </c>
      <c r="D68" s="757" t="s">
        <v>630</v>
      </c>
      <c r="E68" s="834">
        <v>0.2</v>
      </c>
      <c r="F68" s="821">
        <v>30</v>
      </c>
    </row>
    <row r="69" spans="1:6" s="817" customFormat="1" ht="36">
      <c r="A69" s="821">
        <v>9</v>
      </c>
      <c r="B69" s="3394"/>
      <c r="C69" s="757" t="s">
        <v>631</v>
      </c>
      <c r="D69" s="757" t="s">
        <v>632</v>
      </c>
      <c r="E69" s="834">
        <v>0.2</v>
      </c>
      <c r="F69" s="821">
        <v>30</v>
      </c>
    </row>
    <row r="70" spans="1:6" s="817" customFormat="1" ht="48">
      <c r="A70" s="821">
        <v>10</v>
      </c>
      <c r="B70" s="3394"/>
      <c r="C70" s="757" t="s">
        <v>633</v>
      </c>
      <c r="D70" s="757" t="s">
        <v>634</v>
      </c>
      <c r="E70" s="834">
        <v>0.2</v>
      </c>
      <c r="F70" s="821">
        <v>30</v>
      </c>
    </row>
    <row r="71" spans="1:6" s="817" customFormat="1" ht="48">
      <c r="A71" s="821">
        <v>11</v>
      </c>
      <c r="B71" s="3394"/>
      <c r="C71" s="757" t="s">
        <v>635</v>
      </c>
      <c r="D71" s="757" t="s">
        <v>636</v>
      </c>
      <c r="E71" s="834">
        <v>0.2</v>
      </c>
      <c r="F71" s="821">
        <v>30</v>
      </c>
    </row>
    <row r="72" spans="1:6" s="817" customFormat="1" ht="36">
      <c r="A72" s="821">
        <v>12</v>
      </c>
      <c r="B72" s="3394"/>
      <c r="C72" s="757" t="s">
        <v>637</v>
      </c>
      <c r="D72" s="757" t="s">
        <v>638</v>
      </c>
      <c r="E72" s="834">
        <v>0.5</v>
      </c>
      <c r="F72" s="821">
        <v>80</v>
      </c>
    </row>
    <row r="73" spans="1:6" s="817" customFormat="1" ht="24">
      <c r="A73" s="821">
        <v>13</v>
      </c>
      <c r="B73" s="3394"/>
      <c r="C73" s="757" t="s">
        <v>639</v>
      </c>
      <c r="D73" s="757" t="s">
        <v>640</v>
      </c>
      <c r="E73" s="834">
        <v>0.4</v>
      </c>
      <c r="F73" s="821">
        <v>60</v>
      </c>
    </row>
    <row r="74" spans="1:6" s="817" customFormat="1" ht="24">
      <c r="A74" s="821">
        <v>14</v>
      </c>
      <c r="B74" s="3394"/>
      <c r="C74" s="757" t="s">
        <v>641</v>
      </c>
      <c r="D74" s="757" t="s">
        <v>642</v>
      </c>
      <c r="E74" s="834">
        <v>0.2</v>
      </c>
      <c r="F74" s="821">
        <v>30</v>
      </c>
    </row>
    <row r="75" spans="1:6" s="817" customFormat="1" ht="24">
      <c r="A75" s="821">
        <v>15</v>
      </c>
      <c r="B75" s="3394"/>
      <c r="C75" s="757" t="s">
        <v>643</v>
      </c>
      <c r="D75" s="757" t="s">
        <v>644</v>
      </c>
      <c r="E75" s="834">
        <v>0.2</v>
      </c>
      <c r="F75" s="821">
        <v>30</v>
      </c>
    </row>
    <row r="76" spans="1:6" s="817" customFormat="1" ht="24">
      <c r="A76" s="821">
        <v>16</v>
      </c>
      <c r="B76" s="3394" t="s">
        <v>645</v>
      </c>
      <c r="C76" s="757" t="s">
        <v>646</v>
      </c>
      <c r="D76" s="757" t="s">
        <v>647</v>
      </c>
      <c r="E76" s="834">
        <v>0.5</v>
      </c>
      <c r="F76" s="821">
        <v>80</v>
      </c>
    </row>
    <row r="77" spans="1:6" s="817" customFormat="1" ht="24">
      <c r="A77" s="821">
        <v>17</v>
      </c>
      <c r="B77" s="3394"/>
      <c r="C77" s="757" t="s">
        <v>648</v>
      </c>
      <c r="D77" s="757" t="s">
        <v>649</v>
      </c>
      <c r="E77" s="834">
        <v>0.5</v>
      </c>
      <c r="F77" s="821">
        <v>80</v>
      </c>
    </row>
    <row r="78" spans="1:6" s="817" customFormat="1" ht="24">
      <c r="A78" s="821">
        <v>18</v>
      </c>
      <c r="B78" s="3394"/>
      <c r="C78" s="757" t="s">
        <v>650</v>
      </c>
      <c r="D78" s="757" t="s">
        <v>651</v>
      </c>
      <c r="E78" s="834">
        <v>0.2</v>
      </c>
      <c r="F78" s="821">
        <v>30</v>
      </c>
    </row>
    <row r="79" spans="1:6" s="817" customFormat="1" ht="24">
      <c r="A79" s="821">
        <v>19</v>
      </c>
      <c r="B79" s="3394"/>
      <c r="C79" s="757" t="s">
        <v>652</v>
      </c>
      <c r="D79" s="757" t="s">
        <v>653</v>
      </c>
      <c r="E79" s="834">
        <v>0.5</v>
      </c>
      <c r="F79" s="821">
        <v>80</v>
      </c>
    </row>
    <row r="80" spans="1:6" s="817" customFormat="1" ht="36">
      <c r="A80" s="821">
        <v>20</v>
      </c>
      <c r="B80" s="3394"/>
      <c r="C80" s="757" t="s">
        <v>654</v>
      </c>
      <c r="D80" s="757" t="s">
        <v>655</v>
      </c>
      <c r="E80" s="834">
        <v>0.2</v>
      </c>
      <c r="F80" s="821">
        <v>30</v>
      </c>
    </row>
    <row r="81" spans="1:6" s="817" customFormat="1" ht="36">
      <c r="A81" s="821">
        <v>21</v>
      </c>
      <c r="B81" s="3394"/>
      <c r="C81" s="757" t="s">
        <v>656</v>
      </c>
      <c r="D81" s="757" t="s">
        <v>657</v>
      </c>
      <c r="E81" s="834">
        <v>0.2</v>
      </c>
      <c r="F81" s="821">
        <v>30</v>
      </c>
    </row>
    <row r="82" spans="1:6" s="817" customFormat="1" ht="48">
      <c r="A82" s="821">
        <v>22</v>
      </c>
      <c r="B82" s="3394"/>
      <c r="C82" s="757" t="s">
        <v>658</v>
      </c>
      <c r="D82" s="757" t="s">
        <v>659</v>
      </c>
      <c r="E82" s="834">
        <v>0.2</v>
      </c>
      <c r="F82" s="821">
        <v>30</v>
      </c>
    </row>
    <row r="83" spans="1:6" s="817" customFormat="1" ht="48">
      <c r="A83" s="821">
        <v>23</v>
      </c>
      <c r="B83" s="3394"/>
      <c r="C83" s="757" t="s">
        <v>660</v>
      </c>
      <c r="D83" s="757" t="s">
        <v>661</v>
      </c>
      <c r="E83" s="834">
        <v>0.2</v>
      </c>
      <c r="F83" s="821">
        <v>30</v>
      </c>
    </row>
    <row r="84" spans="1:6" s="817" customFormat="1" ht="36">
      <c r="A84" s="821">
        <v>24</v>
      </c>
      <c r="B84" s="3394"/>
      <c r="C84" s="757" t="s">
        <v>662</v>
      </c>
      <c r="D84" s="757" t="s">
        <v>663</v>
      </c>
      <c r="E84" s="834">
        <v>0.2</v>
      </c>
      <c r="F84" s="821">
        <v>30</v>
      </c>
    </row>
    <row r="85" spans="1:6" s="817" customFormat="1" ht="36">
      <c r="A85" s="821">
        <v>25</v>
      </c>
      <c r="B85" s="3394"/>
      <c r="C85" s="757" t="s">
        <v>664</v>
      </c>
      <c r="D85" s="757" t="s">
        <v>665</v>
      </c>
      <c r="E85" s="834">
        <v>0.5</v>
      </c>
      <c r="F85" s="821">
        <v>80</v>
      </c>
    </row>
    <row r="86" spans="1:6" s="817" customFormat="1" ht="36">
      <c r="A86" s="821">
        <v>26</v>
      </c>
      <c r="B86" s="3394"/>
      <c r="C86" s="757" t="s">
        <v>666</v>
      </c>
      <c r="D86" s="757" t="s">
        <v>667</v>
      </c>
      <c r="E86" s="834">
        <v>0.2</v>
      </c>
      <c r="F86" s="821">
        <v>30</v>
      </c>
    </row>
    <row r="87" spans="1:6" s="817" customFormat="1" ht="36">
      <c r="A87" s="821">
        <v>27</v>
      </c>
      <c r="B87" s="3394"/>
      <c r="C87" s="757" t="s">
        <v>668</v>
      </c>
      <c r="D87" s="757" t="s">
        <v>669</v>
      </c>
      <c r="E87" s="834">
        <v>0.2</v>
      </c>
      <c r="F87" s="821">
        <v>30</v>
      </c>
    </row>
    <row r="88" spans="1:6" s="817" customFormat="1" ht="36">
      <c r="A88" s="821">
        <v>28</v>
      </c>
      <c r="B88" s="3394"/>
      <c r="C88" s="757" t="s">
        <v>670</v>
      </c>
      <c r="D88" s="757" t="s">
        <v>671</v>
      </c>
      <c r="E88" s="834">
        <v>0.2</v>
      </c>
      <c r="F88" s="821">
        <v>30</v>
      </c>
    </row>
    <row r="89" spans="1:6" s="817" customFormat="1" ht="24">
      <c r="A89" s="821">
        <v>29</v>
      </c>
      <c r="B89" s="3394"/>
      <c r="C89" s="757" t="s">
        <v>672</v>
      </c>
      <c r="D89" s="757" t="s">
        <v>673</v>
      </c>
      <c r="E89" s="834">
        <v>0.2</v>
      </c>
      <c r="F89" s="821">
        <v>30</v>
      </c>
    </row>
    <row r="90" spans="1:6" s="817" customFormat="1" ht="24">
      <c r="A90" s="821">
        <v>30</v>
      </c>
      <c r="B90" s="3394"/>
      <c r="C90" s="757" t="s">
        <v>674</v>
      </c>
      <c r="D90" s="757" t="s">
        <v>675</v>
      </c>
      <c r="E90" s="834">
        <v>0.2</v>
      </c>
      <c r="F90" s="821">
        <v>30</v>
      </c>
    </row>
    <row r="91" spans="1:6" s="817" customFormat="1" ht="36">
      <c r="A91" s="821">
        <v>31</v>
      </c>
      <c r="B91" s="3394"/>
      <c r="C91" s="757" t="s">
        <v>676</v>
      </c>
      <c r="D91" s="757" t="s">
        <v>677</v>
      </c>
      <c r="E91" s="834">
        <v>0.2</v>
      </c>
      <c r="F91" s="821">
        <v>30</v>
      </c>
    </row>
    <row r="92" spans="1:6" s="817" customFormat="1" ht="24">
      <c r="A92" s="821">
        <v>32</v>
      </c>
      <c r="B92" s="3394" t="s">
        <v>678</v>
      </c>
      <c r="C92" s="821" t="s">
        <v>679</v>
      </c>
      <c r="D92" s="757" t="s">
        <v>680</v>
      </c>
      <c r="E92" s="834">
        <v>0.2</v>
      </c>
      <c r="F92" s="821">
        <v>30</v>
      </c>
    </row>
    <row r="93" spans="1:6" s="817" customFormat="1" ht="36">
      <c r="A93" s="821">
        <v>33</v>
      </c>
      <c r="B93" s="3394"/>
      <c r="C93" s="821" t="s">
        <v>681</v>
      </c>
      <c r="D93" s="757" t="s">
        <v>682</v>
      </c>
      <c r="E93" s="834">
        <v>0.2</v>
      </c>
      <c r="F93" s="821">
        <v>30</v>
      </c>
    </row>
    <row r="94" spans="1:6" s="817" customFormat="1" ht="48">
      <c r="A94" s="821">
        <v>34</v>
      </c>
      <c r="B94" s="3394"/>
      <c r="C94" s="821" t="s">
        <v>683</v>
      </c>
      <c r="D94" s="757" t="s">
        <v>684</v>
      </c>
      <c r="E94" s="834">
        <v>0.2</v>
      </c>
      <c r="F94" s="821">
        <v>30</v>
      </c>
    </row>
    <row r="95" spans="1:6" s="817" customFormat="1" ht="36">
      <c r="A95" s="821">
        <v>35</v>
      </c>
      <c r="B95" s="3394"/>
      <c r="C95" s="821" t="s">
        <v>685</v>
      </c>
      <c r="D95" s="757" t="s">
        <v>686</v>
      </c>
      <c r="E95" s="834">
        <v>0.2</v>
      </c>
      <c r="F95" s="821">
        <v>30</v>
      </c>
    </row>
    <row r="96" spans="1:6" s="817" customFormat="1" ht="48">
      <c r="A96" s="821">
        <v>36</v>
      </c>
      <c r="B96" s="3394"/>
      <c r="C96" s="757" t="s">
        <v>687</v>
      </c>
      <c r="D96" s="757" t="s">
        <v>688</v>
      </c>
      <c r="E96" s="834">
        <v>0.2</v>
      </c>
      <c r="F96" s="821">
        <v>30</v>
      </c>
    </row>
    <row r="97" spans="1:6" s="817" customFormat="1" ht="36">
      <c r="A97" s="821">
        <v>37</v>
      </c>
      <c r="B97" s="3394"/>
      <c r="C97" s="821" t="s">
        <v>689</v>
      </c>
      <c r="D97" s="757" t="s">
        <v>690</v>
      </c>
      <c r="E97" s="834">
        <v>0.2</v>
      </c>
      <c r="F97" s="821">
        <v>30</v>
      </c>
    </row>
    <row r="98" spans="1:6" s="817" customFormat="1" ht="36">
      <c r="A98" s="821">
        <v>38</v>
      </c>
      <c r="B98" s="3394"/>
      <c r="C98" s="821" t="s">
        <v>691</v>
      </c>
      <c r="D98" s="757" t="s">
        <v>692</v>
      </c>
      <c r="E98" s="834">
        <v>0.2</v>
      </c>
      <c r="F98" s="821">
        <v>30</v>
      </c>
    </row>
    <row r="99" spans="1:6" s="817" customFormat="1" ht="36">
      <c r="A99" s="821">
        <v>39</v>
      </c>
      <c r="B99" s="3394" t="s">
        <v>693</v>
      </c>
      <c r="C99" s="821" t="s">
        <v>694</v>
      </c>
      <c r="D99" s="757" t="s">
        <v>695</v>
      </c>
      <c r="E99" s="834">
        <v>0.3</v>
      </c>
      <c r="F99" s="821">
        <v>50</v>
      </c>
    </row>
    <row r="100" spans="1:6" s="817" customFormat="1" ht="24">
      <c r="A100" s="821">
        <v>40</v>
      </c>
      <c r="B100" s="3394"/>
      <c r="C100" s="821" t="s">
        <v>696</v>
      </c>
      <c r="D100" s="757" t="s">
        <v>697</v>
      </c>
      <c r="E100" s="834">
        <v>0.2</v>
      </c>
      <c r="F100" s="821">
        <v>30</v>
      </c>
    </row>
    <row r="101" spans="1:6" s="817" customFormat="1" ht="36">
      <c r="A101" s="821">
        <v>41</v>
      </c>
      <c r="B101" s="339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4" t="s">
        <v>708</v>
      </c>
      <c r="C105" s="821" t="s">
        <v>709</v>
      </c>
      <c r="D105" s="757" t="s">
        <v>710</v>
      </c>
      <c r="E105" s="834">
        <v>0.2</v>
      </c>
      <c r="F105" s="821">
        <v>30</v>
      </c>
    </row>
    <row r="106" spans="1:6" s="817" customFormat="1" ht="36">
      <c r="A106" s="821">
        <v>46</v>
      </c>
      <c r="B106" s="3394"/>
      <c r="C106" s="821" t="s">
        <v>711</v>
      </c>
      <c r="D106" s="757" t="s">
        <v>712</v>
      </c>
      <c r="E106" s="834">
        <v>0.2</v>
      </c>
      <c r="F106" s="821">
        <v>30</v>
      </c>
    </row>
    <row r="107" spans="1:6" s="817" customFormat="1" ht="36">
      <c r="A107" s="821">
        <v>47</v>
      </c>
      <c r="B107" s="3394" t="s">
        <v>713</v>
      </c>
      <c r="C107" s="821" t="s">
        <v>714</v>
      </c>
      <c r="D107" s="757" t="s">
        <v>715</v>
      </c>
      <c r="E107" s="834">
        <v>0.3</v>
      </c>
      <c r="F107" s="821">
        <v>50</v>
      </c>
    </row>
    <row r="108" spans="1:6" s="817" customFormat="1" ht="36">
      <c r="A108" s="821">
        <v>48</v>
      </c>
      <c r="B108" s="339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4" t="s">
        <v>724</v>
      </c>
      <c r="C111" s="821" t="s">
        <v>725</v>
      </c>
      <c r="D111" s="757" t="s">
        <v>726</v>
      </c>
      <c r="E111" s="834">
        <v>0.2</v>
      </c>
      <c r="F111" s="821">
        <v>30</v>
      </c>
    </row>
    <row r="112" spans="1:6" s="817" customFormat="1" ht="24">
      <c r="A112" s="821">
        <v>52</v>
      </c>
      <c r="B112" s="3394"/>
      <c r="C112" s="821" t="s">
        <v>727</v>
      </c>
      <c r="D112" s="757" t="s">
        <v>728</v>
      </c>
      <c r="E112" s="834">
        <v>0.2</v>
      </c>
      <c r="F112" s="821">
        <v>30</v>
      </c>
    </row>
    <row r="113" spans="1:6" s="817" customFormat="1" ht="24">
      <c r="A113" s="821">
        <v>53</v>
      </c>
      <c r="B113" s="339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4" t="s">
        <v>737</v>
      </c>
      <c r="C116" s="821" t="s">
        <v>738</v>
      </c>
      <c r="D116" s="757" t="s">
        <v>739</v>
      </c>
      <c r="E116" s="834">
        <v>0.2</v>
      </c>
      <c r="F116" s="821">
        <v>30</v>
      </c>
    </row>
    <row r="117" spans="1:6" ht="36">
      <c r="A117" s="821">
        <v>57</v>
      </c>
      <c r="B117" s="339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6"/>
      <c r="G1" s="3026"/>
      <c r="H1" s="3026"/>
      <c r="I1" s="3026"/>
      <c r="J1" s="3026"/>
      <c r="K1" s="3026"/>
      <c r="L1" s="3026"/>
      <c r="M1" s="3026"/>
      <c r="N1" s="3026"/>
      <c r="O1" s="3026"/>
      <c r="P1" s="3026"/>
    </row>
    <row r="2" spans="1:16" ht="15.75">
      <c r="A2" s="2363" t="s">
        <v>2814</v>
      </c>
      <c r="B2" s="2830">
        <f ca="1">SUMIF(B6:B13,"&lt;&gt;#ref!",B6:B13)</f>
        <v>188</v>
      </c>
      <c r="C2" s="2363" t="s">
        <v>2815</v>
      </c>
      <c r="D2" s="2363" t="s">
        <v>2816</v>
      </c>
      <c r="E2" s="2840">
        <f ca="1">SUMIF(E6:E13,"&lt;&gt;#ref!",E6:E13)</f>
        <v>452.2</v>
      </c>
      <c r="F2" s="3026"/>
      <c r="G2" s="3026"/>
      <c r="H2" s="3026"/>
      <c r="I2" s="3026"/>
      <c r="J2" s="3026"/>
      <c r="K2" s="3026"/>
      <c r="L2" s="3026"/>
      <c r="M2" s="3026"/>
      <c r="N2" s="3026"/>
      <c r="O2" s="3026"/>
      <c r="P2" s="3026"/>
    </row>
    <row r="3" spans="1:16" ht="15.75">
      <c r="A3" s="2363" t="s">
        <v>2817</v>
      </c>
      <c r="B3" s="2830">
        <f ca="1">ROUND(B2*10000/E2,0)</f>
        <v>4157</v>
      </c>
      <c r="C3" s="2363" t="s">
        <v>2823</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2818</v>
      </c>
      <c r="B5" s="2838" t="s">
        <v>2819</v>
      </c>
      <c r="C5" s="2364"/>
      <c r="D5" s="3026"/>
      <c r="E5" s="2839" t="s">
        <v>2820</v>
      </c>
      <c r="F5" s="3026"/>
      <c r="G5" s="3026"/>
      <c r="H5" s="3026"/>
      <c r="I5" s="3026"/>
      <c r="J5" s="3026"/>
      <c r="K5" s="3026"/>
      <c r="L5" s="3026"/>
      <c r="M5" s="3026"/>
      <c r="N5" s="3026"/>
      <c r="O5" s="3026"/>
      <c r="P5" s="3026"/>
    </row>
    <row r="6" spans="1:16" ht="15.75">
      <c r="A6" s="2837" t="s">
        <v>2821</v>
      </c>
      <c r="B6" s="2830">
        <f ca="1">SUMIF(INDIRECT("'"&amp;A6&amp;"'"&amp;"!A:A"),"总价",INDIRECT("'"&amp;A6&amp;"'"&amp;"!B:B"))</f>
        <v>188</v>
      </c>
      <c r="C6" s="2363" t="s">
        <v>2815</v>
      </c>
      <c r="D6" s="3026"/>
      <c r="E6" s="2840">
        <f ca="1">SUMIF(INDIRECT("'"&amp;A6&amp;"'"&amp;"!C:C"),"建筑面积",INDIRECT("'"&amp;A6&amp;"'"&amp;"!D:D"))</f>
        <v>452.2</v>
      </c>
      <c r="F6" s="3026"/>
      <c r="G6" s="3026"/>
      <c r="H6" s="3026"/>
      <c r="I6" s="3026"/>
      <c r="J6" s="3026"/>
      <c r="K6" s="3026"/>
      <c r="L6" s="3026"/>
      <c r="M6" s="3026"/>
      <c r="N6" s="3026"/>
      <c r="O6" s="3026"/>
      <c r="P6" s="3026"/>
    </row>
    <row r="7" spans="1:16" ht="15.75">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7" sqref="I7"/>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00" t="s">
        <v>1117</v>
      </c>
      <c r="C1" s="3400"/>
      <c r="D1" s="3400"/>
      <c r="E1" s="3400"/>
      <c r="F1" s="3400"/>
      <c r="G1" s="3399" t="s">
        <v>1118</v>
      </c>
      <c r="H1" s="3399"/>
      <c r="I1" s="3399"/>
      <c r="J1" s="3399"/>
      <c r="K1" s="3399"/>
      <c r="L1" s="3399"/>
      <c r="N1" s="3399" t="s">
        <v>1119</v>
      </c>
      <c r="O1" s="3399"/>
      <c r="P1" s="3399"/>
      <c r="Q1" s="3399"/>
      <c r="S1" s="3399" t="s">
        <v>1120</v>
      </c>
      <c r="T1" s="3399"/>
      <c r="U1" s="3399"/>
      <c r="V1" s="3399"/>
      <c r="X1" s="3398" t="s">
        <v>1121</v>
      </c>
      <c r="Y1" s="3399"/>
      <c r="Z1" s="3399"/>
      <c r="AA1" s="3399"/>
      <c r="AB1" s="3399"/>
      <c r="AD1" s="3398" t="s">
        <v>1122</v>
      </c>
      <c r="AE1" s="3399"/>
      <c r="AF1" s="3399"/>
      <c r="AG1" s="3399"/>
      <c r="AH1" s="3399"/>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3051</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3052</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5">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3050</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2872</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2870</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2869</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2868</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2866</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2864</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2867</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96">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2862</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96"/>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2861</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96"/>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2854</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405"/>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2852</v>
      </c>
      <c r="B18" s="2440">
        <v>439</v>
      </c>
      <c r="C18" s="2440">
        <v>327</v>
      </c>
      <c r="D18" s="2440">
        <f>C18</f>
        <v>327</v>
      </c>
      <c r="E18" s="2440">
        <v>627</v>
      </c>
      <c r="F18" s="2441">
        <v>283</v>
      </c>
      <c r="G18" s="3401">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2853</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96"/>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96"/>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405"/>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401">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96"/>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96"/>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97"/>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95">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96"/>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96"/>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97"/>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95">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96"/>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96"/>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97"/>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402">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403"/>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403"/>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404"/>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95">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96"/>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96"/>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97"/>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95">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96">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96">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97">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95">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96">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96">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97">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95">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96">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96">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97">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95">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96">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96">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97">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95">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96">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96">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97">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95">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96">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96">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97">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95">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96">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96">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97">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95">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96">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96">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97">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95">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96">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96">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97">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95">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96">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96">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97">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v>
      </c>
      <c r="B3" s="3081"/>
      <c r="C3" s="3081"/>
      <c r="D3" s="3081"/>
      <c r="E3" s="3081"/>
    </row>
    <row r="4" spans="1:5" ht="19.5" thickBot="1">
      <c r="A4" s="1680"/>
      <c r="B4" s="3079" t="s">
        <v>1595</v>
      </c>
      <c r="C4" s="3079"/>
      <c r="D4" s="3079"/>
      <c r="E4" s="1680"/>
    </row>
    <row r="5" spans="1:5" ht="16.5" thickTop="1">
      <c r="A5" s="1678"/>
      <c r="B5" s="3077" t="s">
        <v>1587</v>
      </c>
      <c r="C5" s="1681" t="s">
        <v>1588</v>
      </c>
      <c r="D5" s="959">
        <f ca="1">'结果表-办公'!H101</f>
        <v>5784</v>
      </c>
      <c r="E5" s="1678"/>
    </row>
    <row r="6" spans="1:5" ht="15.75">
      <c r="A6" s="1678"/>
      <c r="B6" s="3077"/>
      <c r="C6" s="1681" t="s">
        <v>1589</v>
      </c>
      <c r="D6" s="959" t="str">
        <f ca="1">NUMBERSTRING(INT(D5*10000),2)&amp;"元整"</f>
        <v>伍仟柒佰捌拾肆万元整</v>
      </c>
      <c r="E6" s="1678"/>
    </row>
    <row r="7" spans="1:5" ht="15.75">
      <c r="A7" s="1678"/>
      <c r="B7" s="3082"/>
      <c r="C7" s="1682" t="s">
        <v>1590</v>
      </c>
      <c r="D7" s="960">
        <f ca="1">'结果表-办公'!H102</f>
        <v>45455</v>
      </c>
      <c r="E7" s="1678"/>
    </row>
    <row r="8" spans="1:5" ht="15.75">
      <c r="A8" s="1678"/>
      <c r="B8" s="3083" t="str">
        <f>'结果表-办公'!E103</f>
        <v>2.估价师知悉的法定优先受偿款</v>
      </c>
      <c r="C8" s="1683" t="s">
        <v>1591</v>
      </c>
      <c r="D8" s="960">
        <f>'结果表-办公'!H103</f>
        <v>0</v>
      </c>
      <c r="E8" s="1678"/>
    </row>
    <row r="9" spans="1:5" ht="15.75">
      <c r="A9" s="1678"/>
      <c r="B9" s="3085"/>
      <c r="C9" s="1681" t="s">
        <v>1589</v>
      </c>
      <c r="D9" s="959" t="str">
        <f>NUMBERSTRING(INT(D8*10000),2)&amp;"元整"</f>
        <v>零元整</v>
      </c>
      <c r="E9" s="1678"/>
    </row>
    <row r="10" spans="1:5" ht="15">
      <c r="A10" s="1678"/>
      <c r="B10" s="1684" t="s">
        <v>1594</v>
      </c>
      <c r="C10" s="1685" t="s">
        <v>1592</v>
      </c>
      <c r="D10" s="961">
        <f>'结果表-办公'!H104</f>
        <v>0</v>
      </c>
      <c r="E10" s="1678"/>
    </row>
    <row r="11" spans="1:5" ht="15">
      <c r="A11" s="1678"/>
      <c r="B11" s="1684" t="s">
        <v>1596</v>
      </c>
      <c r="C11" s="1685" t="s">
        <v>1597</v>
      </c>
      <c r="D11" s="961">
        <f>'结果表-办公'!H105</f>
        <v>0</v>
      </c>
      <c r="E11" s="1678"/>
    </row>
    <row r="12" spans="1:5" ht="15">
      <c r="A12" s="1678"/>
      <c r="B12" s="1684" t="s">
        <v>1598</v>
      </c>
      <c r="C12" s="1685" t="s">
        <v>1597</v>
      </c>
      <c r="D12" s="961">
        <f>'结果表-办公'!H106</f>
        <v>0</v>
      </c>
      <c r="E12" s="1678"/>
    </row>
    <row r="13" spans="1:5" ht="15.75">
      <c r="A13" s="1678"/>
      <c r="B13" s="3076" t="str">
        <f>'结果表-办公'!E107</f>
        <v>3.房地产抵押价值</v>
      </c>
      <c r="C13" s="1686" t="s">
        <v>1588</v>
      </c>
      <c r="D13" s="962">
        <f ca="1">'结果表-办公'!H107</f>
        <v>5784</v>
      </c>
      <c r="E13" s="1678"/>
    </row>
    <row r="14" spans="1:5" ht="15.75">
      <c r="A14" s="1678"/>
      <c r="B14" s="3077"/>
      <c r="C14" s="1681" t="s">
        <v>1589</v>
      </c>
      <c r="D14" s="959" t="str">
        <f ca="1">NUMBERSTRING(INT(D13*10000),2)&amp;"元整"</f>
        <v>伍仟柒佰捌拾肆万元整</v>
      </c>
      <c r="E14" s="1678"/>
    </row>
    <row r="15" spans="1:5" ht="15">
      <c r="A15" s="1678"/>
      <c r="B15" s="3082"/>
      <c r="C15" s="1682" t="s">
        <v>1599</v>
      </c>
      <c r="D15" s="968">
        <f ca="1">'结果表-办公'!H108</f>
        <v>33537</v>
      </c>
      <c r="E15" s="1678"/>
    </row>
    <row r="16" spans="1:5" ht="15">
      <c r="A16" s="1678"/>
      <c r="B16" s="3083" t="str">
        <f>'结果表-办公'!E109</f>
        <v>——</v>
      </c>
      <c r="C16" s="1686" t="s">
        <v>1600</v>
      </c>
      <c r="D16" s="1687" t="str">
        <f>'结果表-办公'!H109</f>
        <v>——</v>
      </c>
      <c r="E16" s="1678"/>
    </row>
    <row r="17" spans="1:5" ht="15.75">
      <c r="A17" s="1678"/>
      <c r="B17" s="3084"/>
      <c r="C17" s="1681" t="s">
        <v>1601</v>
      </c>
      <c r="D17" s="959" t="e">
        <f>NUMBERSTRING(INT(D16*10000),2)&amp;"元整"</f>
        <v>#VALUE!</v>
      </c>
      <c r="E17" s="1678"/>
    </row>
    <row r="18" spans="1:5" ht="15">
      <c r="A18" s="1678"/>
      <c r="B18" s="3085"/>
      <c r="C18" s="1682" t="s">
        <v>1590</v>
      </c>
      <c r="D18" s="968" t="str">
        <f>'结果表-办公'!H110</f>
        <v>——</v>
      </c>
      <c r="E18" s="1678"/>
    </row>
    <row r="19" spans="1:5" ht="15.75">
      <c r="A19" s="1678"/>
      <c r="B19" s="3076" t="str">
        <f>'结果表-办公'!E111</f>
        <v>4.抵押净值</v>
      </c>
      <c r="C19" s="1686" t="s">
        <v>1588</v>
      </c>
      <c r="D19" s="960">
        <f ca="1">'结果表-办公'!H111</f>
        <v>4879</v>
      </c>
      <c r="E19" s="1678"/>
    </row>
    <row r="20" spans="1:5" ht="15.75">
      <c r="A20" s="1678"/>
      <c r="B20" s="3077"/>
      <c r="C20" s="1681" t="s">
        <v>1601</v>
      </c>
      <c r="D20" s="959" t="str">
        <f ca="1">NUMBERSTRING(INT(D19*10000),2)&amp;"元整"</f>
        <v>肆仟捌佰柒拾玖万元整</v>
      </c>
      <c r="E20" s="1678"/>
    </row>
    <row r="21" spans="1:5" ht="15.75" thickBot="1">
      <c r="A21" s="1678"/>
      <c r="B21" s="3078"/>
      <c r="C21" s="1688" t="s">
        <v>1599</v>
      </c>
      <c r="D21" s="969">
        <f ca="1">'结果表-办公'!H112</f>
        <v>28289</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9" t="s">
        <v>2825</v>
      </c>
      <c r="D1" s="3410"/>
      <c r="E1" s="3410"/>
      <c r="F1" s="3410"/>
      <c r="G1" s="3410"/>
      <c r="H1" s="3410"/>
      <c r="I1" s="3410"/>
      <c r="J1" s="3410"/>
      <c r="K1" s="3410"/>
      <c r="L1" s="3410"/>
      <c r="M1" s="3410"/>
      <c r="N1" s="3410"/>
      <c r="O1" s="3410"/>
      <c r="P1" s="3410"/>
      <c r="Q1" s="3410"/>
      <c r="R1" s="3410"/>
      <c r="S1" s="341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6" t="s">
        <v>33</v>
      </c>
      <c r="D22" s="3407"/>
      <c r="E22" s="3407"/>
      <c r="F22" s="3407"/>
      <c r="G22" s="3407"/>
      <c r="H22" s="3407"/>
      <c r="I22" s="3407"/>
      <c r="J22" s="3407"/>
      <c r="K22" s="3407"/>
      <c r="L22" s="3407"/>
      <c r="M22" s="3407"/>
      <c r="N22" s="3407"/>
      <c r="O22" s="3407"/>
      <c r="P22" s="3407"/>
      <c r="Q22" s="340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29546</v>
      </c>
      <c r="C2" s="2" t="s">
        <v>133</v>
      </c>
      <c r="D2" s="205"/>
      <c r="E2" s="205"/>
      <c r="F2" s="205"/>
      <c r="G2" s="205"/>
    </row>
    <row r="3" spans="1:7" s="206" customFormat="1" ht="18" customHeight="1" thickBot="1">
      <c r="A3" s="209" t="s">
        <v>85</v>
      </c>
      <c r="B3" s="210">
        <f ca="1">ROUND(B2*10000/'数据-汇总表'!E3,0)</f>
        <v>171314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34</v>
      </c>
      <c r="D10" s="954">
        <f>'数据-汇总表'!E6</f>
        <v>1724.67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34</v>
      </c>
      <c r="D19" s="958">
        <f>'数据-汇总表'!E3</f>
        <v>1724.67</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2027</v>
      </c>
      <c r="D22" s="241">
        <f ca="1">C26</f>
        <v>1.1999999999999999E-3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1.1999999999999999E-3</v>
      </c>
      <c r="D26" s="244"/>
      <c r="E26" s="247"/>
      <c r="F26" s="245"/>
      <c r="G26" s="249"/>
    </row>
    <row r="27" spans="1:7" s="220" customFormat="1" ht="24.75">
      <c r="A27" s="885" t="s">
        <v>787</v>
      </c>
      <c r="B27" s="250" t="s">
        <v>112</v>
      </c>
      <c r="C27" s="251">
        <f>C28</f>
        <v>3369</v>
      </c>
      <c r="D27" s="241">
        <f>C29</f>
        <v>4.0000000000000001E-3</v>
      </c>
      <c r="E27" s="242" t="s">
        <v>126</v>
      </c>
      <c r="F27" s="252">
        <f>'数据-取费表'!Q16</f>
        <v>0.16</v>
      </c>
      <c r="G27" s="253" t="s">
        <v>1037</v>
      </c>
    </row>
    <row r="28" spans="1:7" s="220" customFormat="1" ht="13.5" customHeight="1">
      <c r="A28" s="888" t="s">
        <v>794</v>
      </c>
      <c r="B28" s="254" t="s">
        <v>1030</v>
      </c>
      <c r="C28" s="255">
        <f>ROUND((C5+C19+C20)*F27*'数据-取费表'!B21/'数据-取费表'!B20,0)</f>
        <v>3369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28864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705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642</v>
      </c>
      <c r="D34" s="223"/>
      <c r="E34" s="226"/>
      <c r="F34" s="263">
        <f>IF('数据-取费表'!B24=0,1,'数据-取费表'!N16)</f>
        <v>1</v>
      </c>
      <c r="G34" s="225" t="s">
        <v>116</v>
      </c>
    </row>
    <row r="35" spans="1:7" ht="13.5" customHeight="1">
      <c r="A35" s="888" t="s">
        <v>796</v>
      </c>
      <c r="B35" s="221" t="s">
        <v>60</v>
      </c>
      <c r="C35" s="226">
        <f>ROUND(C34*F35,0)</f>
        <v>19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34</v>
      </c>
      <c r="D37" s="223">
        <f>'数据-汇总表'!E3</f>
        <v>1724.67</v>
      </c>
      <c r="E37" s="255">
        <f>'数据-取费表'!B35</f>
        <v>200</v>
      </c>
      <c r="F37" s="265"/>
      <c r="G37" s="267" t="s">
        <v>119</v>
      </c>
    </row>
    <row r="38" spans="1:7" ht="13.5" customHeight="1">
      <c r="A38" s="888" t="s">
        <v>799</v>
      </c>
      <c r="B38" s="221" t="s">
        <v>63</v>
      </c>
      <c r="C38" s="226">
        <f>ROUND(C34*F38,0)</f>
        <v>10</v>
      </c>
      <c r="D38" s="226"/>
      <c r="E38" s="226"/>
      <c r="F38" s="265">
        <f>'数据-取费表'!B36</f>
        <v>1.4999999999999999E-2</v>
      </c>
      <c r="G38" s="225" t="s">
        <v>117</v>
      </c>
    </row>
    <row r="39" spans="1:7" s="220" customFormat="1" ht="13.5" customHeight="1">
      <c r="A39" s="885" t="s">
        <v>783</v>
      </c>
      <c r="B39" s="216" t="s">
        <v>104</v>
      </c>
      <c r="C39" s="238">
        <f>ROUND(C33*F20,0)</f>
        <v>14</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34</v>
      </c>
      <c r="D41" s="241">
        <f ca="1">C44</f>
        <v>1.1999999999999999E-3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33</v>
      </c>
      <c r="D42" s="244"/>
      <c r="E42" s="244"/>
      <c r="F42" s="245"/>
      <c r="G42" s="3264" t="s">
        <v>121</v>
      </c>
    </row>
    <row r="43" spans="1:7" ht="13.5" customHeight="1">
      <c r="A43" s="888" t="s">
        <v>792</v>
      </c>
      <c r="B43" s="221" t="s">
        <v>1032</v>
      </c>
      <c r="C43" s="244">
        <f ca="1">ROUND(IF('数据-取费表'!B22&lt;=1,C39*F22*'数据-取费表'!B21/2,C39*(POWER((1+F22),'数据-取费表'!B21/2)-1)),0)</f>
        <v>1</v>
      </c>
      <c r="D43" s="244"/>
      <c r="E43" s="244"/>
      <c r="F43" s="245"/>
      <c r="G43" s="3265"/>
    </row>
    <row r="44" spans="1:7" ht="13.5" customHeight="1">
      <c r="A44" s="888" t="s">
        <v>793</v>
      </c>
      <c r="B44" s="221" t="s">
        <v>1034</v>
      </c>
      <c r="C44" s="244">
        <f ca="1">ROUND(IF('数据-取费表'!B22&lt;=1,C40*F22*'数据-取费表'!B21/2,C40*(POWER((1+F22),'数据-取费表'!B21/2)-1)),4)</f>
        <v>1.1999999999999999E-3</v>
      </c>
      <c r="D44" s="244"/>
      <c r="E44" s="244"/>
      <c r="F44" s="245"/>
      <c r="G44" s="3266"/>
    </row>
    <row r="45" spans="1:7" s="220" customFormat="1" ht="13.5" customHeight="1">
      <c r="A45" s="885" t="s">
        <v>786</v>
      </c>
      <c r="B45" s="250" t="s">
        <v>112</v>
      </c>
      <c r="C45" s="251">
        <f>C46</f>
        <v>115</v>
      </c>
      <c r="D45" s="241">
        <f>C47</f>
        <v>4.0000000000000001E-3</v>
      </c>
      <c r="E45" s="242" t="s">
        <v>129</v>
      </c>
      <c r="F45" s="252"/>
      <c r="G45" s="253" t="s">
        <v>1040</v>
      </c>
    </row>
    <row r="46" spans="1:7" s="220" customFormat="1" ht="13.5" customHeight="1">
      <c r="A46" s="888" t="s">
        <v>794</v>
      </c>
      <c r="B46" s="254" t="s">
        <v>1033</v>
      </c>
      <c r="C46" s="255">
        <f>ROUND((C33+C39)*F27,0)</f>
        <v>115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947</v>
      </c>
      <c r="D49" s="238"/>
      <c r="E49" s="238"/>
      <c r="F49" s="270"/>
      <c r="G49" s="240" t="s">
        <v>1041</v>
      </c>
    </row>
    <row r="50" spans="1:7" s="264" customFormat="1" ht="24">
      <c r="A50" s="885" t="s">
        <v>789</v>
      </c>
      <c r="B50" s="216" t="s">
        <v>124</v>
      </c>
      <c r="C50" s="238"/>
      <c r="D50" s="238"/>
      <c r="E50" s="238"/>
      <c r="F50" s="270">
        <f>IF('数据-取费表'!B24=0,'数据-取费表'!N16,1)</f>
        <v>0.72</v>
      </c>
      <c r="G50" s="253" t="s">
        <v>125</v>
      </c>
    </row>
    <row r="51" spans="1:7" ht="16.5" customHeight="1">
      <c r="A51" s="885" t="s">
        <v>790</v>
      </c>
      <c r="B51" s="216" t="s">
        <v>132</v>
      </c>
      <c r="C51" s="238">
        <f ca="1">ROUND(C49*F50,0)</f>
        <v>682</v>
      </c>
      <c r="D51" s="238"/>
      <c r="E51" s="238"/>
      <c r="F51" s="270"/>
      <c r="G51" s="240" t="s">
        <v>64</v>
      </c>
    </row>
    <row r="52" spans="1:7" s="214" customFormat="1" ht="16.5" thickBot="1">
      <c r="A52" s="271" t="s">
        <v>65</v>
      </c>
      <c r="B52" s="272"/>
      <c r="C52" s="273">
        <f ca="1">C31+C51</f>
        <v>29546</v>
      </c>
      <c r="D52" s="272"/>
      <c r="E52" s="272"/>
      <c r="F52" s="272"/>
      <c r="G52" s="274"/>
    </row>
    <row r="55" spans="1:7" ht="15">
      <c r="B55" s="276" t="s">
        <v>66</v>
      </c>
      <c r="C55" s="277"/>
    </row>
    <row r="56" spans="1:7">
      <c r="B56" s="279" t="s">
        <v>67</v>
      </c>
      <c r="C56" s="280">
        <f ca="1">ROUND(C51/C52,3)</f>
        <v>2.3E-2</v>
      </c>
    </row>
    <row r="57" spans="1:7">
      <c r="B57" s="279" t="s">
        <v>68</v>
      </c>
      <c r="C57" s="281">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2" t="s">
        <v>156</v>
      </c>
      <c r="B1" s="3412"/>
      <c r="C1" s="3412"/>
      <c r="D1" s="3412"/>
      <c r="E1" s="3412"/>
      <c r="F1" s="34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3" t="s">
        <v>169</v>
      </c>
      <c r="B2" s="3413"/>
      <c r="C2" s="3413"/>
      <c r="D2" s="3413"/>
      <c r="E2" s="3413"/>
      <c r="F2" s="34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2" t="s">
        <v>839</v>
      </c>
      <c r="B1" s="341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44230</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J116" sqref="J116"/>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1606</v>
      </c>
      <c r="B2" s="3096" t="s">
        <v>1607</v>
      </c>
      <c r="C2" s="3096" t="s">
        <v>1608</v>
      </c>
      <c r="D2" s="3096" t="str">
        <f>'结果表-办公'!D116</f>
        <v>出让国有建设用地使用权价值</v>
      </c>
      <c r="E2" s="3096"/>
      <c r="F2" s="3096" t="str">
        <f>'结果表-办公'!F116</f>
        <v>在建建筑物价值</v>
      </c>
      <c r="G2" s="3096"/>
      <c r="H2" s="3096" t="str">
        <f>IF(项目基本情况!B9="房地产市场价值","房地产市场价值","房地产价值")</f>
        <v>房地产价值</v>
      </c>
      <c r="I2" s="3096"/>
    </row>
    <row r="3" spans="1:9" ht="15">
      <c r="A3" s="3090"/>
      <c r="B3" s="3090"/>
      <c r="C3" s="3090"/>
      <c r="D3" s="963" t="s">
        <v>1603</v>
      </c>
      <c r="E3" s="963" t="s">
        <v>1609</v>
      </c>
      <c r="F3" s="963" t="s">
        <v>1603</v>
      </c>
      <c r="G3" s="963" t="s">
        <v>1604</v>
      </c>
      <c r="H3" s="963" t="s">
        <v>1603</v>
      </c>
      <c r="I3" s="963" t="s">
        <v>1604</v>
      </c>
    </row>
    <row r="4" spans="1:9" ht="15">
      <c r="A4" s="1692" t="str">
        <f>项目基本情况!S2</f>
        <v>北京市房地产</v>
      </c>
      <c r="B4" s="963">
        <f>项目基本情况!C17</f>
        <v>1724.67</v>
      </c>
      <c r="C4" s="963">
        <f>项目基本情况!C18</f>
        <v>0</v>
      </c>
      <c r="D4" s="963">
        <f ca="1">'结果表-办公'!D118</f>
        <v>4807</v>
      </c>
      <c r="E4" s="963">
        <f ca="1">'结果表-办公'!E118</f>
        <v>37777</v>
      </c>
      <c r="F4" s="963">
        <f ca="1">'结果表-办公'!F118</f>
        <v>977</v>
      </c>
      <c r="G4" s="963">
        <f ca="1">'结果表-办公'!G118</f>
        <v>7678</v>
      </c>
      <c r="H4" s="963">
        <f ca="1">'结果表-办公'!H118</f>
        <v>5784</v>
      </c>
      <c r="I4" s="963">
        <f ca="1">'结果表-办公'!I118</f>
        <v>45455</v>
      </c>
    </row>
    <row r="5" spans="1:9" ht="30" customHeight="1">
      <c r="A5" s="3090" t="s">
        <v>1605</v>
      </c>
      <c r="B5" s="3090"/>
      <c r="C5" s="3090"/>
      <c r="D5" s="3091" t="str">
        <f ca="1">'结果表-办公'!D119</f>
        <v>肆仟捌佰零柒万元整</v>
      </c>
      <c r="E5" s="3091"/>
      <c r="F5" s="3091" t="str">
        <f ca="1">'结果表-办公'!F119</f>
        <v>玖佰柒拾柒万元整</v>
      </c>
      <c r="G5" s="3091"/>
      <c r="H5" s="3091" t="str">
        <f ca="1">'结果表-办公'!H119</f>
        <v>伍仟柒佰捌拾肆万元整</v>
      </c>
      <c r="I5" s="3091"/>
    </row>
    <row r="6" spans="1:9" ht="15.75">
      <c r="A6" s="3089" t="str">
        <f>'结果表-办公'!A120</f>
        <v>估价师知悉的法定优先受偿款</v>
      </c>
      <c r="B6" s="3089"/>
      <c r="C6" s="3089"/>
      <c r="D6" s="3089">
        <f>'结果表-办公'!D120</f>
        <v>0</v>
      </c>
      <c r="E6" s="3089"/>
      <c r="F6" s="3089"/>
      <c r="G6" s="3089"/>
      <c r="H6" s="3089"/>
      <c r="I6" s="3089"/>
    </row>
    <row r="7" spans="1:9" ht="15">
      <c r="A7" s="3090" t="s">
        <v>1605</v>
      </c>
      <c r="B7" s="3090"/>
      <c r="C7" s="3090"/>
      <c r="D7" s="3092" t="str">
        <f>'结果表-办公'!D121</f>
        <v>零元整</v>
      </c>
      <c r="E7" s="3093"/>
      <c r="F7" s="3093"/>
      <c r="G7" s="3093"/>
      <c r="H7" s="3093"/>
      <c r="I7" s="3094"/>
    </row>
    <row r="8" spans="1:9" ht="15.75">
      <c r="A8" s="3089" t="str">
        <f>'结果表-办公'!A122</f>
        <v>房地产抵押价值</v>
      </c>
      <c r="B8" s="3089"/>
      <c r="C8" s="3089"/>
      <c r="D8" s="3089">
        <f ca="1">'结果表-办公'!D122</f>
        <v>5784</v>
      </c>
      <c r="E8" s="3089"/>
      <c r="F8" s="3089"/>
      <c r="G8" s="3089"/>
      <c r="H8" s="3089"/>
      <c r="I8" s="3089"/>
    </row>
    <row r="9" spans="1:9" ht="15">
      <c r="A9" s="3090" t="s">
        <v>1605</v>
      </c>
      <c r="B9" s="3090"/>
      <c r="C9" s="3090"/>
      <c r="D9" s="3091" t="str">
        <f ca="1">'结果表-办公'!D123</f>
        <v>伍仟柒佰捌拾肆万元整</v>
      </c>
      <c r="E9" s="3091"/>
      <c r="F9" s="3091"/>
      <c r="G9" s="3091"/>
      <c r="H9" s="3091"/>
      <c r="I9" s="3091"/>
    </row>
    <row r="10" spans="1:9" ht="15.75">
      <c r="A10" s="3089" t="str">
        <f>'结果表-办公'!A124</f>
        <v/>
      </c>
      <c r="B10" s="3089"/>
      <c r="C10" s="3089"/>
      <c r="D10" s="3089" t="str">
        <f>'结果表-办公'!D124</f>
        <v>——</v>
      </c>
      <c r="E10" s="3089"/>
      <c r="F10" s="3089"/>
      <c r="G10" s="3089"/>
      <c r="H10" s="3089"/>
      <c r="I10" s="3089"/>
    </row>
    <row r="11" spans="1:9" ht="15">
      <c r="A11" s="3090" t="s">
        <v>1605</v>
      </c>
      <c r="B11" s="3090"/>
      <c r="C11" s="3090"/>
      <c r="D11" s="3091" t="e">
        <f>'结果表-办公'!D125</f>
        <v>#VALUE!</v>
      </c>
      <c r="E11" s="3091"/>
      <c r="F11" s="3091"/>
      <c r="G11" s="3091"/>
      <c r="H11" s="3091"/>
      <c r="I11" s="3091"/>
    </row>
    <row r="12" spans="1:9" ht="15.75">
      <c r="A12" s="3089" t="str">
        <f>'结果表-办公'!A126</f>
        <v>抵押净值</v>
      </c>
      <c r="B12" s="3089"/>
      <c r="C12" s="3089"/>
      <c r="D12" s="3089">
        <f ca="1">'结果表-办公'!D126</f>
        <v>4879</v>
      </c>
      <c r="E12" s="3089"/>
      <c r="F12" s="3089"/>
      <c r="G12" s="3089"/>
      <c r="H12" s="3089"/>
      <c r="I12" s="3089"/>
    </row>
    <row r="13" spans="1:9" ht="15.75" thickBot="1">
      <c r="A13" s="3086" t="s">
        <v>1605</v>
      </c>
      <c r="B13" s="3086"/>
      <c r="C13" s="3086"/>
      <c r="D13" s="3087" t="str">
        <f ca="1">'结果表-办公'!D127</f>
        <v>肆仟捌佰柒拾玖万元整</v>
      </c>
      <c r="E13" s="3087"/>
      <c r="F13" s="3087"/>
      <c r="G13" s="3087"/>
      <c r="H13" s="3087"/>
      <c r="I13" s="3087"/>
    </row>
    <row r="14" spans="1:9" ht="15" thickTop="1">
      <c r="A14" s="3088" t="s">
        <v>1610</v>
      </c>
      <c r="B14" s="3088"/>
      <c r="C14" s="3088"/>
      <c r="D14" s="3088"/>
      <c r="E14" s="3088"/>
      <c r="F14" s="3088"/>
      <c r="G14" s="3088"/>
      <c r="H14" s="3088"/>
      <c r="I14" s="3088"/>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03" t="s">
        <v>1627</v>
      </c>
      <c r="B1" s="3103"/>
      <c r="C1" s="3103"/>
      <c r="D1" s="3103"/>
    </row>
    <row r="2" spans="1:4" ht="18">
      <c r="A2" s="3104" t="s">
        <v>1611</v>
      </c>
      <c r="B2" s="3104"/>
      <c r="C2" s="3104"/>
      <c r="D2" s="3104"/>
    </row>
    <row r="3" spans="1:4" ht="18.7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8">
      <c r="A6" s="3104" t="s">
        <v>1617</v>
      </c>
      <c r="B6" s="3104"/>
      <c r="C6" s="3104"/>
      <c r="D6" s="3104"/>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05"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097" t="str">
        <f>IF(项目基本情况!B8="抵押","4.本次评估估价师所知悉的法定优先受偿款情况说明如下：","——")</f>
        <v>4.本次评估估价师所知悉的法定优先受偿款情况说明如下：</v>
      </c>
      <c r="B14" s="3102"/>
      <c r="C14" s="3102"/>
      <c r="D14" s="3102"/>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7"/>
      <c r="C15" s="3097"/>
      <c r="D15" s="3097"/>
    </row>
    <row r="16" spans="1:4" ht="30" customHeight="1">
      <c r="A16" s="3099" t="s">
        <v>1621</v>
      </c>
      <c r="B16" s="3099"/>
      <c r="C16" s="3099"/>
      <c r="D16" s="3099"/>
    </row>
    <row r="17" spans="1:4" ht="144" customHeight="1">
      <c r="A17" s="3099" t="s">
        <v>1622</v>
      </c>
      <c r="B17" s="3099"/>
      <c r="C17" s="3099"/>
      <c r="D17" s="3099"/>
    </row>
    <row r="18" spans="1:4" ht="15.75" customHeight="1">
      <c r="A18" s="3097" t="str">
        <f>IF(项目基本情况!B8="抵押",'结果表-办公'!K120,"——")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7"/>
      <c r="C20" s="3097"/>
      <c r="D20" s="3097"/>
    </row>
    <row r="21" spans="1:4" ht="57.75" customHeight="1">
      <c r="A21" s="3100"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1623</v>
      </c>
      <c r="B22" s="3101"/>
      <c r="C22" s="3101"/>
      <c r="D22" s="3101"/>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8">
        <v>42551</v>
      </c>
      <c r="D31" s="30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11" t="s">
        <v>1634</v>
      </c>
      <c r="B15" s="3106" t="s">
        <v>136</v>
      </c>
      <c r="C15" s="3107"/>
    </row>
    <row r="16" spans="1:7" ht="13.5">
      <c r="A16" s="3112"/>
      <c r="B16" s="3106" t="s">
        <v>69</v>
      </c>
      <c r="C16" s="3107"/>
    </row>
    <row r="17" spans="1:3" ht="13.5">
      <c r="A17" s="3112"/>
      <c r="B17" s="3109" t="s">
        <v>1635</v>
      </c>
      <c r="C17" s="1719" t="s">
        <v>1634</v>
      </c>
    </row>
    <row r="18" spans="1:3" ht="13.5">
      <c r="A18" s="3112"/>
      <c r="B18" s="3109"/>
      <c r="C18" s="1719" t="s">
        <v>1636</v>
      </c>
    </row>
    <row r="19" spans="1:3" ht="13.5">
      <c r="A19" s="3112"/>
      <c r="B19" s="3109"/>
      <c r="C19" s="1719" t="s">
        <v>1637</v>
      </c>
    </row>
    <row r="20" spans="1:3" ht="13.5">
      <c r="A20" s="3113"/>
      <c r="B20" s="3108" t="s">
        <v>1638</v>
      </c>
      <c r="C20" s="3107"/>
    </row>
    <row r="21" spans="1:3" ht="13.5">
      <c r="A21" s="1720" t="s">
        <v>1639</v>
      </c>
      <c r="B21" s="1721"/>
      <c r="C21" s="1722"/>
    </row>
    <row r="22" spans="1:3" ht="13.5">
      <c r="A22" s="3110" t="s">
        <v>1640</v>
      </c>
      <c r="B22" s="3108" t="s">
        <v>1641</v>
      </c>
      <c r="C22" s="3107"/>
    </row>
    <row r="23" spans="1:3" ht="13.5">
      <c r="A23" s="3110"/>
      <c r="B23" s="3108" t="s">
        <v>1642</v>
      </c>
      <c r="C23" s="3107"/>
    </row>
    <row r="24" spans="1:3" ht="13.5">
      <c r="A24" s="3110"/>
      <c r="B24" s="3108" t="s">
        <v>1643</v>
      </c>
      <c r="C24" s="3107"/>
    </row>
    <row r="25" spans="1:3" ht="13.5">
      <c r="A25" s="3110"/>
      <c r="B25" s="3109" t="s">
        <v>1644</v>
      </c>
      <c r="C25" s="1719" t="s">
        <v>1645</v>
      </c>
    </row>
    <row r="26" spans="1:3" ht="13.5">
      <c r="A26" s="3110"/>
      <c r="B26" s="3109"/>
      <c r="C26" s="1719" t="s">
        <v>1646</v>
      </c>
    </row>
    <row r="27" spans="1:3" ht="13.5">
      <c r="A27" s="3110"/>
      <c r="B27" s="3109"/>
      <c r="C27" s="1719" t="s">
        <v>1647</v>
      </c>
    </row>
    <row r="28" spans="1:3" ht="13.5">
      <c r="A28" s="3110"/>
      <c r="B28" s="3109"/>
      <c r="C28" s="1719" t="s">
        <v>1648</v>
      </c>
    </row>
    <row r="29" spans="1:3" ht="13.5">
      <c r="A29" s="3110"/>
      <c r="B29" s="3109"/>
      <c r="C29" s="1719" t="s">
        <v>1649</v>
      </c>
    </row>
    <row r="30" spans="1:3" ht="13.5">
      <c r="A30" s="3110"/>
      <c r="B30" s="3109"/>
      <c r="C30" s="1719" t="s">
        <v>1650</v>
      </c>
    </row>
    <row r="31" spans="1:3" ht="13.5">
      <c r="A31" s="3110"/>
      <c r="B31" s="3109"/>
      <c r="C31" s="1719" t="s">
        <v>1651</v>
      </c>
    </row>
    <row r="32" spans="1:3" ht="13.5">
      <c r="A32" s="3110"/>
      <c r="B32" s="3109"/>
      <c r="C32" s="1719" t="s">
        <v>1652</v>
      </c>
    </row>
    <row r="33" spans="1:3" ht="13.5">
      <c r="A33" s="3110"/>
      <c r="B33" s="3109"/>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44231</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14" t="s">
        <v>2902</v>
      </c>
      <c r="B17" s="3114"/>
      <c r="C17" s="3114"/>
      <c r="D17" s="3114"/>
      <c r="E17" s="3114"/>
      <c r="F17" s="3114"/>
      <c r="G17" s="3114"/>
      <c r="H17" s="3114"/>
    </row>
    <row r="18" spans="1:8" ht="24" customHeight="1">
      <c r="A18" s="3115" t="s">
        <v>2903</v>
      </c>
      <c r="B18" s="3115"/>
      <c r="C18" s="3115"/>
      <c r="D18" s="2568"/>
      <c r="E18" s="3116" t="s">
        <v>2904</v>
      </c>
      <c r="F18" s="3115"/>
      <c r="G18" s="3115"/>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假设开发法</vt:lpstr>
      <vt:lpstr>比较法-办公</vt:lpstr>
      <vt:lpstr>收益法-办公</vt:lpstr>
      <vt:lpstr>结果表-车库</vt:lpstr>
      <vt:lpstr>成本法 (元)</vt:lpstr>
      <vt:lpstr>基准地价修正</vt:lpstr>
      <vt:lpstr>比较法-车位</vt:lpstr>
      <vt:lpstr>收益法-车库</vt:lpstr>
      <vt:lpstr>收益法（汇总）</vt:lpstr>
      <vt:lpstr>酒店收入计算</vt:lpstr>
      <vt:lpstr>比较法-住宅</vt:lpstr>
      <vt:lpstr>比较法-商业</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'收益法（汇总）'!Print_Area</vt:lpstr>
      <vt:lpstr>'收益法-办公'!Print_Area</vt:lpstr>
      <vt:lpstr>'收益法-车库'!Print_Area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2021-02-04T12:34:18Z</dcterms:modified>
</cp:coreProperties>
</file>