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10"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O35" i="68" l="1"/>
  <c r="O83" i="68" s="1"/>
  <c r="O34" i="68"/>
  <c r="O82" i="68" s="1"/>
  <c r="O33" i="68"/>
  <c r="O81" i="68" s="1"/>
  <c r="O32" i="68"/>
  <c r="O80" i="68" s="1"/>
  <c r="O31" i="68"/>
  <c r="O79" i="68" s="1"/>
  <c r="O30" i="68"/>
  <c r="O78" i="68" s="1"/>
  <c r="O29" i="68"/>
  <c r="O77" i="68" s="1"/>
  <c r="O28" i="68"/>
  <c r="O76" i="68" s="1"/>
  <c r="O27" i="68"/>
  <c r="O75" i="68" s="1"/>
  <c r="O26" i="68"/>
  <c r="O74" i="68" s="1"/>
  <c r="O25" i="68"/>
  <c r="O73" i="68" s="1"/>
  <c r="O24" i="68"/>
  <c r="O72" i="68" s="1"/>
  <c r="N45" i="68" l="1"/>
  <c r="N47" i="68"/>
  <c r="N49" i="68"/>
  <c r="N53" i="68"/>
  <c r="N55" i="68"/>
  <c r="N57" i="68"/>
  <c r="N44" i="68"/>
  <c r="N46" i="68"/>
  <c r="N48" i="68"/>
  <c r="N52" i="68"/>
  <c r="N54" i="68"/>
  <c r="N56" i="68"/>
  <c r="I149" i="68" l="1"/>
  <c r="I150" i="68"/>
  <c r="I152" i="68"/>
  <c r="I153" i="68"/>
  <c r="I154" i="68"/>
  <c r="I155" i="68"/>
  <c r="I156" i="68"/>
  <c r="I157" i="68"/>
  <c r="I158" i="68"/>
  <c r="I159" i="68"/>
  <c r="I160" i="68"/>
  <c r="I161" i="68"/>
  <c r="I162" i="68"/>
  <c r="I163" i="68"/>
  <c r="I164" i="68"/>
  <c r="I165" i="68"/>
  <c r="I166" i="68"/>
  <c r="I167" i="68"/>
  <c r="I148" i="68"/>
  <c r="G149" i="68"/>
  <c r="G150" i="68"/>
  <c r="G153" i="68"/>
  <c r="G154" i="68"/>
  <c r="G156" i="68"/>
  <c r="G157" i="68"/>
  <c r="G158" i="68"/>
  <c r="G159" i="68"/>
  <c r="G160" i="68"/>
  <c r="G161" i="68"/>
  <c r="G163" i="68"/>
  <c r="G164" i="68"/>
  <c r="G165" i="68"/>
  <c r="G166" i="68"/>
  <c r="G167" i="68"/>
  <c r="G148" i="68"/>
  <c r="E149" i="68"/>
  <c r="E150" i="68"/>
  <c r="E153" i="68"/>
  <c r="E154" i="68"/>
  <c r="E156" i="68"/>
  <c r="E157" i="68"/>
  <c r="E158" i="68"/>
  <c r="E159" i="68"/>
  <c r="E160" i="68"/>
  <c r="E161" i="68"/>
  <c r="E163" i="68"/>
  <c r="E164" i="68"/>
  <c r="E165" i="68"/>
  <c r="E166" i="68"/>
  <c r="E167" i="68"/>
  <c r="E148" i="68"/>
  <c r="C158" i="68"/>
  <c r="J138" i="68"/>
  <c r="J137" i="68"/>
  <c r="J136" i="68"/>
  <c r="J135" i="68"/>
  <c r="J134" i="68"/>
  <c r="J133" i="68"/>
  <c r="J132" i="68"/>
  <c r="J130" i="68"/>
  <c r="J129" i="68"/>
  <c r="J128" i="68"/>
  <c r="H138" i="68"/>
  <c r="H137" i="68"/>
  <c r="H136" i="68"/>
  <c r="H135" i="68"/>
  <c r="H134" i="68"/>
  <c r="H133" i="68"/>
  <c r="H132" i="68"/>
  <c r="H130" i="68"/>
  <c r="H129" i="68"/>
  <c r="H128" i="68"/>
  <c r="J143" i="68"/>
  <c r="J142" i="68"/>
  <c r="J141" i="68"/>
  <c r="J140" i="68"/>
  <c r="J139" i="68"/>
  <c r="H143" i="68"/>
  <c r="H142" i="68"/>
  <c r="H141" i="68"/>
  <c r="H140" i="68"/>
  <c r="H139" i="68"/>
  <c r="F143" i="68"/>
  <c r="F142" i="68"/>
  <c r="F141" i="68"/>
  <c r="F140" i="68"/>
  <c r="F139" i="68"/>
  <c r="F138" i="68"/>
  <c r="F137" i="68"/>
  <c r="F136" i="68"/>
  <c r="F135" i="68"/>
  <c r="F134" i="68"/>
  <c r="F133" i="68"/>
  <c r="F132" i="68"/>
  <c r="F130" i="68"/>
  <c r="F129" i="68"/>
  <c r="F128" i="68"/>
  <c r="J127" i="68"/>
  <c r="H127" i="68"/>
  <c r="F127" i="68"/>
  <c r="J126" i="68"/>
  <c r="H126" i="68"/>
  <c r="F126" i="68"/>
  <c r="D143" i="68"/>
  <c r="D142" i="68"/>
  <c r="D141" i="68"/>
  <c r="D140" i="68"/>
  <c r="D139" i="68"/>
  <c r="D137" i="68"/>
  <c r="D136" i="68"/>
  <c r="D135" i="68"/>
  <c r="D134" i="68"/>
  <c r="D127" i="68"/>
  <c r="D126" i="68"/>
  <c r="C143" i="68"/>
  <c r="C167" i="68" s="1"/>
  <c r="C142" i="68"/>
  <c r="C166" i="68" s="1"/>
  <c r="C141" i="68"/>
  <c r="C165" i="68" s="1"/>
  <c r="C140" i="68"/>
  <c r="C164" i="68" s="1"/>
  <c r="C139" i="68"/>
  <c r="C163" i="68" s="1"/>
  <c r="C138" i="68"/>
  <c r="C162" i="68" s="1"/>
  <c r="C137" i="68"/>
  <c r="C161" i="68" s="1"/>
  <c r="C136" i="68"/>
  <c r="C160" i="68" s="1"/>
  <c r="C135" i="68"/>
  <c r="C159" i="68" s="1"/>
  <c r="C133" i="68"/>
  <c r="C157" i="68" s="1"/>
  <c r="C132" i="68"/>
  <c r="C156" i="68" s="1"/>
  <c r="C131" i="68"/>
  <c r="C155" i="68" s="1"/>
  <c r="C130" i="68"/>
  <c r="C154" i="68" s="1"/>
  <c r="C129" i="68"/>
  <c r="C153" i="68" s="1"/>
  <c r="J124" i="68"/>
  <c r="H124" i="68"/>
  <c r="F124" i="68"/>
  <c r="D124" i="68"/>
  <c r="H115" i="68" l="1"/>
  <c r="F115" i="68"/>
  <c r="D115" i="68"/>
  <c r="I96" i="68"/>
  <c r="I97" i="68"/>
  <c r="I101" i="68"/>
  <c r="I102" i="68"/>
  <c r="I103" i="68"/>
  <c r="I104" i="68"/>
  <c r="I105" i="68"/>
  <c r="I106" i="68"/>
  <c r="I107" i="68"/>
  <c r="I110" i="68"/>
  <c r="I111" i="68"/>
  <c r="I113" i="68"/>
  <c r="I95" i="68"/>
  <c r="G96" i="68"/>
  <c r="G97" i="68"/>
  <c r="G101" i="68"/>
  <c r="G103" i="68"/>
  <c r="G104" i="68"/>
  <c r="G105" i="68"/>
  <c r="G107" i="68"/>
  <c r="G110" i="68"/>
  <c r="G111" i="68"/>
  <c r="G113" i="68"/>
  <c r="G95" i="68"/>
  <c r="E96" i="68"/>
  <c r="E97" i="68"/>
  <c r="E101" i="68"/>
  <c r="E103" i="68"/>
  <c r="E104" i="68"/>
  <c r="E105" i="68"/>
  <c r="E107" i="68"/>
  <c r="E110" i="68"/>
  <c r="E111" i="68"/>
  <c r="E113" i="68"/>
  <c r="E114" i="68"/>
  <c r="E95" i="68"/>
  <c r="C112" i="68"/>
  <c r="J90" i="68"/>
  <c r="H90" i="68"/>
  <c r="F90" i="68"/>
  <c r="J89" i="68"/>
  <c r="H89" i="68"/>
  <c r="F89" i="68"/>
  <c r="J88" i="68"/>
  <c r="H88" i="68"/>
  <c r="F88" i="68"/>
  <c r="J87" i="68"/>
  <c r="H87" i="68"/>
  <c r="F87" i="68"/>
  <c r="J86" i="68"/>
  <c r="H86" i="68"/>
  <c r="F86" i="68"/>
  <c r="J85" i="68"/>
  <c r="H85" i="68"/>
  <c r="F85" i="68"/>
  <c r="J84" i="68"/>
  <c r="H84" i="68"/>
  <c r="F84" i="68"/>
  <c r="J83" i="68"/>
  <c r="H83" i="68"/>
  <c r="F83" i="68"/>
  <c r="J82" i="68"/>
  <c r="H82" i="68"/>
  <c r="F82" i="68"/>
  <c r="J81" i="68"/>
  <c r="H81" i="68"/>
  <c r="F81" i="68"/>
  <c r="J80" i="68"/>
  <c r="H80" i="68"/>
  <c r="F80" i="68"/>
  <c r="J79" i="68"/>
  <c r="H79" i="68"/>
  <c r="F79" i="68"/>
  <c r="J78" i="68"/>
  <c r="J77" i="68"/>
  <c r="H77" i="68"/>
  <c r="F77" i="68"/>
  <c r="J76" i="68"/>
  <c r="J75" i="68"/>
  <c r="H75" i="68"/>
  <c r="F75" i="68"/>
  <c r="J74" i="68"/>
  <c r="H74" i="68"/>
  <c r="F74" i="68"/>
  <c r="J73" i="68"/>
  <c r="H73" i="68"/>
  <c r="F73" i="68"/>
  <c r="D90" i="68"/>
  <c r="D89" i="68"/>
  <c r="D88" i="68"/>
  <c r="D87" i="68"/>
  <c r="D86" i="68"/>
  <c r="D85" i="68"/>
  <c r="D84" i="68"/>
  <c r="D83" i="68"/>
  <c r="D82" i="68"/>
  <c r="D81" i="68"/>
  <c r="D75" i="68"/>
  <c r="D74" i="68"/>
  <c r="D73" i="68"/>
  <c r="C89" i="68"/>
  <c r="C113" i="68" s="1"/>
  <c r="C87" i="68"/>
  <c r="C111" i="68" s="1"/>
  <c r="C86" i="68"/>
  <c r="C110" i="68" s="1"/>
  <c r="C85" i="68"/>
  <c r="C109" i="68" s="1"/>
  <c r="C84" i="68"/>
  <c r="C108" i="68" s="1"/>
  <c r="C83" i="68"/>
  <c r="C107" i="68" s="1"/>
  <c r="C82" i="68"/>
  <c r="C106" i="68" s="1"/>
  <c r="C81" i="68"/>
  <c r="C105" i="68" s="1"/>
  <c r="C80" i="68"/>
  <c r="C104" i="68" s="1"/>
  <c r="C79" i="68"/>
  <c r="C103" i="68" s="1"/>
  <c r="C78" i="68"/>
  <c r="C102" i="68" s="1"/>
  <c r="C77" i="68"/>
  <c r="C101" i="68" s="1"/>
  <c r="C76" i="68"/>
  <c r="C100" i="68" s="1"/>
  <c r="B72" i="68"/>
  <c r="B96" i="68" s="1"/>
  <c r="B125" i="68" s="1"/>
  <c r="B149" i="68" s="1"/>
  <c r="B73" i="68"/>
  <c r="B97" i="68" s="1"/>
  <c r="B126" i="68" s="1"/>
  <c r="B150" i="68" s="1"/>
  <c r="B74" i="68"/>
  <c r="B98" i="68" s="1"/>
  <c r="B127" i="68" s="1"/>
  <c r="B151" i="68" s="1"/>
  <c r="B75" i="68"/>
  <c r="B99" i="68" s="1"/>
  <c r="B128" i="68" s="1"/>
  <c r="B152" i="68" s="1"/>
  <c r="B71" i="68"/>
  <c r="B95" i="68" s="1"/>
  <c r="B124" i="68" s="1"/>
  <c r="B148" i="68" s="1"/>
  <c r="H61" i="68"/>
  <c r="F61" i="68"/>
  <c r="D61" i="68"/>
  <c r="I44" i="68"/>
  <c r="I45" i="68"/>
  <c r="I48" i="68"/>
  <c r="S70" i="68" s="1"/>
  <c r="I49" i="68"/>
  <c r="S71" i="68" s="1"/>
  <c r="I50" i="68"/>
  <c r="I51" i="68"/>
  <c r="I52" i="68"/>
  <c r="I53" i="68"/>
  <c r="I54" i="68"/>
  <c r="I58" i="68"/>
  <c r="I43" i="68"/>
  <c r="S66" i="68" s="1"/>
  <c r="G44" i="68"/>
  <c r="G45" i="68"/>
  <c r="G50" i="68"/>
  <c r="G51" i="68"/>
  <c r="G52" i="68"/>
  <c r="G54" i="68"/>
  <c r="G58" i="68"/>
  <c r="E44" i="68"/>
  <c r="Q67" i="68" s="1"/>
  <c r="E45" i="68"/>
  <c r="E50" i="68"/>
  <c r="E51" i="68"/>
  <c r="E52" i="68"/>
  <c r="E54" i="68"/>
  <c r="E58" i="68"/>
  <c r="B45" i="68"/>
  <c r="B46" i="68"/>
  <c r="B47" i="68"/>
  <c r="J36" i="68"/>
  <c r="J35" i="68"/>
  <c r="J33" i="68"/>
  <c r="J32" i="68"/>
  <c r="S30" i="68" s="1"/>
  <c r="J31" i="68"/>
  <c r="J29" i="68"/>
  <c r="J28" i="68"/>
  <c r="J27" i="68"/>
  <c r="J26" i="68"/>
  <c r="J25" i="68"/>
  <c r="J24" i="68"/>
  <c r="J23" i="68"/>
  <c r="H36" i="68"/>
  <c r="H35" i="68"/>
  <c r="H33" i="68"/>
  <c r="H32" i="68"/>
  <c r="R30" i="68" s="1"/>
  <c r="H31" i="68"/>
  <c r="H29" i="68"/>
  <c r="H28" i="68"/>
  <c r="H27" i="68"/>
  <c r="H26" i="68"/>
  <c r="H25" i="68"/>
  <c r="H24" i="68"/>
  <c r="H23" i="68"/>
  <c r="F32" i="68"/>
  <c r="Q30" i="68" s="1"/>
  <c r="F36" i="68"/>
  <c r="F35" i="68"/>
  <c r="J34" i="68"/>
  <c r="H34" i="68"/>
  <c r="F34" i="68"/>
  <c r="F33" i="68"/>
  <c r="F31" i="68"/>
  <c r="J30" i="68"/>
  <c r="H30" i="68"/>
  <c r="F30" i="68"/>
  <c r="F29" i="68"/>
  <c r="F28" i="68"/>
  <c r="F27" i="68"/>
  <c r="F26" i="68"/>
  <c r="F25" i="68"/>
  <c r="F24" i="68"/>
  <c r="F23" i="68"/>
  <c r="J22" i="68"/>
  <c r="H22" i="68"/>
  <c r="F22" i="68"/>
  <c r="Q21" i="68" s="1"/>
  <c r="J21" i="68"/>
  <c r="H21" i="68"/>
  <c r="F21" i="68"/>
  <c r="J20" i="68"/>
  <c r="H20" i="68"/>
  <c r="F20" i="68"/>
  <c r="D36" i="68"/>
  <c r="D35" i="68"/>
  <c r="D34" i="68"/>
  <c r="D33" i="68"/>
  <c r="D31" i="68"/>
  <c r="D30" i="68"/>
  <c r="D29" i="68"/>
  <c r="D28" i="68"/>
  <c r="D27" i="68"/>
  <c r="D26" i="68"/>
  <c r="D25" i="68"/>
  <c r="D24" i="68"/>
  <c r="D21" i="68"/>
  <c r="B20" i="68"/>
  <c r="B44" i="68" s="1"/>
  <c r="D20" i="68"/>
  <c r="C36" i="68"/>
  <c r="C60" i="68" s="1"/>
  <c r="C35" i="68"/>
  <c r="C59" i="68" s="1"/>
  <c r="C34" i="68"/>
  <c r="C58" i="68" s="1"/>
  <c r="C33" i="68"/>
  <c r="C57" i="68" s="1"/>
  <c r="C32" i="68"/>
  <c r="C56" i="68" s="1"/>
  <c r="C31" i="68"/>
  <c r="C55" i="68" s="1"/>
  <c r="C30" i="68"/>
  <c r="C54" i="68" s="1"/>
  <c r="C29" i="68"/>
  <c r="C53" i="68" s="1"/>
  <c r="C28" i="68"/>
  <c r="C52" i="68" s="1"/>
  <c r="C27" i="68"/>
  <c r="C51" i="68" s="1"/>
  <c r="C26" i="68"/>
  <c r="C50" i="68" s="1"/>
  <c r="C25" i="68"/>
  <c r="C24" i="68"/>
  <c r="B19" i="68"/>
  <c r="B43" i="68" s="1"/>
  <c r="C106" i="9"/>
  <c r="C49" i="68" l="1"/>
  <c r="O23" i="68"/>
  <c r="C48" i="68"/>
  <c r="O22" i="68"/>
  <c r="R21" i="68"/>
  <c r="S21" i="68"/>
  <c r="K23" i="33"/>
  <c r="K19" i="33"/>
  <c r="K17" i="33"/>
  <c r="K15" i="33"/>
  <c r="K23" i="21"/>
  <c r="K19" i="21"/>
  <c r="K17" i="21"/>
  <c r="K15" i="21"/>
  <c r="O70" i="68" l="1"/>
  <c r="N42" i="68"/>
  <c r="O71" i="68"/>
  <c r="N43" i="68"/>
  <c r="C40" i="39"/>
  <c r="D32" i="68" s="1"/>
  <c r="P30" i="68" s="1"/>
  <c r="I20" i="33"/>
  <c r="J131" i="68" s="1"/>
  <c r="G20" i="33"/>
  <c r="H131" i="68" s="1"/>
  <c r="E20" i="33"/>
  <c r="F131" i="68" s="1"/>
  <c r="I20" i="21"/>
  <c r="G20" i="21"/>
  <c r="H78" i="68" s="1"/>
  <c r="E20" i="21"/>
  <c r="F78" i="68" s="1"/>
  <c r="G16" i="21"/>
  <c r="H76" i="68" s="1"/>
  <c r="E16" i="21"/>
  <c r="F76" i="68" s="1"/>
  <c r="E47" i="33" l="1"/>
  <c r="D168" i="68" s="1"/>
  <c r="I47" i="33"/>
  <c r="H168" i="68" s="1"/>
  <c r="G47" i="33"/>
  <c r="F168" i="68" s="1"/>
  <c r="C33" i="33"/>
  <c r="D138" i="68" s="1"/>
  <c r="C24" i="33"/>
  <c r="D133" i="68" s="1"/>
  <c r="C22" i="33"/>
  <c r="D132" i="68" s="1"/>
  <c r="C20" i="33"/>
  <c r="D131" i="68" s="1"/>
  <c r="C18" i="33"/>
  <c r="D130" i="68" s="1"/>
  <c r="C16" i="33"/>
  <c r="D129" i="68" s="1"/>
  <c r="K11" i="33"/>
  <c r="C11" i="33"/>
  <c r="D128" i="68" s="1"/>
  <c r="B44" i="21"/>
  <c r="C90" i="68" s="1"/>
  <c r="C114" i="68" s="1"/>
  <c r="C24" i="21"/>
  <c r="D80" i="68" s="1"/>
  <c r="C22" i="21"/>
  <c r="D79" i="68" s="1"/>
  <c r="C20" i="21"/>
  <c r="D78" i="68" s="1"/>
  <c r="C18" i="21"/>
  <c r="D77" i="68" s="1"/>
  <c r="C16" i="21"/>
  <c r="D76" i="68" s="1"/>
  <c r="F20" i="6"/>
  <c r="F19" i="6"/>
  <c r="AL13" i="3"/>
  <c r="M13" i="3"/>
  <c r="G21" i="6" s="1"/>
  <c r="D73" i="39"/>
  <c r="E73" i="39" s="1"/>
  <c r="F73" i="39" s="1"/>
  <c r="G73" i="39" s="1"/>
  <c r="H73" i="39" s="1"/>
  <c r="I73" i="39" s="1"/>
  <c r="D10" i="68"/>
  <c r="C12" i="39"/>
  <c r="D22" i="68" s="1"/>
  <c r="P21" i="68" s="1"/>
  <c r="B27" i="1"/>
  <c r="B28" i="1" s="1"/>
  <c r="C3" i="65" l="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H34" i="36" s="1"/>
  <c r="AB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H9" i="36" s="1"/>
  <c r="I42" i="36"/>
  <c r="J42" i="36" s="1"/>
  <c r="G42" i="36"/>
  <c r="H42" i="36" s="1"/>
  <c r="E42" i="36"/>
  <c r="F42" i="36" s="1"/>
  <c r="P37" i="36"/>
  <c r="P36" i="36"/>
  <c r="V35" i="36"/>
  <c r="T35" i="36"/>
  <c r="R35" i="36"/>
  <c r="P35" i="36"/>
  <c r="Q34" i="36"/>
  <c r="Z34" i="36" s="1"/>
  <c r="Q33" i="36"/>
  <c r="Z33" i="36" s="1"/>
  <c r="J33" i="36"/>
  <c r="AC33" i="36" s="1"/>
  <c r="H33" i="36"/>
  <c r="AB33" i="36" s="1"/>
  <c r="F33" i="36"/>
  <c r="AA33" i="36" s="1"/>
  <c r="Q32" i="36"/>
  <c r="Z32" i="36" s="1"/>
  <c r="Q31" i="36"/>
  <c r="Z31" i="36" s="1"/>
  <c r="J31" i="36"/>
  <c r="W31" i="36" s="1"/>
  <c r="H31" i="36"/>
  <c r="AB31" i="36" s="1"/>
  <c r="F31" i="36"/>
  <c r="AA31" i="36" s="1"/>
  <c r="U30" i="36"/>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W27" i="36" s="1"/>
  <c r="H27" i="36"/>
  <c r="AB27" i="36" s="1"/>
  <c r="F27" i="36"/>
  <c r="AA27" i="36" s="1"/>
  <c r="U26" i="36"/>
  <c r="Q26" i="36"/>
  <c r="Z26" i="36" s="1"/>
  <c r="J26" i="36"/>
  <c r="AC26" i="36" s="1"/>
  <c r="H26" i="36"/>
  <c r="AB26" i="36" s="1"/>
  <c r="F26" i="36"/>
  <c r="AA26" i="36" s="1"/>
  <c r="Q25" i="36"/>
  <c r="Z25" i="36" s="1"/>
  <c r="J25" i="36"/>
  <c r="AC25" i="36" s="1"/>
  <c r="H25" i="36"/>
  <c r="AB25" i="36" s="1"/>
  <c r="F25" i="36"/>
  <c r="AA25" i="36" s="1"/>
  <c r="Q24" i="36"/>
  <c r="Z24" i="36" s="1"/>
  <c r="H24" i="36"/>
  <c r="AB24" i="36" s="1"/>
  <c r="Q23" i="36"/>
  <c r="Z23" i="36" s="1"/>
  <c r="J23" i="36"/>
  <c r="AC23" i="36" s="1"/>
  <c r="H23" i="36"/>
  <c r="AB23" i="36" s="1"/>
  <c r="F23" i="36"/>
  <c r="AA23" i="36" s="1"/>
  <c r="U22" i="36"/>
  <c r="Q22" i="36"/>
  <c r="Z22" i="36" s="1"/>
  <c r="J22" i="36"/>
  <c r="AC22" i="36" s="1"/>
  <c r="H22" i="36"/>
  <c r="AB22" i="36" s="1"/>
  <c r="F22" i="36"/>
  <c r="AA22" i="36" s="1"/>
  <c r="Q20" i="36"/>
  <c r="Z20" i="36" s="1"/>
  <c r="J20" i="36"/>
  <c r="AC20" i="36" s="1"/>
  <c r="H20" i="36"/>
  <c r="AB20" i="36" s="1"/>
  <c r="F20" i="36"/>
  <c r="AA20" i="36" s="1"/>
  <c r="C20" i="36"/>
  <c r="AC18" i="36"/>
  <c r="Q18" i="36"/>
  <c r="Z18" i="36" s="1"/>
  <c r="J18" i="36"/>
  <c r="W18" i="36" s="1"/>
  <c r="H18" i="36"/>
  <c r="AB18" i="36" s="1"/>
  <c r="F18" i="36"/>
  <c r="AA18" i="36" s="1"/>
  <c r="C18" i="36"/>
  <c r="Q16" i="36"/>
  <c r="Z16" i="36" s="1"/>
  <c r="J16" i="36"/>
  <c r="AC16" i="36" s="1"/>
  <c r="H16" i="36"/>
  <c r="AB16" i="36" s="1"/>
  <c r="F16" i="36"/>
  <c r="AA16" i="36" s="1"/>
  <c r="C16" i="36"/>
  <c r="AC14" i="36"/>
  <c r="Q14" i="36"/>
  <c r="Z14" i="36" s="1"/>
  <c r="J14" i="36"/>
  <c r="W14" i="36" s="1"/>
  <c r="H14" i="36"/>
  <c r="AB14" i="36" s="1"/>
  <c r="F14" i="36"/>
  <c r="AA14" i="36" s="1"/>
  <c r="C14" i="36"/>
  <c r="Q13" i="36"/>
  <c r="Z13" i="36" s="1"/>
  <c r="J13" i="36"/>
  <c r="AC13" i="36" s="1"/>
  <c r="H13" i="36"/>
  <c r="AB13" i="36" s="1"/>
  <c r="F13" i="36"/>
  <c r="AA13" i="36" s="1"/>
  <c r="Q12" i="36"/>
  <c r="Z12" i="36" s="1"/>
  <c r="H12" i="36"/>
  <c r="AB12" i="36" s="1"/>
  <c r="Q11" i="36"/>
  <c r="Z11" i="36" s="1"/>
  <c r="J11" i="36"/>
  <c r="AC11" i="36" s="1"/>
  <c r="H11" i="36"/>
  <c r="AB11" i="36" s="1"/>
  <c r="F11" i="36"/>
  <c r="AA11" i="36" s="1"/>
  <c r="U10" i="36"/>
  <c r="Q10" i="36"/>
  <c r="Z10" i="36" s="1"/>
  <c r="J10" i="36"/>
  <c r="AC10" i="36" s="1"/>
  <c r="H10" i="36"/>
  <c r="AB10" i="36" s="1"/>
  <c r="F10" i="36"/>
  <c r="AA10" i="36" s="1"/>
  <c r="Q9" i="36"/>
  <c r="Z9" i="36" s="1"/>
  <c r="J9" i="36"/>
  <c r="AC9" i="36" s="1"/>
  <c r="S8" i="36"/>
  <c r="J8" i="36"/>
  <c r="AC8" i="36" s="1"/>
  <c r="H8" i="36"/>
  <c r="U8" i="36" s="1"/>
  <c r="F8" i="36"/>
  <c r="AA8" i="36" s="1"/>
  <c r="D3" i="36"/>
  <c r="B101" i="35"/>
  <c r="B99" i="35"/>
  <c r="H35" i="35" s="1"/>
  <c r="AB35" i="35" s="1"/>
  <c r="B97" i="35"/>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E84" i="35"/>
  <c r="F84" i="35" s="1"/>
  <c r="G84" i="35" s="1"/>
  <c r="H84" i="35" s="1"/>
  <c r="I84" i="35" s="1"/>
  <c r="J84" i="35" s="1"/>
  <c r="K84" i="35" s="1"/>
  <c r="L84" i="35" s="1"/>
  <c r="M84" i="35" s="1"/>
  <c r="D84" i="35"/>
  <c r="D80" i="35"/>
  <c r="E80" i="35" s="1"/>
  <c r="F80" i="35" s="1"/>
  <c r="G80" i="35" s="1"/>
  <c r="H80" i="35" s="1"/>
  <c r="I80" i="35" s="1"/>
  <c r="J80" i="35" s="1"/>
  <c r="K80" i="35" s="1"/>
  <c r="L80" i="35" s="1"/>
  <c r="M80" i="35" s="1"/>
  <c r="B77" i="35"/>
  <c r="H25" i="35" s="1"/>
  <c r="AB25" i="35" s="1"/>
  <c r="B75" i="35"/>
  <c r="B73" i="35"/>
  <c r="H23" i="35" s="1"/>
  <c r="AB23" i="35" s="1"/>
  <c r="D72" i="35"/>
  <c r="E72" i="35" s="1"/>
  <c r="F72" i="35" s="1"/>
  <c r="G72" i="35" s="1"/>
  <c r="E70" i="35"/>
  <c r="F70" i="35" s="1"/>
  <c r="G70" i="35" s="1"/>
  <c r="D70" i="35"/>
  <c r="E68" i="35"/>
  <c r="F68" i="35" s="1"/>
  <c r="G68" i="35" s="1"/>
  <c r="D68" i="35"/>
  <c r="D66" i="35"/>
  <c r="E66" i="35" s="1"/>
  <c r="F66" i="35" s="1"/>
  <c r="G66" i="35" s="1"/>
  <c r="D64" i="35"/>
  <c r="E64" i="35" s="1"/>
  <c r="F64" i="35" s="1"/>
  <c r="G64" i="35" s="1"/>
  <c r="B61" i="35"/>
  <c r="H13" i="35" s="1"/>
  <c r="B59" i="35"/>
  <c r="H12" i="35" s="1"/>
  <c r="B57" i="35"/>
  <c r="H11" i="35" s="1"/>
  <c r="F56" i="35"/>
  <c r="G56" i="35" s="1"/>
  <c r="H56" i="35" s="1"/>
  <c r="I56" i="35" s="1"/>
  <c r="C53" i="35"/>
  <c r="J44" i="35"/>
  <c r="I44" i="35"/>
  <c r="H44" i="35"/>
  <c r="G44" i="35"/>
  <c r="F44" i="35"/>
  <c r="E44" i="35"/>
  <c r="P39" i="35"/>
  <c r="P38" i="35"/>
  <c r="V37" i="35"/>
  <c r="T37" i="35"/>
  <c r="R37" i="35"/>
  <c r="P37" i="35"/>
  <c r="AC36" i="35"/>
  <c r="Q36" i="35"/>
  <c r="Z36" i="35" s="1"/>
  <c r="J36" i="35"/>
  <c r="W36" i="35" s="1"/>
  <c r="H36" i="35"/>
  <c r="AB36" i="35" s="1"/>
  <c r="F36" i="35"/>
  <c r="AA36" i="35" s="1"/>
  <c r="Q35" i="35"/>
  <c r="Z35" i="35" s="1"/>
  <c r="Q34" i="35"/>
  <c r="Z34" i="35" s="1"/>
  <c r="J34" i="35"/>
  <c r="AC34" i="35" s="1"/>
  <c r="H34" i="35"/>
  <c r="AB34" i="35" s="1"/>
  <c r="F34" i="35"/>
  <c r="AA34" i="35" s="1"/>
  <c r="Q33" i="35"/>
  <c r="Z33" i="35" s="1"/>
  <c r="J33" i="35"/>
  <c r="AC33" i="35" s="1"/>
  <c r="H33" i="35"/>
  <c r="AB33" i="35" s="1"/>
  <c r="F33" i="35"/>
  <c r="AA33" i="35" s="1"/>
  <c r="AC32" i="35"/>
  <c r="Q32" i="35"/>
  <c r="Z32" i="35" s="1"/>
  <c r="J32" i="35"/>
  <c r="W32" i="35" s="1"/>
  <c r="H32" i="35"/>
  <c r="AB32" i="35" s="1"/>
  <c r="F32" i="35"/>
  <c r="AA32" i="35" s="1"/>
  <c r="Q31" i="35"/>
  <c r="Z31" i="35" s="1"/>
  <c r="J31" i="35"/>
  <c r="AC31" i="35" s="1"/>
  <c r="H31" i="35"/>
  <c r="AB31" i="35" s="1"/>
  <c r="F31" i="35"/>
  <c r="AA31" i="35" s="1"/>
  <c r="Q30" i="35"/>
  <c r="Z30" i="35" s="1"/>
  <c r="J30" i="35"/>
  <c r="AC30" i="35" s="1"/>
  <c r="H30" i="35"/>
  <c r="AB30" i="35" s="1"/>
  <c r="F30" i="35"/>
  <c r="Z29" i="35"/>
  <c r="Q29" i="35"/>
  <c r="J29" i="35"/>
  <c r="AC29" i="35" s="1"/>
  <c r="H29" i="35"/>
  <c r="F29" i="35"/>
  <c r="AA29" i="35" s="1"/>
  <c r="Q28" i="35"/>
  <c r="Z28" i="35" s="1"/>
  <c r="J28" i="35"/>
  <c r="W28" i="35" s="1"/>
  <c r="H28" i="35"/>
  <c r="AB28" i="35" s="1"/>
  <c r="F28" i="35"/>
  <c r="AA28" i="35" s="1"/>
  <c r="U27" i="35"/>
  <c r="Q27" i="35"/>
  <c r="Z27" i="35" s="1"/>
  <c r="J27" i="35"/>
  <c r="AC27" i="35" s="1"/>
  <c r="H27" i="35"/>
  <c r="AB27" i="35" s="1"/>
  <c r="F27" i="35"/>
  <c r="AA27" i="35" s="1"/>
  <c r="Q26" i="35"/>
  <c r="Z26" i="35" s="1"/>
  <c r="C26" i="35"/>
  <c r="C79" i="35" s="1"/>
  <c r="Q25" i="35"/>
  <c r="Z25" i="35" s="1"/>
  <c r="J25" i="35"/>
  <c r="F25" i="35"/>
  <c r="S25" i="35" s="1"/>
  <c r="Q24" i="35"/>
  <c r="Z24" i="35" s="1"/>
  <c r="H24" i="35"/>
  <c r="AB24" i="35" s="1"/>
  <c r="Q23" i="35"/>
  <c r="Z23" i="35" s="1"/>
  <c r="J23" i="35"/>
  <c r="AC23" i="35" s="1"/>
  <c r="F23" i="35"/>
  <c r="AA23" i="35" s="1"/>
  <c r="U22" i="35"/>
  <c r="Q22" i="35"/>
  <c r="Z22" i="35" s="1"/>
  <c r="J22" i="35"/>
  <c r="AC22" i="35" s="1"/>
  <c r="H22" i="35"/>
  <c r="AB22" i="35" s="1"/>
  <c r="F22" i="35"/>
  <c r="AA22" i="35" s="1"/>
  <c r="Q20" i="35"/>
  <c r="Z20" i="35" s="1"/>
  <c r="J20" i="35"/>
  <c r="H20" i="35"/>
  <c r="AB20" i="35" s="1"/>
  <c r="F20" i="35"/>
  <c r="AA20" i="35" s="1"/>
  <c r="C20" i="35"/>
  <c r="AC18" i="35"/>
  <c r="Q18" i="35"/>
  <c r="Z18" i="35" s="1"/>
  <c r="J18" i="35"/>
  <c r="W18" i="35" s="1"/>
  <c r="H18" i="35"/>
  <c r="AB18" i="35" s="1"/>
  <c r="F18" i="35"/>
  <c r="AA18" i="35" s="1"/>
  <c r="C18" i="35"/>
  <c r="Q16" i="35"/>
  <c r="Z16" i="35" s="1"/>
  <c r="J16" i="35"/>
  <c r="H16" i="35"/>
  <c r="AB16" i="35" s="1"/>
  <c r="F16" i="35"/>
  <c r="AA16" i="35" s="1"/>
  <c r="C16" i="35"/>
  <c r="AC14" i="35"/>
  <c r="Q14" i="35"/>
  <c r="Z14" i="35" s="1"/>
  <c r="J14" i="35"/>
  <c r="W14" i="35" s="1"/>
  <c r="H14" i="35"/>
  <c r="AB14" i="35" s="1"/>
  <c r="F14" i="35"/>
  <c r="AA14" i="35" s="1"/>
  <c r="C14" i="35"/>
  <c r="Q13" i="35"/>
  <c r="Z13" i="35" s="1"/>
  <c r="J13" i="35"/>
  <c r="Q12" i="35"/>
  <c r="Z12" i="35" s="1"/>
  <c r="J12" i="35"/>
  <c r="AC12" i="35" s="1"/>
  <c r="F12" i="35"/>
  <c r="AA12" i="35" s="1"/>
  <c r="Q11" i="35"/>
  <c r="Z11" i="35" s="1"/>
  <c r="J11" i="35"/>
  <c r="U10" i="35"/>
  <c r="Q10" i="35"/>
  <c r="Z10" i="35" s="1"/>
  <c r="J10" i="35"/>
  <c r="AC10" i="35" s="1"/>
  <c r="H10" i="35"/>
  <c r="AB10" i="35" s="1"/>
  <c r="F10" i="35"/>
  <c r="AA10" i="35" s="1"/>
  <c r="Q9" i="35"/>
  <c r="Z9" i="35" s="1"/>
  <c r="J9" i="35"/>
  <c r="H9" i="35"/>
  <c r="AB9" i="35" s="1"/>
  <c r="F9" i="35"/>
  <c r="AA9" i="35" s="1"/>
  <c r="S8" i="35"/>
  <c r="J8" i="35"/>
  <c r="AC8" i="35" s="1"/>
  <c r="H8" i="35"/>
  <c r="U8" i="35" s="1"/>
  <c r="F8" i="35"/>
  <c r="AA8" i="35" s="1"/>
  <c r="D3" i="35"/>
  <c r="B112" i="37"/>
  <c r="B110" i="37"/>
  <c r="H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AB27" i="37" s="1"/>
  <c r="B82" i="37"/>
  <c r="B80" i="37"/>
  <c r="H25" i="37" s="1"/>
  <c r="AB25" i="37" s="1"/>
  <c r="E79" i="37"/>
  <c r="F79" i="37" s="1"/>
  <c r="G79" i="37" s="1"/>
  <c r="D79" i="37"/>
  <c r="E77" i="37"/>
  <c r="F77" i="37" s="1"/>
  <c r="G77" i="37" s="1"/>
  <c r="D77" i="37"/>
  <c r="D75" i="37"/>
  <c r="E75" i="37" s="1"/>
  <c r="F75" i="37" s="1"/>
  <c r="G75" i="37" s="1"/>
  <c r="D73" i="37"/>
  <c r="E73" i="37" s="1"/>
  <c r="F73" i="37" s="1"/>
  <c r="G73" i="37" s="1"/>
  <c r="E71" i="37"/>
  <c r="F71" i="37" s="1"/>
  <c r="G71" i="37" s="1"/>
  <c r="D71" i="37"/>
  <c r="B68" i="37"/>
  <c r="H14" i="37" s="1"/>
  <c r="AB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H9" i="37" s="1"/>
  <c r="I48" i="37"/>
  <c r="J48" i="37" s="1"/>
  <c r="G48" i="37"/>
  <c r="H48" i="37" s="1"/>
  <c r="E48" i="37"/>
  <c r="F48" i="37" s="1"/>
  <c r="P43" i="37"/>
  <c r="P42" i="37"/>
  <c r="V41" i="37"/>
  <c r="T41" i="37"/>
  <c r="R41" i="37"/>
  <c r="P41" i="37"/>
  <c r="Q40" i="37"/>
  <c r="Z40" i="37" s="1"/>
  <c r="J40" i="37"/>
  <c r="AC40" i="37" s="1"/>
  <c r="H40" i="37"/>
  <c r="F40" i="37"/>
  <c r="AA40" i="37" s="1"/>
  <c r="Q39" i="37"/>
  <c r="Z39" i="37" s="1"/>
  <c r="F39" i="37"/>
  <c r="Q38" i="37"/>
  <c r="Z38" i="37" s="1"/>
  <c r="J38" i="37"/>
  <c r="AC38" i="37" s="1"/>
  <c r="H38" i="37"/>
  <c r="F38" i="37"/>
  <c r="AA38" i="37" s="1"/>
  <c r="Q37" i="37"/>
  <c r="Z37" i="37" s="1"/>
  <c r="J37" i="37"/>
  <c r="W37" i="37" s="1"/>
  <c r="H37" i="37"/>
  <c r="AB37" i="37" s="1"/>
  <c r="F37" i="37"/>
  <c r="AA37" i="37" s="1"/>
  <c r="U36" i="37"/>
  <c r="Q36" i="37"/>
  <c r="Z36" i="37" s="1"/>
  <c r="J36" i="37"/>
  <c r="AC36" i="37" s="1"/>
  <c r="H36" i="37"/>
  <c r="AB36" i="37" s="1"/>
  <c r="F36" i="37"/>
  <c r="AA36" i="37" s="1"/>
  <c r="Q35" i="37"/>
  <c r="Z35" i="37" s="1"/>
  <c r="J35" i="37"/>
  <c r="H35" i="37"/>
  <c r="AB35" i="37" s="1"/>
  <c r="F35" i="37"/>
  <c r="S35" i="37" s="1"/>
  <c r="Z34" i="37"/>
  <c r="Q34" i="37"/>
  <c r="J34" i="37"/>
  <c r="AC34" i="37" s="1"/>
  <c r="H34" i="37"/>
  <c r="F34" i="37"/>
  <c r="AA34" i="37" s="1"/>
  <c r="Q33" i="37"/>
  <c r="Z33" i="37" s="1"/>
  <c r="J33" i="37"/>
  <c r="W33" i="37" s="1"/>
  <c r="H33" i="37"/>
  <c r="AB33" i="37" s="1"/>
  <c r="F33" i="37"/>
  <c r="AA33" i="37" s="1"/>
  <c r="U32" i="37"/>
  <c r="Q32" i="37"/>
  <c r="Z32" i="37" s="1"/>
  <c r="J32" i="37"/>
  <c r="AC32" i="37" s="1"/>
  <c r="H32" i="37"/>
  <c r="AB32" i="37" s="1"/>
  <c r="F32" i="37"/>
  <c r="AA32" i="37" s="1"/>
  <c r="Q31" i="37"/>
  <c r="Z31" i="37" s="1"/>
  <c r="J31" i="37"/>
  <c r="H31" i="37"/>
  <c r="AB31" i="37" s="1"/>
  <c r="F31" i="37"/>
  <c r="AA31" i="37" s="1"/>
  <c r="Q30" i="37"/>
  <c r="Z30" i="37" s="1"/>
  <c r="J30" i="37"/>
  <c r="AC30" i="37" s="1"/>
  <c r="H30" i="37"/>
  <c r="F30" i="37"/>
  <c r="AA30" i="37" s="1"/>
  <c r="Q29" i="37"/>
  <c r="Z29" i="37" s="1"/>
  <c r="J29" i="37"/>
  <c r="W29" i="37" s="1"/>
  <c r="H29" i="37"/>
  <c r="AB29" i="37" s="1"/>
  <c r="F29" i="37"/>
  <c r="AA29" i="37" s="1"/>
  <c r="Q28" i="37"/>
  <c r="Z28" i="37" s="1"/>
  <c r="Q27" i="37"/>
  <c r="Z27" i="37" s="1"/>
  <c r="J27" i="37"/>
  <c r="F27" i="37"/>
  <c r="S27" i="37" s="1"/>
  <c r="Q26" i="37"/>
  <c r="Z26" i="37" s="1"/>
  <c r="Q25" i="37"/>
  <c r="Z25" i="37" s="1"/>
  <c r="J25" i="37"/>
  <c r="W25" i="37" s="1"/>
  <c r="F25" i="37"/>
  <c r="AA25" i="37" s="1"/>
  <c r="U23" i="37"/>
  <c r="Q23" i="37"/>
  <c r="Z23" i="37" s="1"/>
  <c r="J23" i="37"/>
  <c r="AC23" i="37" s="1"/>
  <c r="H23" i="37"/>
  <c r="AB23" i="37" s="1"/>
  <c r="F23" i="37"/>
  <c r="AA23" i="37" s="1"/>
  <c r="C23" i="37"/>
  <c r="Q21" i="37"/>
  <c r="Z21" i="37" s="1"/>
  <c r="J21" i="37"/>
  <c r="AC21" i="37" s="1"/>
  <c r="H21" i="37"/>
  <c r="AB21" i="37" s="1"/>
  <c r="F21" i="37"/>
  <c r="AA21" i="37" s="1"/>
  <c r="C21" i="37"/>
  <c r="U19" i="37"/>
  <c r="Q19" i="37"/>
  <c r="Z19" i="37" s="1"/>
  <c r="J19" i="37"/>
  <c r="AC19" i="37" s="1"/>
  <c r="H19" i="37"/>
  <c r="AB19" i="37" s="1"/>
  <c r="F19" i="37"/>
  <c r="AA19" i="37" s="1"/>
  <c r="C19" i="37"/>
  <c r="Q17" i="37"/>
  <c r="Z17" i="37" s="1"/>
  <c r="J17" i="37"/>
  <c r="AC17" i="37" s="1"/>
  <c r="H17" i="37"/>
  <c r="U17" i="37" s="1"/>
  <c r="F17" i="37"/>
  <c r="AA17" i="37" s="1"/>
  <c r="C17" i="37"/>
  <c r="U15" i="37"/>
  <c r="Q15" i="37"/>
  <c r="Z15" i="37" s="1"/>
  <c r="J15" i="37"/>
  <c r="AC15" i="37" s="1"/>
  <c r="H15" i="37"/>
  <c r="AB15" i="37" s="1"/>
  <c r="F15" i="37"/>
  <c r="AA15" i="37" s="1"/>
  <c r="C15" i="37"/>
  <c r="Q14" i="37"/>
  <c r="Z14" i="37" s="1"/>
  <c r="Q13" i="37"/>
  <c r="Z13" i="37" s="1"/>
  <c r="J13" i="37"/>
  <c r="H13" i="37"/>
  <c r="AB13" i="37" s="1"/>
  <c r="F13" i="37"/>
  <c r="AA13" i="37" s="1"/>
  <c r="Q12" i="37"/>
  <c r="Z12" i="37" s="1"/>
  <c r="AC11" i="37"/>
  <c r="Q11" i="37"/>
  <c r="Z11" i="37" s="1"/>
  <c r="J11" i="37"/>
  <c r="W11" i="37" s="1"/>
  <c r="H11" i="37"/>
  <c r="AB11" i="37" s="1"/>
  <c r="F11" i="37"/>
  <c r="AA11" i="37" s="1"/>
  <c r="Q10" i="37"/>
  <c r="Z10" i="37" s="1"/>
  <c r="J10" i="37"/>
  <c r="AC10" i="37" s="1"/>
  <c r="H10" i="37"/>
  <c r="AB10" i="37" s="1"/>
  <c r="F10" i="37"/>
  <c r="AA10" i="37" s="1"/>
  <c r="Q9" i="37"/>
  <c r="Z9" i="37" s="1"/>
  <c r="F9" i="37"/>
  <c r="S9" i="37" s="1"/>
  <c r="S8" i="37"/>
  <c r="J8" i="37"/>
  <c r="AC8" i="37" s="1"/>
  <c r="H8" i="37"/>
  <c r="U8" i="37" s="1"/>
  <c r="F8" i="37"/>
  <c r="AA8" i="37" s="1"/>
  <c r="D3" i="37"/>
  <c r="B131" i="34"/>
  <c r="B129" i="34"/>
  <c r="J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F9" i="34" s="1"/>
  <c r="I55" i="34"/>
  <c r="J55" i="34" s="1"/>
  <c r="G55" i="34"/>
  <c r="H55" i="34" s="1"/>
  <c r="E55" i="34"/>
  <c r="F55" i="34" s="1"/>
  <c r="P50" i="34"/>
  <c r="P49" i="34"/>
  <c r="V48" i="34"/>
  <c r="T48" i="34"/>
  <c r="R48" i="34"/>
  <c r="P48" i="34"/>
  <c r="Q47" i="34"/>
  <c r="Z47" i="34" s="1"/>
  <c r="J47" i="34"/>
  <c r="AC47" i="34" s="1"/>
  <c r="H47" i="34"/>
  <c r="U47" i="34" s="1"/>
  <c r="F47" i="34"/>
  <c r="AA47" i="34" s="1"/>
  <c r="Q46" i="34"/>
  <c r="Z46" i="34" s="1"/>
  <c r="Q45" i="34"/>
  <c r="Z45" i="34" s="1"/>
  <c r="J45" i="34"/>
  <c r="AC45" i="34" s="1"/>
  <c r="H45" i="34"/>
  <c r="AB45" i="34" s="1"/>
  <c r="F45" i="34"/>
  <c r="AA45" i="34" s="1"/>
  <c r="Q44" i="34"/>
  <c r="Z44" i="34" s="1"/>
  <c r="J44" i="34"/>
  <c r="H44" i="34"/>
  <c r="AB44" i="34" s="1"/>
  <c r="F44" i="34"/>
  <c r="S44" i="34" s="1"/>
  <c r="Q43" i="34"/>
  <c r="Z43" i="34" s="1"/>
  <c r="J43" i="34"/>
  <c r="AC43" i="34" s="1"/>
  <c r="H43" i="34"/>
  <c r="F43" i="34"/>
  <c r="AA43" i="34" s="1"/>
  <c r="AC42" i="34"/>
  <c r="Q42" i="34"/>
  <c r="Z42" i="34" s="1"/>
  <c r="J42" i="34"/>
  <c r="W42" i="34" s="1"/>
  <c r="H42" i="34"/>
  <c r="AB42" i="34" s="1"/>
  <c r="F42" i="34"/>
  <c r="AA42" i="34" s="1"/>
  <c r="Q41" i="34"/>
  <c r="Z41" i="34" s="1"/>
  <c r="J41" i="34"/>
  <c r="AC41" i="34" s="1"/>
  <c r="H41" i="34"/>
  <c r="U41" i="34" s="1"/>
  <c r="F41" i="34"/>
  <c r="AA41" i="34" s="1"/>
  <c r="Q40" i="34"/>
  <c r="Z40" i="34" s="1"/>
  <c r="J40" i="34"/>
  <c r="H40" i="34"/>
  <c r="AB40" i="34" s="1"/>
  <c r="F40" i="34"/>
  <c r="AA40" i="34" s="1"/>
  <c r="Q39" i="34"/>
  <c r="Z39" i="34" s="1"/>
  <c r="J39" i="34"/>
  <c r="AC39" i="34" s="1"/>
  <c r="H39" i="34"/>
  <c r="F39" i="34"/>
  <c r="AA39" i="34" s="1"/>
  <c r="AC38" i="34"/>
  <c r="Q38" i="34"/>
  <c r="Z38" i="34" s="1"/>
  <c r="J38" i="34"/>
  <c r="W38" i="34" s="1"/>
  <c r="H38" i="34"/>
  <c r="AB38" i="34" s="1"/>
  <c r="F38" i="34"/>
  <c r="AA38" i="34" s="1"/>
  <c r="Q37" i="34"/>
  <c r="Z37" i="34" s="1"/>
  <c r="J37" i="34"/>
  <c r="AC37" i="34" s="1"/>
  <c r="H37" i="34"/>
  <c r="U37" i="34" s="1"/>
  <c r="F37" i="34"/>
  <c r="AA37" i="34" s="1"/>
  <c r="Q36" i="34"/>
  <c r="Z36" i="34" s="1"/>
  <c r="J36" i="34"/>
  <c r="H36" i="34"/>
  <c r="AB36" i="34" s="1"/>
  <c r="F36" i="34"/>
  <c r="S36" i="34" s="1"/>
  <c r="Q35" i="34"/>
  <c r="Z35" i="34" s="1"/>
  <c r="J35" i="34"/>
  <c r="AC35" i="34" s="1"/>
  <c r="H35" i="34"/>
  <c r="F35" i="34"/>
  <c r="AA35" i="34" s="1"/>
  <c r="AC34" i="34"/>
  <c r="Q34" i="34"/>
  <c r="Z34" i="34" s="1"/>
  <c r="J34" i="34"/>
  <c r="W34" i="34" s="1"/>
  <c r="H34" i="34"/>
  <c r="AB34" i="34" s="1"/>
  <c r="F34" i="34"/>
  <c r="AA34" i="34" s="1"/>
  <c r="Q33" i="34"/>
  <c r="Z33" i="34" s="1"/>
  <c r="J33" i="34"/>
  <c r="AC33" i="34" s="1"/>
  <c r="H33" i="34"/>
  <c r="AB33" i="34" s="1"/>
  <c r="F33" i="34"/>
  <c r="AA33" i="34" s="1"/>
  <c r="Q32" i="34"/>
  <c r="Z32" i="34" s="1"/>
  <c r="Q31" i="34"/>
  <c r="Z31" i="34" s="1"/>
  <c r="J31" i="34"/>
  <c r="AC31" i="34" s="1"/>
  <c r="H31" i="34"/>
  <c r="U31" i="34" s="1"/>
  <c r="F31" i="34"/>
  <c r="AA31" i="34" s="1"/>
  <c r="Q30" i="34"/>
  <c r="Z30" i="34" s="1"/>
  <c r="Q29" i="34"/>
  <c r="Z29" i="34" s="1"/>
  <c r="J29" i="34"/>
  <c r="AC29" i="34" s="1"/>
  <c r="H29" i="34"/>
  <c r="U29" i="34" s="1"/>
  <c r="F29" i="34"/>
  <c r="AA29" i="34" s="1"/>
  <c r="Q28" i="34"/>
  <c r="Z28" i="34" s="1"/>
  <c r="Q27" i="34"/>
  <c r="Z27" i="34" s="1"/>
  <c r="J27" i="34"/>
  <c r="AC27" i="34" s="1"/>
  <c r="H27" i="34"/>
  <c r="U27" i="34" s="1"/>
  <c r="F27" i="34"/>
  <c r="AA27" i="34" s="1"/>
  <c r="Q25" i="34"/>
  <c r="Z25" i="34" s="1"/>
  <c r="J25" i="34"/>
  <c r="H25" i="34"/>
  <c r="AB25" i="34" s="1"/>
  <c r="F25" i="34"/>
  <c r="AA25" i="34" s="1"/>
  <c r="Q23" i="34"/>
  <c r="Z23" i="34" s="1"/>
  <c r="J23" i="34"/>
  <c r="AC23" i="34" s="1"/>
  <c r="H23" i="34"/>
  <c r="F23" i="34"/>
  <c r="AA23" i="34" s="1"/>
  <c r="C23" i="34"/>
  <c r="Q21" i="34"/>
  <c r="Z21" i="34" s="1"/>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Q13" i="34"/>
  <c r="Z13" i="34" s="1"/>
  <c r="H13" i="34"/>
  <c r="AB13" i="34" s="1"/>
  <c r="Q12" i="34"/>
  <c r="Z12" i="34" s="1"/>
  <c r="H12" i="34"/>
  <c r="AB12" i="34" s="1"/>
  <c r="Q11" i="34"/>
  <c r="Z11" i="34" s="1"/>
  <c r="J11" i="34"/>
  <c r="H11" i="34"/>
  <c r="AB11" i="34" s="1"/>
  <c r="F11" i="34"/>
  <c r="AA11" i="34" s="1"/>
  <c r="Q10" i="34"/>
  <c r="Z10" i="34" s="1"/>
  <c r="J10" i="34"/>
  <c r="AC10" i="34" s="1"/>
  <c r="H10" i="34"/>
  <c r="F10" i="34"/>
  <c r="AA10" i="34" s="1"/>
  <c r="Q9" i="34"/>
  <c r="Z9" i="34" s="1"/>
  <c r="J8" i="34"/>
  <c r="AC8" i="34" s="1"/>
  <c r="H8" i="34"/>
  <c r="U8" i="34" s="1"/>
  <c r="F8" i="34"/>
  <c r="AA8" i="34" s="1"/>
  <c r="D3" i="34"/>
  <c r="B130" i="33"/>
  <c r="J46" i="33" s="1"/>
  <c r="AC46" i="33" s="1"/>
  <c r="B128" i="33"/>
  <c r="H45" i="33" s="1"/>
  <c r="AB45" i="33" s="1"/>
  <c r="B126" i="33"/>
  <c r="H44" i="33" s="1"/>
  <c r="AB44" i="33" s="1"/>
  <c r="D125" i="33"/>
  <c r="E125" i="33" s="1"/>
  <c r="F125" i="33" s="1"/>
  <c r="G125" i="33" s="1"/>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D111" i="33"/>
  <c r="E111" i="33" s="1"/>
  <c r="F111" i="33" s="1"/>
  <c r="G111" i="33" s="1"/>
  <c r="G109" i="33"/>
  <c r="F109" i="33"/>
  <c r="E109" i="33"/>
  <c r="D109" i="33"/>
  <c r="C109" i="33"/>
  <c r="D108" i="33"/>
  <c r="D106" i="33"/>
  <c r="M102" i="33"/>
  <c r="L102" i="33"/>
  <c r="K102" i="33"/>
  <c r="J102" i="33"/>
  <c r="I102" i="33"/>
  <c r="H102" i="33"/>
  <c r="G102" i="33"/>
  <c r="F102" i="33"/>
  <c r="E102" i="33"/>
  <c r="D102" i="33"/>
  <c r="C102" i="33"/>
  <c r="E101" i="33"/>
  <c r="D101" i="33"/>
  <c r="B98" i="33"/>
  <c r="B96" i="33"/>
  <c r="B94" i="33"/>
  <c r="B92" i="33"/>
  <c r="E91" i="33"/>
  <c r="F91" i="33" s="1"/>
  <c r="G91" i="33" s="1"/>
  <c r="H91" i="33" s="1"/>
  <c r="I91" i="33" s="1"/>
  <c r="J91" i="33" s="1"/>
  <c r="K91" i="33" s="1"/>
  <c r="L91" i="33" s="1"/>
  <c r="M91" i="33" s="1"/>
  <c r="D91" i="33"/>
  <c r="B90" i="33"/>
  <c r="J27" i="33" s="1"/>
  <c r="AC27" i="33" s="1"/>
  <c r="B88" i="33"/>
  <c r="D87" i="33"/>
  <c r="E87" i="33" s="1"/>
  <c r="F87" i="33" s="1"/>
  <c r="G87" i="33" s="1"/>
  <c r="H87" i="33" s="1"/>
  <c r="I87" i="33" s="1"/>
  <c r="J87" i="33" s="1"/>
  <c r="K87" i="33" s="1"/>
  <c r="L87" i="33" s="1"/>
  <c r="M87" i="33" s="1"/>
  <c r="D85" i="33"/>
  <c r="E85" i="33" s="1"/>
  <c r="F85" i="33" s="1"/>
  <c r="G85" i="33" s="1"/>
  <c r="D83" i="33"/>
  <c r="D81" i="33"/>
  <c r="E81" i="33" s="1"/>
  <c r="D79" i="33"/>
  <c r="E79" i="33" s="1"/>
  <c r="D77" i="33"/>
  <c r="E77" i="33" s="1"/>
  <c r="B74" i="33"/>
  <c r="H14" i="33" s="1"/>
  <c r="AB14" i="33" s="1"/>
  <c r="B72" i="33"/>
  <c r="B70" i="33"/>
  <c r="J12" i="33" s="1"/>
  <c r="AC12" i="33" s="1"/>
  <c r="D69" i="33"/>
  <c r="M67" i="33"/>
  <c r="L67" i="33"/>
  <c r="K67" i="33"/>
  <c r="J67" i="33"/>
  <c r="I67" i="33"/>
  <c r="H67" i="33"/>
  <c r="G67" i="33"/>
  <c r="F67" i="33"/>
  <c r="E67" i="33"/>
  <c r="D67" i="33"/>
  <c r="C67" i="33"/>
  <c r="G66" i="33"/>
  <c r="C63" i="33"/>
  <c r="H9" i="33" s="1"/>
  <c r="AB9" i="33" s="1"/>
  <c r="I54" i="33"/>
  <c r="J54" i="33" s="1"/>
  <c r="G54" i="33"/>
  <c r="H54" i="33" s="1"/>
  <c r="E54" i="33"/>
  <c r="F54" i="33" s="1"/>
  <c r="P49" i="33"/>
  <c r="P48" i="33"/>
  <c r="V47" i="33"/>
  <c r="T47" i="33"/>
  <c r="R47" i="33"/>
  <c r="P47" i="33"/>
  <c r="Q46" i="33"/>
  <c r="Z46" i="33" s="1"/>
  <c r="H46" i="33"/>
  <c r="AB46" i="33" s="1"/>
  <c r="Q45" i="33"/>
  <c r="Z45" i="33" s="1"/>
  <c r="J45" i="33"/>
  <c r="AC45" i="33" s="1"/>
  <c r="F45" i="33"/>
  <c r="AA45" i="33" s="1"/>
  <c r="Q44" i="33"/>
  <c r="Z44" i="33" s="1"/>
  <c r="J44" i="33"/>
  <c r="AC44" i="33" s="1"/>
  <c r="F44" i="33"/>
  <c r="AA44" i="33" s="1"/>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Z39" i="33"/>
  <c r="Q39" i="33"/>
  <c r="J39" i="33"/>
  <c r="AC39" i="33" s="1"/>
  <c r="F39" i="33"/>
  <c r="AA39" i="33" s="1"/>
  <c r="Q38" i="33"/>
  <c r="Z38" i="33" s="1"/>
  <c r="J38" i="33"/>
  <c r="AC38" i="33" s="1"/>
  <c r="H38" i="33"/>
  <c r="AB38" i="33" s="1"/>
  <c r="F38" i="33"/>
  <c r="AA38" i="33" s="1"/>
  <c r="Q37" i="33"/>
  <c r="Z37" i="33" s="1"/>
  <c r="H37" i="33"/>
  <c r="AB37" i="33" s="1"/>
  <c r="Q36" i="33"/>
  <c r="Z36" i="33" s="1"/>
  <c r="Q35" i="33"/>
  <c r="Z35" i="33" s="1"/>
  <c r="H35" i="33"/>
  <c r="AB35" i="33" s="1"/>
  <c r="Z34" i="33"/>
  <c r="Q34" i="33"/>
  <c r="J34" i="33"/>
  <c r="AC34" i="33" s="1"/>
  <c r="Q33" i="33"/>
  <c r="Z33" i="33" s="1"/>
  <c r="J33" i="33"/>
  <c r="AC33" i="33" s="1"/>
  <c r="H33" i="33"/>
  <c r="F33" i="33"/>
  <c r="Q32" i="33"/>
  <c r="Z32" i="33" s="1"/>
  <c r="Q31" i="33"/>
  <c r="Z31" i="33" s="1"/>
  <c r="Q30" i="33"/>
  <c r="Z30" i="33" s="1"/>
  <c r="J30" i="33"/>
  <c r="AC30" i="33" s="1"/>
  <c r="H30" i="33"/>
  <c r="AB30" i="33" s="1"/>
  <c r="F30" i="33"/>
  <c r="AA30" i="33" s="1"/>
  <c r="Q29" i="33"/>
  <c r="Z29" i="33" s="1"/>
  <c r="Q28" i="33"/>
  <c r="Z28" i="33" s="1"/>
  <c r="J28" i="33"/>
  <c r="AC28" i="33" s="1"/>
  <c r="H28" i="33"/>
  <c r="AB28" i="33" s="1"/>
  <c r="F28" i="33"/>
  <c r="AA28" i="33" s="1"/>
  <c r="Q27" i="33"/>
  <c r="Z27" i="33" s="1"/>
  <c r="Q26" i="33"/>
  <c r="Z26" i="33" s="1"/>
  <c r="J26" i="33"/>
  <c r="AC26" i="33" s="1"/>
  <c r="H26" i="33"/>
  <c r="AB26" i="33" s="1"/>
  <c r="F26" i="33"/>
  <c r="AA26" i="33" s="1"/>
  <c r="Q25" i="33"/>
  <c r="Z25" i="33" s="1"/>
  <c r="J25" i="33"/>
  <c r="AC25" i="33" s="1"/>
  <c r="H25" i="33"/>
  <c r="AB25" i="33" s="1"/>
  <c r="F25" i="33"/>
  <c r="AA25" i="33" s="1"/>
  <c r="Z23" i="33"/>
  <c r="Q23" i="33"/>
  <c r="J23" i="33"/>
  <c r="AC23" i="33" s="1"/>
  <c r="H23" i="33"/>
  <c r="AB23" i="33" s="1"/>
  <c r="F23" i="33"/>
  <c r="AA23" i="33" s="1"/>
  <c r="C23" i="33"/>
  <c r="Z21" i="33"/>
  <c r="Q21" i="33"/>
  <c r="C21" i="33"/>
  <c r="Q19" i="33"/>
  <c r="Z19" i="33" s="1"/>
  <c r="C19" i="33"/>
  <c r="Z17" i="33"/>
  <c r="Q17" i="33"/>
  <c r="C17" i="33"/>
  <c r="Q15" i="33"/>
  <c r="Z15" i="33" s="1"/>
  <c r="F15" i="33"/>
  <c r="AA15" i="33" s="1"/>
  <c r="C15" i="33"/>
  <c r="Q14" i="33"/>
  <c r="Z14" i="33" s="1"/>
  <c r="J14" i="33"/>
  <c r="AC14" i="33" s="1"/>
  <c r="F14" i="33"/>
  <c r="AA14" i="33" s="1"/>
  <c r="Q13" i="33"/>
  <c r="Z13" i="33" s="1"/>
  <c r="Q12" i="33"/>
  <c r="Z12" i="33" s="1"/>
  <c r="H12" i="33"/>
  <c r="AB12" i="33" s="1"/>
  <c r="Z11" i="33"/>
  <c r="Q11" i="33"/>
  <c r="Q10" i="33"/>
  <c r="Z10" i="33" s="1"/>
  <c r="H10" i="33"/>
  <c r="Z9" i="33"/>
  <c r="Q9" i="33"/>
  <c r="J9" i="33"/>
  <c r="AC9" i="33" s="1"/>
  <c r="F9" i="33"/>
  <c r="AA9" i="33" s="1"/>
  <c r="J8" i="33"/>
  <c r="H8" i="33"/>
  <c r="U8" i="33" s="1"/>
  <c r="F8" i="33"/>
  <c r="AA8" i="33" s="1"/>
  <c r="C145" i="21"/>
  <c r="K139" i="21" s="1"/>
  <c r="J142" i="21"/>
  <c r="J140" i="21"/>
  <c r="B130" i="21"/>
  <c r="B128" i="21"/>
  <c r="B126" i="21"/>
  <c r="D125" i="21"/>
  <c r="E125" i="21" s="1"/>
  <c r="F125" i="21" s="1"/>
  <c r="G125" i="21" s="1"/>
  <c r="E123" i="21"/>
  <c r="F123" i="21" s="1"/>
  <c r="H42" i="21" s="1"/>
  <c r="AB42" i="21" s="1"/>
  <c r="D123" i="21"/>
  <c r="D119" i="21"/>
  <c r="E119" i="21" s="1"/>
  <c r="F119" i="21" s="1"/>
  <c r="G119" i="21" s="1"/>
  <c r="H119" i="21" s="1"/>
  <c r="I119" i="21" s="1"/>
  <c r="J119" i="21" s="1"/>
  <c r="K119" i="21" s="1"/>
  <c r="L119" i="21" s="1"/>
  <c r="M119" i="21" s="1"/>
  <c r="D117" i="21"/>
  <c r="F115" i="21"/>
  <c r="G115" i="21" s="1"/>
  <c r="H115" i="21" s="1"/>
  <c r="I115" i="21" s="1"/>
  <c r="J115" i="21" s="1"/>
  <c r="K115" i="21" s="1"/>
  <c r="L115" i="21" s="1"/>
  <c r="M115" i="21" s="1"/>
  <c r="D115" i="21"/>
  <c r="E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H35" i="21" s="1"/>
  <c r="D106" i="21"/>
  <c r="M102" i="21"/>
  <c r="L102" i="21"/>
  <c r="K102" i="21"/>
  <c r="J102" i="21"/>
  <c r="I102" i="21"/>
  <c r="H102" i="21"/>
  <c r="G102" i="21"/>
  <c r="F102" i="21"/>
  <c r="E102" i="21"/>
  <c r="D102" i="21"/>
  <c r="C102" i="21"/>
  <c r="D101" i="21"/>
  <c r="E101" i="21" s="1"/>
  <c r="F101" i="21" s="1"/>
  <c r="G101" i="21" s="1"/>
  <c r="B98" i="21"/>
  <c r="H31" i="21" s="1"/>
  <c r="AB31" i="21" s="1"/>
  <c r="B96" i="21"/>
  <c r="H30" i="21" s="1"/>
  <c r="AB30" i="21" s="1"/>
  <c r="B94" i="21"/>
  <c r="H29" i="21" s="1"/>
  <c r="AB29" i="21" s="1"/>
  <c r="B92" i="21"/>
  <c r="H28" i="21" s="1"/>
  <c r="AB28" i="21" s="1"/>
  <c r="B90" i="21"/>
  <c r="H27" i="21" s="1"/>
  <c r="AB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E83" i="21"/>
  <c r="F83" i="21" s="1"/>
  <c r="G83" i="21" s="1"/>
  <c r="D83" i="21"/>
  <c r="D81" i="21"/>
  <c r="E81" i="21" s="1"/>
  <c r="F81" i="21" s="1"/>
  <c r="D79" i="21"/>
  <c r="E79" i="21" s="1"/>
  <c r="D77" i="21"/>
  <c r="E77" i="21" s="1"/>
  <c r="H15" i="21" s="1"/>
  <c r="B74" i="21"/>
  <c r="H14" i="21" s="1"/>
  <c r="AB14" i="21" s="1"/>
  <c r="B72" i="21"/>
  <c r="J13" i="21" s="1"/>
  <c r="AC13" i="21" s="1"/>
  <c r="B70" i="21"/>
  <c r="H12" i="21" s="1"/>
  <c r="AB12" i="21" s="1"/>
  <c r="D69" i="21"/>
  <c r="E69" i="21" s="1"/>
  <c r="M67" i="21"/>
  <c r="L67" i="21"/>
  <c r="K67" i="21"/>
  <c r="J67" i="21"/>
  <c r="I67" i="21"/>
  <c r="H67" i="21"/>
  <c r="G67" i="21"/>
  <c r="F67" i="21"/>
  <c r="E67" i="21"/>
  <c r="D67" i="21"/>
  <c r="C67" i="21"/>
  <c r="D66" i="21"/>
  <c r="E66" i="21" s="1"/>
  <c r="F66" i="21" s="1"/>
  <c r="G66" i="21" s="1"/>
  <c r="H66" i="21" s="1"/>
  <c r="I66" i="21" s="1"/>
  <c r="C63" i="21"/>
  <c r="H9" i="21" s="1"/>
  <c r="AB9" i="21" s="1"/>
  <c r="I54" i="21"/>
  <c r="J54" i="21" s="1"/>
  <c r="G54" i="21"/>
  <c r="H54" i="21" s="1"/>
  <c r="E54" i="21"/>
  <c r="F54" i="21" s="1"/>
  <c r="P49" i="21"/>
  <c r="P48" i="21"/>
  <c r="V47" i="21"/>
  <c r="T47" i="21"/>
  <c r="R47" i="21"/>
  <c r="P47" i="21"/>
  <c r="Q46" i="21"/>
  <c r="Z46" i="21" s="1"/>
  <c r="H46" i="21"/>
  <c r="AB46" i="21" s="1"/>
  <c r="Q45" i="21"/>
  <c r="Z45" i="21" s="1"/>
  <c r="J45" i="21"/>
  <c r="AC45" i="21" s="1"/>
  <c r="H45" i="21"/>
  <c r="AB45" i="21" s="1"/>
  <c r="F45" i="21"/>
  <c r="AA45" i="21" s="1"/>
  <c r="Q44" i="21"/>
  <c r="Z44" i="21" s="1"/>
  <c r="H44" i="21"/>
  <c r="Q43" i="21"/>
  <c r="Z43" i="21" s="1"/>
  <c r="J43" i="21"/>
  <c r="AC43" i="21" s="1"/>
  <c r="H43" i="21"/>
  <c r="AB43" i="21" s="1"/>
  <c r="F43" i="21"/>
  <c r="AA43" i="21" s="1"/>
  <c r="Q42" i="21"/>
  <c r="Z42" i="21" s="1"/>
  <c r="Q41" i="21"/>
  <c r="Z41" i="21" s="1"/>
  <c r="J41" i="21"/>
  <c r="H41" i="21"/>
  <c r="F41" i="21"/>
  <c r="Q40" i="21"/>
  <c r="Z40" i="21" s="1"/>
  <c r="J40" i="21"/>
  <c r="AC40" i="21" s="1"/>
  <c r="H40" i="21"/>
  <c r="AB40" i="21" s="1"/>
  <c r="F40" i="21"/>
  <c r="AA40" i="21" s="1"/>
  <c r="Z39" i="21"/>
  <c r="Q39" i="21"/>
  <c r="F39" i="21"/>
  <c r="AA39" i="21" s="1"/>
  <c r="Q38" i="21"/>
  <c r="Z38" i="21" s="1"/>
  <c r="J38" i="21"/>
  <c r="AC38" i="21" s="1"/>
  <c r="H38" i="21"/>
  <c r="AB38" i="21" s="1"/>
  <c r="F38" i="21"/>
  <c r="AA38" i="21" s="1"/>
  <c r="Q37" i="21"/>
  <c r="Z37" i="21" s="1"/>
  <c r="Q36" i="21"/>
  <c r="Z36" i="21" s="1"/>
  <c r="J36" i="21"/>
  <c r="H36" i="21"/>
  <c r="F36" i="21"/>
  <c r="Q35" i="21"/>
  <c r="Z35" i="21" s="1"/>
  <c r="Z34" i="21"/>
  <c r="Q34" i="21"/>
  <c r="J34" i="21"/>
  <c r="AC34" i="21" s="1"/>
  <c r="Q33" i="21"/>
  <c r="Z33" i="21" s="1"/>
  <c r="J33" i="21"/>
  <c r="AC33" i="21" s="1"/>
  <c r="H33" i="21"/>
  <c r="F33" i="21"/>
  <c r="Q32" i="21"/>
  <c r="Z32" i="21" s="1"/>
  <c r="Q31" i="21"/>
  <c r="Z31" i="21" s="1"/>
  <c r="F31" i="21"/>
  <c r="AA31" i="21" s="1"/>
  <c r="Q30" i="21"/>
  <c r="Z30" i="21" s="1"/>
  <c r="J30" i="21"/>
  <c r="AC30" i="21" s="1"/>
  <c r="F30" i="21"/>
  <c r="AA30" i="21" s="1"/>
  <c r="Q29" i="21"/>
  <c r="Z29" i="21" s="1"/>
  <c r="J29" i="21"/>
  <c r="AC29" i="21" s="1"/>
  <c r="Q28" i="21"/>
  <c r="Z28" i="21" s="1"/>
  <c r="J28" i="21"/>
  <c r="AC28" i="21" s="1"/>
  <c r="F28" i="21"/>
  <c r="AA28" i="21" s="1"/>
  <c r="Q27" i="21"/>
  <c r="Z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C19" i="21"/>
  <c r="Q17" i="21"/>
  <c r="Z17" i="21" s="1"/>
  <c r="C17" i="21"/>
  <c r="Q15" i="21"/>
  <c r="Z15" i="21" s="1"/>
  <c r="C15" i="21"/>
  <c r="Q14" i="21"/>
  <c r="Z14" i="21" s="1"/>
  <c r="J14" i="21"/>
  <c r="AC14" i="21" s="1"/>
  <c r="F14" i="21"/>
  <c r="AA14" i="21" s="1"/>
  <c r="Q13" i="21"/>
  <c r="Z13" i="21" s="1"/>
  <c r="H13" i="21"/>
  <c r="AB13" i="21" s="1"/>
  <c r="Q12" i="21"/>
  <c r="Z12" i="21" s="1"/>
  <c r="J12" i="21"/>
  <c r="AC12" i="21" s="1"/>
  <c r="F12" i="21"/>
  <c r="AA12" i="21" s="1"/>
  <c r="Q11" i="21"/>
  <c r="Z11" i="21" s="1"/>
  <c r="Q10" i="21"/>
  <c r="Z10" i="21" s="1"/>
  <c r="H10" i="21"/>
  <c r="Z9" i="21"/>
  <c r="Q9" i="21"/>
  <c r="J9" i="21"/>
  <c r="AC9" i="21" s="1"/>
  <c r="F9" i="21"/>
  <c r="AA9" i="21" s="1"/>
  <c r="S8" i="21"/>
  <c r="J8" i="21"/>
  <c r="AC8" i="21" s="1"/>
  <c r="H8" i="21"/>
  <c r="U8" i="21" s="1"/>
  <c r="F8" i="21"/>
  <c r="AA8" i="21" s="1"/>
  <c r="G17" i="11"/>
  <c r="E13" i="11"/>
  <c r="E12" i="11"/>
  <c r="C11" i="11"/>
  <c r="C10" i="11" s="1"/>
  <c r="C7" i="11"/>
  <c r="C32" i="57"/>
  <c r="C31" i="57"/>
  <c r="C30" i="57"/>
  <c r="E26" i="57" s="1"/>
  <c r="I23" i="57"/>
  <c r="D20" i="57"/>
  <c r="I19" i="57"/>
  <c r="I18" i="57"/>
  <c r="I17" i="57"/>
  <c r="E15" i="57"/>
  <c r="I14" i="57"/>
  <c r="I13" i="57"/>
  <c r="I12" i="57"/>
  <c r="I9" i="57"/>
  <c r="I8" i="57"/>
  <c r="I7" i="57"/>
  <c r="I6" i="57"/>
  <c r="I5" i="57"/>
  <c r="I4" i="57"/>
  <c r="I10" i="57" s="1"/>
  <c r="I3" i="57"/>
  <c r="Q73" i="15"/>
  <c r="Q60" i="15"/>
  <c r="D60" i="15"/>
  <c r="Q59" i="15"/>
  <c r="K59" i="15"/>
  <c r="P75" i="15" s="1"/>
  <c r="F58" i="15"/>
  <c r="Q52" i="15"/>
  <c r="J50" i="15"/>
  <c r="M47" i="15"/>
  <c r="F33" i="15"/>
  <c r="F60" i="15" s="1"/>
  <c r="F31" i="15"/>
  <c r="F23" i="15"/>
  <c r="D24" i="15" s="1"/>
  <c r="F21" i="15"/>
  <c r="F20" i="15"/>
  <c r="M19" i="15"/>
  <c r="F18" i="15"/>
  <c r="M17" i="15"/>
  <c r="F17" i="15"/>
  <c r="F15" i="15"/>
  <c r="D71" i="59"/>
  <c r="F70" i="59"/>
  <c r="F69" i="59" s="1"/>
  <c r="F68" i="59" s="1"/>
  <c r="E70" i="59"/>
  <c r="D70" i="59"/>
  <c r="C70" i="59"/>
  <c r="B70" i="59"/>
  <c r="B69" i="59" s="1"/>
  <c r="B68" i="59" s="1"/>
  <c r="E69" i="59"/>
  <c r="E68" i="59" s="1"/>
  <c r="C69" i="59"/>
  <c r="D67" i="59"/>
  <c r="F66" i="59"/>
  <c r="F65" i="59" s="1"/>
  <c r="F64" i="59" s="1"/>
  <c r="E66" i="59"/>
  <c r="D66" i="59"/>
  <c r="C66" i="59"/>
  <c r="B66" i="59"/>
  <c r="B65" i="59" s="1"/>
  <c r="E65" i="59"/>
  <c r="E64" i="59" s="1"/>
  <c r="C65" i="59"/>
  <c r="B64" i="59"/>
  <c r="D63" i="59"/>
  <c r="Q62" i="59"/>
  <c r="P62" i="59"/>
  <c r="O62" i="59"/>
  <c r="N62" i="59"/>
  <c r="F62" i="59"/>
  <c r="F61" i="59" s="1"/>
  <c r="F60" i="59" s="1"/>
  <c r="E62" i="59"/>
  <c r="U62" i="59" s="1"/>
  <c r="C62" i="59"/>
  <c r="T62" i="59" s="1"/>
  <c r="B62" i="59"/>
  <c r="Q61" i="59"/>
  <c r="P61" i="59"/>
  <c r="O61" i="59"/>
  <c r="N61" i="59"/>
  <c r="E61" i="59"/>
  <c r="E60" i="59" s="1"/>
  <c r="Q60" i="59"/>
  <c r="P60" i="59"/>
  <c r="O60" i="59"/>
  <c r="N60" i="59"/>
  <c r="Q59" i="59"/>
  <c r="P59" i="59"/>
  <c r="O59" i="59"/>
  <c r="N59" i="59"/>
  <c r="D59" i="59"/>
  <c r="Q58" i="59"/>
  <c r="P58" i="59"/>
  <c r="O58" i="59"/>
  <c r="N58" i="59"/>
  <c r="F58" i="59"/>
  <c r="F57" i="59" s="1"/>
  <c r="F56" i="59" s="1"/>
  <c r="E58" i="59"/>
  <c r="U58" i="59" s="1"/>
  <c r="D58" i="59"/>
  <c r="C58" i="59"/>
  <c r="T58" i="59" s="1"/>
  <c r="B58" i="59"/>
  <c r="Q57" i="59"/>
  <c r="P57" i="59"/>
  <c r="O57" i="59"/>
  <c r="N57" i="59"/>
  <c r="E57" i="59"/>
  <c r="E56" i="59" s="1"/>
  <c r="C57" i="59"/>
  <c r="Q56" i="59"/>
  <c r="P56" i="59"/>
  <c r="O56" i="59"/>
  <c r="N56" i="59"/>
  <c r="Q55" i="59"/>
  <c r="P55" i="59"/>
  <c r="O55" i="59"/>
  <c r="N55" i="59"/>
  <c r="D55" i="59"/>
  <c r="Q54" i="59"/>
  <c r="P54" i="59"/>
  <c r="O54" i="59"/>
  <c r="N54" i="59"/>
  <c r="F54" i="59"/>
  <c r="F53" i="59" s="1"/>
  <c r="F52" i="59" s="1"/>
  <c r="E54" i="59"/>
  <c r="U54" i="59" s="1"/>
  <c r="D54" i="59"/>
  <c r="C54" i="59"/>
  <c r="T54" i="59" s="1"/>
  <c r="B54" i="59"/>
  <c r="Q53" i="59"/>
  <c r="P53" i="59"/>
  <c r="O53" i="59"/>
  <c r="N53" i="59"/>
  <c r="E53" i="59"/>
  <c r="E52" i="59" s="1"/>
  <c r="C53" i="59"/>
  <c r="Q52" i="59"/>
  <c r="P52" i="59"/>
  <c r="O52" i="59"/>
  <c r="N52" i="59"/>
  <c r="Q51" i="59"/>
  <c r="P51" i="59"/>
  <c r="O51" i="59"/>
  <c r="N51" i="59"/>
  <c r="D51" i="59"/>
  <c r="T50" i="59"/>
  <c r="F50" i="59"/>
  <c r="F49" i="59" s="1"/>
  <c r="Q49" i="59" s="1"/>
  <c r="E50" i="59"/>
  <c r="U50" i="59" s="1"/>
  <c r="D50" i="59"/>
  <c r="C50" i="59"/>
  <c r="O50" i="59" s="1"/>
  <c r="B50" i="59"/>
  <c r="E49" i="59"/>
  <c r="E48" i="59" s="1"/>
  <c r="P48" i="59" s="1"/>
  <c r="C49" i="59"/>
  <c r="D47" i="59"/>
  <c r="Q46" i="59"/>
  <c r="P46" i="59"/>
  <c r="O46" i="59"/>
  <c r="N46" i="59"/>
  <c r="Q45" i="59"/>
  <c r="P45" i="59"/>
  <c r="O45" i="59"/>
  <c r="N45" i="59"/>
  <c r="Q44" i="59"/>
  <c r="P44" i="59"/>
  <c r="O44" i="59"/>
  <c r="N44" i="59"/>
  <c r="F44" i="59"/>
  <c r="F45" i="59" s="1"/>
  <c r="F46" i="59" s="1"/>
  <c r="V46" i="59" s="1"/>
  <c r="Q43" i="59"/>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F40" i="59"/>
  <c r="F41" i="59" s="1"/>
  <c r="F42" i="59" s="1"/>
  <c r="V42" i="59" s="1"/>
  <c r="Q39" i="59"/>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C37" i="59" s="1"/>
  <c r="N35" i="59"/>
  <c r="B36" i="59" s="1"/>
  <c r="D35" i="59"/>
  <c r="Q34" i="59"/>
  <c r="P34" i="59"/>
  <c r="O34" i="59"/>
  <c r="N34" i="59"/>
  <c r="Q33" i="59"/>
  <c r="P33" i="59"/>
  <c r="O33" i="59"/>
  <c r="N33" i="59"/>
  <c r="Q32" i="59"/>
  <c r="P32" i="59"/>
  <c r="O32" i="59"/>
  <c r="N32" i="59"/>
  <c r="Q31" i="59"/>
  <c r="F32" i="59" s="1"/>
  <c r="F33" i="59" s="1"/>
  <c r="F34" i="59" s="1"/>
  <c r="V34" i="59" s="1"/>
  <c r="P31" i="59"/>
  <c r="E32" i="59" s="1"/>
  <c r="O31" i="59"/>
  <c r="C32" i="59" s="1"/>
  <c r="C33" i="59" s="1"/>
  <c r="N31" i="59"/>
  <c r="B32" i="59" s="1"/>
  <c r="D31" i="59"/>
  <c r="T30" i="59"/>
  <c r="Q30" i="59"/>
  <c r="P30" i="59"/>
  <c r="O30" i="59"/>
  <c r="N30" i="59"/>
  <c r="D30" i="59"/>
  <c r="Q29" i="59"/>
  <c r="P29" i="59"/>
  <c r="O29" i="59"/>
  <c r="N29" i="59"/>
  <c r="Q28" i="59"/>
  <c r="P28" i="59"/>
  <c r="O28" i="59"/>
  <c r="N28" i="59"/>
  <c r="E28" i="59"/>
  <c r="Q27" i="59"/>
  <c r="F28" i="59" s="1"/>
  <c r="F29" i="59" s="1"/>
  <c r="F30" i="59" s="1"/>
  <c r="V30" i="59" s="1"/>
  <c r="P27" i="59"/>
  <c r="O27" i="59"/>
  <c r="C28" i="59" s="1"/>
  <c r="N27" i="59"/>
  <c r="B28" i="59" s="1"/>
  <c r="B29" i="59" s="1"/>
  <c r="D27" i="59"/>
  <c r="Q26" i="59"/>
  <c r="P26" i="59"/>
  <c r="O26" i="59"/>
  <c r="N26" i="59"/>
  <c r="Q25" i="59"/>
  <c r="P25" i="59"/>
  <c r="O25" i="59"/>
  <c r="N25" i="59"/>
  <c r="Q24" i="59"/>
  <c r="P24" i="59"/>
  <c r="O24" i="59"/>
  <c r="N24" i="59"/>
  <c r="E24" i="59"/>
  <c r="Q23" i="59"/>
  <c r="F24" i="59" s="1"/>
  <c r="F25" i="59" s="1"/>
  <c r="F26" i="59" s="1"/>
  <c r="V26" i="59" s="1"/>
  <c r="P23" i="59"/>
  <c r="O23" i="59"/>
  <c r="C24" i="59" s="1"/>
  <c r="N23" i="59"/>
  <c r="B24" i="59" s="1"/>
  <c r="B25" i="59" s="1"/>
  <c r="D23" i="59"/>
  <c r="AH22" i="59"/>
  <c r="AG22" i="59"/>
  <c r="AE22" i="59"/>
  <c r="AF22" i="59" s="1"/>
  <c r="AD22" i="59"/>
  <c r="Q22" i="59"/>
  <c r="P22" i="59"/>
  <c r="O22" i="59"/>
  <c r="N22" i="59"/>
  <c r="AH21" i="59"/>
  <c r="AG21" i="59"/>
  <c r="AE21" i="59"/>
  <c r="AF21" i="59" s="1"/>
  <c r="AD21" i="59"/>
  <c r="AB21" i="59"/>
  <c r="Q21" i="59"/>
  <c r="P21" i="59"/>
  <c r="AA21" i="59" s="1"/>
  <c r="O21" i="59"/>
  <c r="Y21" i="59" s="1"/>
  <c r="Z21" i="59" s="1"/>
  <c r="N21" i="59"/>
  <c r="X21" i="59" s="1"/>
  <c r="AH20" i="59"/>
  <c r="AG20" i="59"/>
  <c r="AE20" i="59"/>
  <c r="AF20" i="59" s="1"/>
  <c r="AD20" i="59"/>
  <c r="AA20" i="59"/>
  <c r="Q20" i="59"/>
  <c r="AB20" i="59" s="1"/>
  <c r="P20" i="59"/>
  <c r="O20" i="59"/>
  <c r="Y20" i="59" s="1"/>
  <c r="Z20" i="59" s="1"/>
  <c r="N20" i="59"/>
  <c r="F20" i="59"/>
  <c r="F21" i="59" s="1"/>
  <c r="F22" i="59" s="1"/>
  <c r="V22" i="59" s="1"/>
  <c r="AH19" i="59"/>
  <c r="AG19" i="59"/>
  <c r="AE19" i="59"/>
  <c r="AF19" i="59" s="1"/>
  <c r="AD19" i="59"/>
  <c r="AB19" i="59"/>
  <c r="Q19" i="59"/>
  <c r="P19" i="59"/>
  <c r="O19" i="59"/>
  <c r="C20" i="59" s="1"/>
  <c r="N19" i="59"/>
  <c r="B20" i="59" s="1"/>
  <c r="B21" i="59" s="1"/>
  <c r="B22" i="59" s="1"/>
  <c r="S22" i="59" s="1"/>
  <c r="D19" i="59"/>
  <c r="AH18" i="59"/>
  <c r="AG18" i="59"/>
  <c r="AF18" i="59"/>
  <c r="AE18" i="59"/>
  <c r="AD18" i="59"/>
  <c r="Q18" i="59"/>
  <c r="AB18" i="59" s="1"/>
  <c r="P18" i="59"/>
  <c r="O18" i="59"/>
  <c r="Y18" i="59" s="1"/>
  <c r="Z18" i="59" s="1"/>
  <c r="N18" i="59"/>
  <c r="AH17" i="59"/>
  <c r="AG17" i="59"/>
  <c r="AE17" i="59"/>
  <c r="AF17" i="59" s="1"/>
  <c r="AD17" i="59"/>
  <c r="AB17" i="59"/>
  <c r="Q17" i="59"/>
  <c r="P17" i="59"/>
  <c r="AA17" i="59" s="1"/>
  <c r="O17" i="59"/>
  <c r="N17" i="59"/>
  <c r="X17" i="59" s="1"/>
  <c r="AH16" i="59"/>
  <c r="AG16" i="59"/>
  <c r="AE16" i="59"/>
  <c r="AF16" i="59" s="1"/>
  <c r="AD16" i="59"/>
  <c r="AA16" i="59"/>
  <c r="Q16" i="59"/>
  <c r="P16" i="59"/>
  <c r="O16" i="59"/>
  <c r="N16" i="59"/>
  <c r="AH15" i="59"/>
  <c r="AG15" i="59"/>
  <c r="AE15" i="59"/>
  <c r="AF15" i="59" s="1"/>
  <c r="AD15" i="59"/>
  <c r="Q15" i="59"/>
  <c r="F16" i="59" s="1"/>
  <c r="F17" i="59" s="1"/>
  <c r="F18" i="59" s="1"/>
  <c r="V18" i="59" s="1"/>
  <c r="P15" i="59"/>
  <c r="O15" i="59"/>
  <c r="C16" i="59" s="1"/>
  <c r="D16" i="59" s="1"/>
  <c r="N15" i="59"/>
  <c r="X15" i="59" s="1"/>
  <c r="D15" i="59"/>
  <c r="AH14" i="59"/>
  <c r="AG14" i="59"/>
  <c r="AF14" i="59"/>
  <c r="AE14" i="59"/>
  <c r="AD14" i="59"/>
  <c r="Q14" i="59"/>
  <c r="AB14" i="59" s="1"/>
  <c r="P14" i="59"/>
  <c r="AA14" i="59" s="1"/>
  <c r="O14" i="59"/>
  <c r="Y14" i="59" s="1"/>
  <c r="Z14" i="59" s="1"/>
  <c r="N14" i="59"/>
  <c r="AH13" i="59"/>
  <c r="AG13" i="59"/>
  <c r="AE13" i="59"/>
  <c r="AF13" i="59" s="1"/>
  <c r="AD13" i="59"/>
  <c r="Q13" i="59"/>
  <c r="P13" i="59"/>
  <c r="O13" i="59"/>
  <c r="N13" i="59"/>
  <c r="X13" i="59" s="1"/>
  <c r="AH12" i="59"/>
  <c r="AG12" i="59"/>
  <c r="AE12" i="59"/>
  <c r="AF12" i="59" s="1"/>
  <c r="AD12" i="59"/>
  <c r="Y12" i="59"/>
  <c r="Z12" i="59" s="1"/>
  <c r="Q12" i="59"/>
  <c r="P12" i="59"/>
  <c r="O12" i="59"/>
  <c r="N12" i="59"/>
  <c r="X12" i="59" s="1"/>
  <c r="AH11" i="59"/>
  <c r="AG11" i="59"/>
  <c r="AE11" i="59"/>
  <c r="AF11" i="59" s="1"/>
  <c r="AD11" i="59"/>
  <c r="Q11" i="59"/>
  <c r="F12" i="59" s="1"/>
  <c r="F13" i="59" s="1"/>
  <c r="F14" i="59" s="1"/>
  <c r="V14" i="59" s="1"/>
  <c r="P11" i="59"/>
  <c r="O11" i="59"/>
  <c r="C12" i="59" s="1"/>
  <c r="C13" i="59" s="1"/>
  <c r="N11" i="59"/>
  <c r="B12" i="59" s="1"/>
  <c r="D11" i="59"/>
  <c r="AH10" i="59"/>
  <c r="AG10" i="59"/>
  <c r="AE10" i="59"/>
  <c r="AF10" i="59" s="1"/>
  <c r="AD10" i="59"/>
  <c r="Y10" i="59"/>
  <c r="Z10" i="59" s="1"/>
  <c r="Q10" i="59"/>
  <c r="P10" i="59"/>
  <c r="O10" i="59"/>
  <c r="C10" i="59" s="1"/>
  <c r="T10" i="59" s="1"/>
  <c r="N10" i="59"/>
  <c r="F10" i="59"/>
  <c r="E10" i="59"/>
  <c r="U10" i="59" s="1"/>
  <c r="D10" i="59"/>
  <c r="B10" i="59"/>
  <c r="AH9" i="59"/>
  <c r="AG9" i="59"/>
  <c r="AE9" i="59"/>
  <c r="AF9" i="59" s="1"/>
  <c r="AD9" i="59"/>
  <c r="Q9" i="59"/>
  <c r="P9" i="59"/>
  <c r="O9" i="59"/>
  <c r="Y9" i="59" s="1"/>
  <c r="Z9" i="59" s="1"/>
  <c r="N9" i="59"/>
  <c r="E9" i="59"/>
  <c r="E8" i="59" s="1"/>
  <c r="AH8" i="59"/>
  <c r="AG8" i="59"/>
  <c r="AF8" i="59"/>
  <c r="AE8" i="59"/>
  <c r="AD8" i="59"/>
  <c r="Q8" i="59"/>
  <c r="P8" i="59"/>
  <c r="O8" i="59"/>
  <c r="Y8" i="59" s="1"/>
  <c r="Z8" i="59" s="1"/>
  <c r="N8" i="59"/>
  <c r="AH7" i="59"/>
  <c r="AG7" i="59"/>
  <c r="AE7" i="59"/>
  <c r="AF7" i="59" s="1"/>
  <c r="AD7" i="59"/>
  <c r="Q7" i="59"/>
  <c r="AB7" i="59" s="1"/>
  <c r="P7" i="59"/>
  <c r="O7" i="59"/>
  <c r="N7" i="59"/>
  <c r="D7" i="59"/>
  <c r="AH6" i="59"/>
  <c r="AG6" i="59"/>
  <c r="AE6" i="59"/>
  <c r="AF6" i="59" s="1"/>
  <c r="AD6" i="59"/>
  <c r="Y6" i="59"/>
  <c r="Z6" i="59" s="1"/>
  <c r="Q6" i="59"/>
  <c r="P6" i="59"/>
  <c r="O6" i="59"/>
  <c r="C6" i="59" s="1"/>
  <c r="T6" i="59" s="1"/>
  <c r="N6" i="59"/>
  <c r="F6" i="59"/>
  <c r="E6" i="59"/>
  <c r="U6" i="59" s="1"/>
  <c r="D6" i="59"/>
  <c r="B6" i="59"/>
  <c r="AH5" i="59"/>
  <c r="AG5" i="59"/>
  <c r="AE5" i="59"/>
  <c r="AF5" i="59" s="1"/>
  <c r="AD5" i="59"/>
  <c r="Q5" i="59"/>
  <c r="P5" i="59"/>
  <c r="O5" i="59"/>
  <c r="Y5" i="59" s="1"/>
  <c r="Z5" i="59" s="1"/>
  <c r="N5" i="59"/>
  <c r="E5" i="59"/>
  <c r="AH3" i="59"/>
  <c r="Y3" i="59"/>
  <c r="Z3" i="59" s="1"/>
  <c r="L3" i="59"/>
  <c r="K3" i="59"/>
  <c r="AG3" i="59" s="1"/>
  <c r="J3" i="59"/>
  <c r="AE3" i="59" s="1"/>
  <c r="AF3" i="59" s="1"/>
  <c r="I3" i="59"/>
  <c r="AD3" i="59" s="1"/>
  <c r="Q74" i="44"/>
  <c r="Q61" i="44"/>
  <c r="Q60" i="44"/>
  <c r="Q53" i="44"/>
  <c r="J51" i="44"/>
  <c r="J52" i="44" s="1"/>
  <c r="M48" i="44"/>
  <c r="F35" i="44"/>
  <c r="F33" i="44"/>
  <c r="F25" i="44"/>
  <c r="D25" i="44" s="1"/>
  <c r="F23" i="44"/>
  <c r="F22" i="44"/>
  <c r="M21" i="44"/>
  <c r="F20" i="44"/>
  <c r="M19" i="44"/>
  <c r="F19" i="44"/>
  <c r="F17" i="44"/>
  <c r="H61" i="49"/>
  <c r="F113" i="46"/>
  <c r="M108" i="46"/>
  <c r="E108" i="46"/>
  <c r="I100" i="46"/>
  <c r="N99" i="46"/>
  <c r="N108" i="46" s="1"/>
  <c r="M99" i="46"/>
  <c r="M100" i="46" s="1"/>
  <c r="L99" i="46"/>
  <c r="L108" i="46" s="1"/>
  <c r="K99" i="46"/>
  <c r="K108" i="46" s="1"/>
  <c r="J99" i="46"/>
  <c r="J108" i="46" s="1"/>
  <c r="I99" i="46"/>
  <c r="I108" i="46" s="1"/>
  <c r="H99" i="46"/>
  <c r="H108" i="46" s="1"/>
  <c r="G99" i="46"/>
  <c r="G108" i="46" s="1"/>
  <c r="F99" i="46"/>
  <c r="F108" i="46" s="1"/>
  <c r="E99" i="46"/>
  <c r="E100" i="46" s="1"/>
  <c r="D99" i="46"/>
  <c r="D108" i="46" s="1"/>
  <c r="C99" i="46"/>
  <c r="C108" i="46" s="1"/>
  <c r="M87" i="46"/>
  <c r="N87" i="46" s="1"/>
  <c r="K87" i="46"/>
  <c r="J87" i="46"/>
  <c r="D87" i="46"/>
  <c r="M86" i="46"/>
  <c r="N86" i="46" s="1"/>
  <c r="K86" i="46"/>
  <c r="J86" i="46" s="1"/>
  <c r="D86" i="46"/>
  <c r="M85" i="46"/>
  <c r="N85" i="46" s="1"/>
  <c r="K85" i="46"/>
  <c r="J85" i="46" s="1"/>
  <c r="D85" i="46"/>
  <c r="M84" i="46"/>
  <c r="N84" i="46" s="1"/>
  <c r="K84" i="46"/>
  <c r="J84" i="46" s="1"/>
  <c r="D84" i="46"/>
  <c r="M83" i="46"/>
  <c r="N83" i="46" s="1"/>
  <c r="K83" i="46"/>
  <c r="J83" i="46" s="1"/>
  <c r="D83" i="46"/>
  <c r="B83" i="46"/>
  <c r="N82" i="46"/>
  <c r="M82" i="46"/>
  <c r="K82" i="46"/>
  <c r="J82" i="46" s="1"/>
  <c r="D82" i="46"/>
  <c r="B82" i="46"/>
  <c r="M81" i="46"/>
  <c r="N81" i="46" s="1"/>
  <c r="K81" i="46"/>
  <c r="J81" i="46" s="1"/>
  <c r="D81" i="46"/>
  <c r="M80" i="46"/>
  <c r="N80" i="46" s="1"/>
  <c r="K80" i="46"/>
  <c r="J80" i="46" s="1"/>
  <c r="F80" i="46"/>
  <c r="H86" i="46" s="1"/>
  <c r="D80" i="46"/>
  <c r="M77" i="46"/>
  <c r="N77" i="46" s="1"/>
  <c r="K77" i="46"/>
  <c r="J77" i="46"/>
  <c r="D77" i="46"/>
  <c r="N76" i="46"/>
  <c r="M76" i="46"/>
  <c r="K76" i="46"/>
  <c r="J76" i="46" s="1"/>
  <c r="D76" i="46"/>
  <c r="N75" i="46"/>
  <c r="M75" i="46"/>
  <c r="K75" i="46"/>
  <c r="J75" i="46" s="1"/>
  <c r="D75" i="46"/>
  <c r="M74" i="46"/>
  <c r="N74" i="46" s="1"/>
  <c r="K74" i="46"/>
  <c r="J74" i="46"/>
  <c r="D74" i="46"/>
  <c r="M73" i="46"/>
  <c r="N73" i="46" s="1"/>
  <c r="K73" i="46"/>
  <c r="J73" i="46"/>
  <c r="D73" i="46"/>
  <c r="M72" i="46"/>
  <c r="N72" i="46" s="1"/>
  <c r="K72" i="46"/>
  <c r="J72" i="46" s="1"/>
  <c r="D72" i="46"/>
  <c r="M71" i="46"/>
  <c r="N71" i="46" s="1"/>
  <c r="K71" i="46"/>
  <c r="J71" i="46"/>
  <c r="D71" i="46"/>
  <c r="B71" i="46"/>
  <c r="M70" i="46"/>
  <c r="N70" i="46" s="1"/>
  <c r="K70" i="46"/>
  <c r="J70" i="46" s="1"/>
  <c r="D70" i="46"/>
  <c r="M69" i="46"/>
  <c r="N69" i="46" s="1"/>
  <c r="K69" i="46"/>
  <c r="J69" i="46" s="1"/>
  <c r="F69" i="46"/>
  <c r="D69" i="46"/>
  <c r="M66" i="46"/>
  <c r="N66" i="46" s="1"/>
  <c r="K66" i="46"/>
  <c r="J66" i="46"/>
  <c r="D66" i="46"/>
  <c r="M65" i="46"/>
  <c r="N65" i="46" s="1"/>
  <c r="K65" i="46"/>
  <c r="J65" i="46" s="1"/>
  <c r="D65" i="46"/>
  <c r="M64" i="46"/>
  <c r="N64" i="46" s="1"/>
  <c r="K64" i="46"/>
  <c r="J64" i="46" s="1"/>
  <c r="D64" i="46"/>
  <c r="M63" i="46"/>
  <c r="N63" i="46" s="1"/>
  <c r="K63" i="46"/>
  <c r="J63" i="46"/>
  <c r="D63" i="46"/>
  <c r="N62" i="46"/>
  <c r="M62" i="46"/>
  <c r="K62" i="46"/>
  <c r="J62" i="46" s="1"/>
  <c r="D62" i="46"/>
  <c r="N61" i="46"/>
  <c r="M61" i="46"/>
  <c r="K61" i="46"/>
  <c r="J61" i="46" s="1"/>
  <c r="D61" i="46"/>
  <c r="M60" i="46"/>
  <c r="N60" i="46" s="1"/>
  <c r="K60" i="46"/>
  <c r="J60" i="46"/>
  <c r="D60" i="46"/>
  <c r="B60" i="46"/>
  <c r="M59" i="46"/>
  <c r="N59" i="46" s="1"/>
  <c r="K59" i="46"/>
  <c r="J59" i="46" s="1"/>
  <c r="D59" i="46"/>
  <c r="M58" i="46"/>
  <c r="N58" i="46" s="1"/>
  <c r="K58" i="46"/>
  <c r="J58" i="46" s="1"/>
  <c r="F58" i="46"/>
  <c r="H63" i="46" s="1"/>
  <c r="D58" i="46"/>
  <c r="E58" i="46" s="1"/>
  <c r="B56" i="46" s="1"/>
  <c r="N55" i="46"/>
  <c r="M55" i="46"/>
  <c r="K55" i="46"/>
  <c r="J55" i="46" s="1"/>
  <c r="D55" i="46"/>
  <c r="N54" i="46"/>
  <c r="M54" i="46"/>
  <c r="K54" i="46"/>
  <c r="J54" i="46" s="1"/>
  <c r="D54" i="46"/>
  <c r="N53" i="46"/>
  <c r="M53" i="46"/>
  <c r="K53" i="46"/>
  <c r="J53" i="46" s="1"/>
  <c r="D53" i="46"/>
  <c r="N52" i="46"/>
  <c r="M52" i="46"/>
  <c r="K52" i="46"/>
  <c r="J52" i="46" s="1"/>
  <c r="D52" i="46"/>
  <c r="M51" i="46"/>
  <c r="N51" i="46" s="1"/>
  <c r="K51" i="46"/>
  <c r="J51" i="46"/>
  <c r="D51" i="46"/>
  <c r="M50" i="46"/>
  <c r="N50" i="46" s="1"/>
  <c r="K50" i="46"/>
  <c r="J50" i="46" s="1"/>
  <c r="D50" i="46"/>
  <c r="M49" i="46"/>
  <c r="N49" i="46" s="1"/>
  <c r="K49" i="46"/>
  <c r="J49" i="46" s="1"/>
  <c r="D49" i="46"/>
  <c r="B49" i="46"/>
  <c r="N48" i="46"/>
  <c r="M48" i="46"/>
  <c r="K48" i="46"/>
  <c r="J48" i="46" s="1"/>
  <c r="D48" i="46"/>
  <c r="N47" i="46"/>
  <c r="M47" i="46"/>
  <c r="K47" i="46"/>
  <c r="J47" i="46" s="1"/>
  <c r="F47" i="46"/>
  <c r="H52" i="46" s="1"/>
  <c r="D47" i="46"/>
  <c r="H39" i="46"/>
  <c r="H38" i="46"/>
  <c r="H37" i="46"/>
  <c r="H36" i="46"/>
  <c r="H35" i="46"/>
  <c r="H34" i="46"/>
  <c r="H33" i="46"/>
  <c r="C24" i="46"/>
  <c r="J20" i="46"/>
  <c r="I20" i="46"/>
  <c r="G20" i="46"/>
  <c r="M19" i="46"/>
  <c r="I19" i="46"/>
  <c r="C18" i="46"/>
  <c r="F15" i="46"/>
  <c r="E15" i="46"/>
  <c r="D15" i="46"/>
  <c r="C15" i="46"/>
  <c r="C12" i="46" s="1"/>
  <c r="Y12" i="46"/>
  <c r="Y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C9" i="46"/>
  <c r="A7" i="46"/>
  <c r="D5" i="46"/>
  <c r="I2" i="46"/>
  <c r="H14" i="48" s="1"/>
  <c r="G2" i="46"/>
  <c r="H113" i="46" s="1"/>
  <c r="M1" i="46"/>
  <c r="D1" i="46"/>
  <c r="B122" i="40"/>
  <c r="H42" i="40" s="1"/>
  <c r="B120" i="40"/>
  <c r="H41" i="40" s="1"/>
  <c r="B118" i="40"/>
  <c r="H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AB35" i="40" s="1"/>
  <c r="B105" i="40"/>
  <c r="B103" i="40"/>
  <c r="J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H29" i="40" s="1"/>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H16" i="40" s="1"/>
  <c r="B81" i="40"/>
  <c r="H15" i="40" s="1"/>
  <c r="B79" i="40"/>
  <c r="H14" i="40" s="1"/>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V43" i="40"/>
  <c r="T43" i="40"/>
  <c r="R43" i="40"/>
  <c r="P43" i="40"/>
  <c r="Q42" i="40"/>
  <c r="Z42" i="40" s="1"/>
  <c r="J42" i="40"/>
  <c r="AC42" i="40" s="1"/>
  <c r="F42" i="40"/>
  <c r="AA42" i="40" s="1"/>
  <c r="Q41" i="40"/>
  <c r="Z41" i="40" s="1"/>
  <c r="J41" i="40"/>
  <c r="AC41" i="40" s="1"/>
  <c r="Q40" i="40"/>
  <c r="Z40" i="40" s="1"/>
  <c r="J40" i="40"/>
  <c r="AC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U36" i="40"/>
  <c r="Q36" i="40"/>
  <c r="Z36" i="40" s="1"/>
  <c r="J36" i="40"/>
  <c r="AC36" i="40" s="1"/>
  <c r="H36" i="40"/>
  <c r="AB36" i="40" s="1"/>
  <c r="F36" i="40"/>
  <c r="AA36" i="40" s="1"/>
  <c r="Q35" i="40"/>
  <c r="Z35" i="40" s="1"/>
  <c r="J35" i="40"/>
  <c r="AC35" i="40" s="1"/>
  <c r="F35" i="40"/>
  <c r="AA35" i="40" s="1"/>
  <c r="Q34" i="40"/>
  <c r="Z34" i="40" s="1"/>
  <c r="Q33" i="40"/>
  <c r="Z33" i="40" s="1"/>
  <c r="H33" i="40"/>
  <c r="AB33" i="40" s="1"/>
  <c r="Q32" i="40"/>
  <c r="Z32" i="40" s="1"/>
  <c r="C32" i="40"/>
  <c r="J32" i="40" s="1"/>
  <c r="AC30" i="40"/>
  <c r="Q30" i="40"/>
  <c r="Z30" i="40" s="1"/>
  <c r="J30" i="40"/>
  <c r="W30" i="40" s="1"/>
  <c r="H30" i="40"/>
  <c r="AB30" i="40" s="1"/>
  <c r="F30" i="40"/>
  <c r="AA30" i="40" s="1"/>
  <c r="C30" i="40"/>
  <c r="Q29" i="40"/>
  <c r="Z29" i="40" s="1"/>
  <c r="J29" i="40"/>
  <c r="AC29" i="40" s="1"/>
  <c r="U27" i="40"/>
  <c r="Q27" i="40"/>
  <c r="Z27" i="40" s="1"/>
  <c r="J27" i="40"/>
  <c r="AC27" i="40" s="1"/>
  <c r="H27" i="40"/>
  <c r="AB27" i="40" s="1"/>
  <c r="F27" i="40"/>
  <c r="AA27" i="40" s="1"/>
  <c r="U25" i="40"/>
  <c r="Q25" i="40"/>
  <c r="Z25" i="40" s="1"/>
  <c r="J25" i="40"/>
  <c r="AC25" i="40" s="1"/>
  <c r="H25" i="40"/>
  <c r="AB25" i="40" s="1"/>
  <c r="F25" i="40"/>
  <c r="AA25" i="40" s="1"/>
  <c r="U23" i="40"/>
  <c r="Q23" i="40"/>
  <c r="Z23" i="40" s="1"/>
  <c r="J23" i="40"/>
  <c r="AC23" i="40" s="1"/>
  <c r="H23" i="40"/>
  <c r="AB23" i="40" s="1"/>
  <c r="F23" i="40"/>
  <c r="AA23" i="40" s="1"/>
  <c r="Q21" i="40"/>
  <c r="Z21" i="40" s="1"/>
  <c r="J21" i="40"/>
  <c r="AC21" i="40" s="1"/>
  <c r="H21" i="40"/>
  <c r="AB21" i="40" s="1"/>
  <c r="F21" i="40"/>
  <c r="AA21" i="40" s="1"/>
  <c r="C21" i="40"/>
  <c r="U19" i="40"/>
  <c r="Q19" i="40"/>
  <c r="Z19" i="40" s="1"/>
  <c r="J19" i="40"/>
  <c r="AC19" i="40" s="1"/>
  <c r="H19" i="40"/>
  <c r="AB19" i="40" s="1"/>
  <c r="F19" i="40"/>
  <c r="AA19" i="40" s="1"/>
  <c r="U17" i="40"/>
  <c r="Q17" i="40"/>
  <c r="Z17" i="40" s="1"/>
  <c r="J17" i="40"/>
  <c r="AC17" i="40" s="1"/>
  <c r="H17" i="40"/>
  <c r="AB17" i="40" s="1"/>
  <c r="F17" i="40"/>
  <c r="AA17" i="40" s="1"/>
  <c r="Q16" i="40"/>
  <c r="Z16" i="40" s="1"/>
  <c r="J16" i="40"/>
  <c r="AC16" i="40" s="1"/>
  <c r="F16" i="40"/>
  <c r="AA16" i="40" s="1"/>
  <c r="Q15" i="40"/>
  <c r="Z15" i="40" s="1"/>
  <c r="J15" i="40"/>
  <c r="AC15" i="40" s="1"/>
  <c r="Q14" i="40"/>
  <c r="Z14" i="40" s="1"/>
  <c r="J14" i="40"/>
  <c r="AC14" i="40" s="1"/>
  <c r="F14" i="40"/>
  <c r="AA14" i="40" s="1"/>
  <c r="Q13" i="40"/>
  <c r="Z13" i="40" s="1"/>
  <c r="J13" i="40"/>
  <c r="AC13" i="40" s="1"/>
  <c r="H13" i="40"/>
  <c r="AB13" i="40" s="1"/>
  <c r="F13" i="40"/>
  <c r="AA13" i="40" s="1"/>
  <c r="Q12" i="40"/>
  <c r="Z12" i="40" s="1"/>
  <c r="Q11" i="40"/>
  <c r="Z11" i="40" s="1"/>
  <c r="J11" i="40"/>
  <c r="AC11" i="40" s="1"/>
  <c r="H11" i="40"/>
  <c r="U11" i="40" s="1"/>
  <c r="F11" i="40"/>
  <c r="AA11" i="40" s="1"/>
  <c r="J10" i="40"/>
  <c r="W10" i="40" s="1"/>
  <c r="H10" i="40"/>
  <c r="AB10" i="40" s="1"/>
  <c r="F10" i="40"/>
  <c r="S10" i="40" s="1"/>
  <c r="B133" i="39"/>
  <c r="H47" i="39" s="1"/>
  <c r="AB47" i="39" s="1"/>
  <c r="B131" i="39"/>
  <c r="B129" i="39"/>
  <c r="J45" i="39" s="1"/>
  <c r="D128" i="39"/>
  <c r="E128" i="39" s="1"/>
  <c r="F128"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J39" i="39" s="1"/>
  <c r="AC39" i="39" s="1"/>
  <c r="B114" i="39"/>
  <c r="B112" i="39"/>
  <c r="J37" i="39" s="1"/>
  <c r="AC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B106" i="39"/>
  <c r="D105" i="39"/>
  <c r="D103" i="39"/>
  <c r="E103" i="39" s="1"/>
  <c r="F103" i="39" s="1"/>
  <c r="D101" i="39"/>
  <c r="E101" i="39" s="1"/>
  <c r="F101" i="39" s="1"/>
  <c r="G101" i="39" s="1"/>
  <c r="D99" i="39"/>
  <c r="E99" i="39" s="1"/>
  <c r="F99" i="39" s="1"/>
  <c r="G99" i="39" s="1"/>
  <c r="D97" i="39"/>
  <c r="E97" i="39" s="1"/>
  <c r="D95" i="39"/>
  <c r="E95" i="39" s="1"/>
  <c r="F95" i="39" s="1"/>
  <c r="G95" i="39" s="1"/>
  <c r="D93" i="39"/>
  <c r="E93" i="39" s="1"/>
  <c r="F93" i="39" s="1"/>
  <c r="D91" i="39"/>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I67" i="39"/>
  <c r="C67" i="39" s="1"/>
  <c r="H67" i="39"/>
  <c r="H66" i="39"/>
  <c r="I66" i="39" s="1"/>
  <c r="C66" i="39" s="1"/>
  <c r="I65" i="39"/>
  <c r="C65" i="39" s="1"/>
  <c r="H65" i="39"/>
  <c r="H64" i="39"/>
  <c r="I64" i="39" s="1"/>
  <c r="C64" i="39" s="1"/>
  <c r="H63" i="39"/>
  <c r="I63" i="39" s="1"/>
  <c r="C63" i="39" s="1"/>
  <c r="H62" i="39"/>
  <c r="I62" i="39" s="1"/>
  <c r="C62" i="39" s="1"/>
  <c r="H61" i="39"/>
  <c r="I61" i="39" s="1"/>
  <c r="C61" i="39" s="1"/>
  <c r="H60" i="39"/>
  <c r="I60" i="39" s="1"/>
  <c r="C60" i="39" s="1"/>
  <c r="H59" i="39"/>
  <c r="I59" i="39" s="1"/>
  <c r="C59" i="39" s="1"/>
  <c r="I55" i="39"/>
  <c r="J55" i="39" s="1"/>
  <c r="G55" i="39"/>
  <c r="H55" i="39" s="1"/>
  <c r="E55" i="39"/>
  <c r="F55" i="39" s="1"/>
  <c r="P50" i="39"/>
  <c r="P49" i="39"/>
  <c r="V48" i="39"/>
  <c r="T48" i="39"/>
  <c r="R48" i="39"/>
  <c r="P48" i="39"/>
  <c r="Q47" i="39"/>
  <c r="Z47" i="39" s="1"/>
  <c r="J47" i="39"/>
  <c r="AC47" i="39" s="1"/>
  <c r="F47" i="39"/>
  <c r="AA47" i="39" s="1"/>
  <c r="Q46" i="39"/>
  <c r="Z46" i="39" s="1"/>
  <c r="Q45" i="39"/>
  <c r="Z45" i="39" s="1"/>
  <c r="H45" i="39"/>
  <c r="Z44" i="39"/>
  <c r="Q44" i="39"/>
  <c r="J44" i="39"/>
  <c r="Q43" i="39"/>
  <c r="Z43" i="39" s="1"/>
  <c r="J43" i="39"/>
  <c r="AC43" i="39" s="1"/>
  <c r="F43" i="39"/>
  <c r="AA43" i="39" s="1"/>
  <c r="Q42" i="39"/>
  <c r="Z42" i="39" s="1"/>
  <c r="J42" i="39"/>
  <c r="AC42" i="39" s="1"/>
  <c r="H42" i="39"/>
  <c r="AB42" i="39" s="1"/>
  <c r="F42" i="39"/>
  <c r="AA42" i="39" s="1"/>
  <c r="Q41" i="39"/>
  <c r="Z41" i="39" s="1"/>
  <c r="H41" i="39"/>
  <c r="Q40" i="39"/>
  <c r="Z40" i="39" s="1"/>
  <c r="J40" i="39"/>
  <c r="H40" i="39"/>
  <c r="F40" i="39"/>
  <c r="Q39" i="39"/>
  <c r="Z39" i="39" s="1"/>
  <c r="H39" i="39"/>
  <c r="AB39" i="39" s="1"/>
  <c r="Q38" i="39"/>
  <c r="Z38" i="39" s="1"/>
  <c r="H38" i="39"/>
  <c r="AB38" i="39" s="1"/>
  <c r="Q37" i="39"/>
  <c r="Z37" i="39" s="1"/>
  <c r="H37" i="39"/>
  <c r="AB37" i="39" s="1"/>
  <c r="Q36" i="39"/>
  <c r="Z36" i="39" s="1"/>
  <c r="J36" i="39"/>
  <c r="AC36" i="39" s="1"/>
  <c r="H36" i="39"/>
  <c r="AB36" i="39" s="1"/>
  <c r="F36" i="39"/>
  <c r="AA36" i="39" s="1"/>
  <c r="Q34" i="39"/>
  <c r="Z34" i="39" s="1"/>
  <c r="J34" i="39"/>
  <c r="AC34" i="39" s="1"/>
  <c r="H34" i="39"/>
  <c r="AB34" i="39" s="1"/>
  <c r="F34" i="39"/>
  <c r="AA34" i="39" s="1"/>
  <c r="Z33" i="39"/>
  <c r="Q33" i="39"/>
  <c r="Z31" i="39"/>
  <c r="Q31" i="39"/>
  <c r="J31" i="39"/>
  <c r="AC31" i="39" s="1"/>
  <c r="Q29" i="39"/>
  <c r="Z29" i="39" s="1"/>
  <c r="H29" i="39"/>
  <c r="Q27" i="39"/>
  <c r="Z27" i="39" s="1"/>
  <c r="J27" i="39"/>
  <c r="AC27" i="39" s="1"/>
  <c r="H27" i="39"/>
  <c r="AB27" i="39" s="1"/>
  <c r="F27" i="39"/>
  <c r="AA27" i="39" s="1"/>
  <c r="Q25" i="39"/>
  <c r="Z25" i="39" s="1"/>
  <c r="J25" i="39"/>
  <c r="AC25" i="39" s="1"/>
  <c r="F25" i="39"/>
  <c r="AA25" i="39" s="1"/>
  <c r="C25" i="39"/>
  <c r="Q23" i="39"/>
  <c r="Z23" i="39" s="1"/>
  <c r="Q21" i="39"/>
  <c r="Z21" i="39" s="1"/>
  <c r="J21" i="39"/>
  <c r="AC21" i="39" s="1"/>
  <c r="H21" i="39"/>
  <c r="AB21" i="39" s="1"/>
  <c r="F21" i="39"/>
  <c r="AA21" i="39" s="1"/>
  <c r="Q19" i="39"/>
  <c r="Z19" i="39" s="1"/>
  <c r="J19" i="39"/>
  <c r="AC19" i="39" s="1"/>
  <c r="H19" i="39"/>
  <c r="Q17" i="39"/>
  <c r="Z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J10" i="39"/>
  <c r="W10" i="39" s="1"/>
  <c r="H10" i="39"/>
  <c r="AB10" i="39" s="1"/>
  <c r="F10" i="39"/>
  <c r="S10" i="39" s="1"/>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E108" i="9"/>
  <c r="D107" i="9"/>
  <c r="C107" i="9" s="1"/>
  <c r="C105" i="9" s="1"/>
  <c r="H95" i="9"/>
  <c r="D95" i="9"/>
  <c r="C95" i="9" s="1"/>
  <c r="C94" i="9"/>
  <c r="F77" i="9"/>
  <c r="P75" i="9" s="1"/>
  <c r="E77" i="9"/>
  <c r="O75" i="9" s="1"/>
  <c r="L75" i="9"/>
  <c r="K75" i="9"/>
  <c r="O74" i="9"/>
  <c r="F74" i="9"/>
  <c r="P74" i="9" s="1"/>
  <c r="O73" i="9"/>
  <c r="I73" i="9"/>
  <c r="F73" i="9"/>
  <c r="P73" i="9" s="1"/>
  <c r="D73" i="9"/>
  <c r="N73" i="9" s="1"/>
  <c r="E66" i="9"/>
  <c r="O72" i="9" s="1"/>
  <c r="A46" i="9"/>
  <c r="A45" i="9"/>
  <c r="C45" i="9" s="1"/>
  <c r="K44" i="9"/>
  <c r="A44" i="9"/>
  <c r="K43" i="9"/>
  <c r="C43" i="9"/>
  <c r="K47" i="9" s="1"/>
  <c r="K29" i="9"/>
  <c r="K30" i="9" s="1"/>
  <c r="C25" i="9"/>
  <c r="C24" i="9"/>
  <c r="D17" i="9"/>
  <c r="C17" i="9"/>
  <c r="M4" i="9"/>
  <c r="A30" i="64" s="1"/>
  <c r="L4" i="9"/>
  <c r="F23" i="66"/>
  <c r="E23" i="66"/>
  <c r="F22" i="66"/>
  <c r="E22" i="66"/>
  <c r="F21" i="66"/>
  <c r="E21" i="66"/>
  <c r="F20" i="66"/>
  <c r="E20" i="66"/>
  <c r="F19" i="66"/>
  <c r="E19" i="66"/>
  <c r="F18" i="66"/>
  <c r="E18" i="66"/>
  <c r="F17" i="66"/>
  <c r="E17" i="66"/>
  <c r="F16" i="66"/>
  <c r="E16" i="66"/>
  <c r="C24" i="20"/>
  <c r="B62" i="46" s="1"/>
  <c r="C22" i="20"/>
  <c r="B65" i="46" s="1"/>
  <c r="C21" i="20"/>
  <c r="B53" i="46" s="1"/>
  <c r="G20" i="20"/>
  <c r="B85" i="46" s="1"/>
  <c r="C20" i="20"/>
  <c r="B76" i="46" s="1"/>
  <c r="G19" i="20"/>
  <c r="B84" i="46" s="1"/>
  <c r="G18" i="20"/>
  <c r="C23" i="40" s="1"/>
  <c r="C18" i="20"/>
  <c r="C17" i="20"/>
  <c r="B58" i="46" s="1"/>
  <c r="G16" i="20"/>
  <c r="B81" i="46" s="1"/>
  <c r="C16" i="20"/>
  <c r="B47" i="46" s="1"/>
  <c r="G15" i="20"/>
  <c r="B80" i="46" s="1"/>
  <c r="C15" i="20"/>
  <c r="B69" i="46" s="1"/>
  <c r="B52" i="1"/>
  <c r="M20" i="15" s="1"/>
  <c r="B43" i="1"/>
  <c r="D111" i="9" s="1"/>
  <c r="B31" i="1"/>
  <c r="E10" i="11" s="1"/>
  <c r="B24" i="1"/>
  <c r="B23" i="1"/>
  <c r="B22" i="1"/>
  <c r="C2" i="65" s="1"/>
  <c r="AG13" i="1"/>
  <c r="AE13" i="1"/>
  <c r="F13" i="1"/>
  <c r="AP13" i="1" s="1"/>
  <c r="D13" i="1"/>
  <c r="A13" i="1"/>
  <c r="AG12" i="1"/>
  <c r="AE12" i="1"/>
  <c r="F12" i="1"/>
  <c r="AP12" i="1" s="1"/>
  <c r="D12" i="1"/>
  <c r="A12" i="1"/>
  <c r="K12" i="1" s="1"/>
  <c r="M12" i="1" s="1"/>
  <c r="AG11" i="1"/>
  <c r="AE11" i="1"/>
  <c r="F11" i="1"/>
  <c r="AP11" i="1" s="1"/>
  <c r="D11" i="1"/>
  <c r="A11" i="1"/>
  <c r="AG10" i="1"/>
  <c r="AE10" i="1"/>
  <c r="F10" i="1"/>
  <c r="AP10" i="1" s="1"/>
  <c r="D10" i="1"/>
  <c r="A10" i="1"/>
  <c r="K10" i="1" s="1"/>
  <c r="M10" i="1" s="1"/>
  <c r="AG9" i="1"/>
  <c r="AE9" i="1"/>
  <c r="F9" i="1"/>
  <c r="AP9" i="1" s="1"/>
  <c r="D9" i="1"/>
  <c r="A9" i="1"/>
  <c r="AG8" i="1"/>
  <c r="D8" i="1"/>
  <c r="A8" i="1"/>
  <c r="AG7" i="1"/>
  <c r="AE7" i="1"/>
  <c r="D7" i="1"/>
  <c r="A7" i="1"/>
  <c r="AG6" i="1"/>
  <c r="D6" i="1"/>
  <c r="A6" i="1"/>
  <c r="T4" i="1"/>
  <c r="O27" i="6"/>
  <c r="N27" i="6"/>
  <c r="G27" i="6"/>
  <c r="P26" i="6"/>
  <c r="L26" i="6"/>
  <c r="E26" i="6"/>
  <c r="P25" i="6"/>
  <c r="L25" i="6"/>
  <c r="E25" i="6"/>
  <c r="P24" i="6"/>
  <c r="L24" i="6"/>
  <c r="E24" i="6"/>
  <c r="P23" i="6"/>
  <c r="L23" i="6"/>
  <c r="E23" i="6"/>
  <c r="P22" i="6"/>
  <c r="L22" i="6"/>
  <c r="E22" i="6"/>
  <c r="P21" i="6"/>
  <c r="L21" i="6"/>
  <c r="E21" i="6"/>
  <c r="E9" i="12" s="1"/>
  <c r="P20" i="6"/>
  <c r="L20" i="6"/>
  <c r="E20" i="6"/>
  <c r="D3" i="33" s="1"/>
  <c r="P19" i="6"/>
  <c r="E19" i="6"/>
  <c r="E32" i="6" s="1"/>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G572" i="3" s="1"/>
  <c r="H572" i="3"/>
  <c r="BT571" i="3"/>
  <c r="BS571" i="3"/>
  <c r="BR571" i="3"/>
  <c r="BQ571" i="3"/>
  <c r="BP571" i="3"/>
  <c r="BO571" i="3"/>
  <c r="BN571" i="3"/>
  <c r="BM571" i="3"/>
  <c r="BL571" i="3" s="1"/>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M565" i="3"/>
  <c r="BL565" i="3" s="1"/>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G562" i="3" s="1"/>
  <c r="H562" i="3"/>
  <c r="BT561" i="3"/>
  <c r="BS561" i="3"/>
  <c r="BR561" i="3"/>
  <c r="BQ561" i="3"/>
  <c r="BP561" i="3"/>
  <c r="BO561" i="3"/>
  <c r="BN561" i="3"/>
  <c r="BM561" i="3"/>
  <c r="BL561" i="3" s="1"/>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G560" i="3" s="1"/>
  <c r="H560" i="3"/>
  <c r="BT559" i="3"/>
  <c r="BS559" i="3"/>
  <c r="BR559" i="3"/>
  <c r="BQ559" i="3"/>
  <c r="BP559" i="3"/>
  <c r="BO559" i="3"/>
  <c r="BN559" i="3"/>
  <c r="BM559" i="3"/>
  <c r="BL559" i="3" s="1"/>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s="1"/>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G554" i="3" s="1"/>
  <c r="H554" i="3"/>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G544" i="3" s="1"/>
  <c r="H544" i="3"/>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G540" i="3" s="1"/>
  <c r="H540" i="3"/>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G528" i="3" s="1"/>
  <c r="H528" i="3"/>
  <c r="BT527" i="3"/>
  <c r="BS527" i="3"/>
  <c r="BR527" i="3"/>
  <c r="BQ527" i="3"/>
  <c r="BP527" i="3"/>
  <c r="BO527" i="3"/>
  <c r="BN527" i="3"/>
  <c r="BM527" i="3"/>
  <c r="BL527" i="3" s="1"/>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G524" i="3" s="1"/>
  <c r="H524" i="3"/>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L511" i="3" s="1"/>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G508" i="3" s="1"/>
  <c r="H508" i="3"/>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G496" i="3" s="1"/>
  <c r="H496" i="3"/>
  <c r="BT495" i="3"/>
  <c r="BS495" i="3"/>
  <c r="BR495" i="3"/>
  <c r="BQ495" i="3"/>
  <c r="BP495" i="3"/>
  <c r="BO495" i="3"/>
  <c r="BN495" i="3"/>
  <c r="BM495" i="3"/>
  <c r="BL495" i="3" s="1"/>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s="1"/>
  <c r="H376" i="3"/>
  <c r="BT375" i="3"/>
  <c r="BS375" i="3"/>
  <c r="BR375" i="3"/>
  <c r="BQ375" i="3"/>
  <c r="BP375" i="3"/>
  <c r="BO375" i="3"/>
  <c r="BN375" i="3"/>
  <c r="BM375" i="3"/>
  <c r="BL375" i="3" s="1"/>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s="1"/>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G356" i="3" s="1"/>
  <c r="H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s="1"/>
  <c r="H344" i="3"/>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G340" i="3" s="1"/>
  <c r="H340" i="3"/>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G332" i="3" s="1"/>
  <c r="H332" i="3"/>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A167" i="3" s="1"/>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G66" i="3" s="1"/>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G20" i="3" s="1"/>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17" i="3"/>
  <c r="BS17" i="3"/>
  <c r="BR17" i="3"/>
  <c r="BQ17" i="3"/>
  <c r="BP17" i="3"/>
  <c r="BP5" i="3" s="1"/>
  <c r="BO17" i="3"/>
  <c r="BN17" i="3"/>
  <c r="BM17" i="3"/>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I5" i="3" s="1"/>
  <c r="BH14" i="3"/>
  <c r="BG14" i="3"/>
  <c r="BF14" i="3"/>
  <c r="BE14" i="3"/>
  <c r="BE5" i="3" s="1"/>
  <c r="BD14" i="3"/>
  <c r="BC14" i="3"/>
  <c r="BB14" i="3"/>
  <c r="AX14" i="3"/>
  <c r="AW14" i="3"/>
  <c r="AV14" i="3"/>
  <c r="AC14" i="3"/>
  <c r="H14" i="3"/>
  <c r="H5" i="3" s="1"/>
  <c r="BT13" i="3"/>
  <c r="BS13" i="3"/>
  <c r="BS5" i="3" s="1"/>
  <c r="BR13" i="3"/>
  <c r="BQ13" i="3"/>
  <c r="BQ5" i="3" s="1"/>
  <c r="F28" i="6" s="1"/>
  <c r="BP13" i="3"/>
  <c r="BO13" i="3"/>
  <c r="BO5" i="3" s="1"/>
  <c r="BN13" i="3"/>
  <c r="BM13" i="3"/>
  <c r="BL13" i="3" s="1"/>
  <c r="BK13" i="3"/>
  <c r="BJ13" i="3"/>
  <c r="BJ5" i="3" s="1"/>
  <c r="BI13" i="3"/>
  <c r="BH13" i="3"/>
  <c r="BH5" i="3" s="1"/>
  <c r="BG13" i="3"/>
  <c r="BF13" i="3"/>
  <c r="BF5" i="3" s="1"/>
  <c r="BE13" i="3"/>
  <c r="BD13" i="3"/>
  <c r="BD5" i="3" s="1"/>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J52" i="40" s="1"/>
  <c r="K40" i="4"/>
  <c r="T40" i="4" s="1"/>
  <c r="T41" i="4" s="1"/>
  <c r="G36" i="4"/>
  <c r="C35" i="4"/>
  <c r="L26" i="4"/>
  <c r="L25" i="4"/>
  <c r="L24" i="4"/>
  <c r="A2" i="55" s="1"/>
  <c r="B55" i="63" s="1"/>
  <c r="F23" i="4"/>
  <c r="I19" i="4"/>
  <c r="H19" i="4"/>
  <c r="F19" i="4"/>
  <c r="U16" i="4"/>
  <c r="S16" i="4"/>
  <c r="T16" i="4" s="1"/>
  <c r="Q16" i="4"/>
  <c r="O16" i="4"/>
  <c r="M16" i="4"/>
  <c r="K16" i="4"/>
  <c r="D14" i="4"/>
  <c r="K6" i="4"/>
  <c r="O76" i="9" s="1"/>
  <c r="K4" i="4"/>
  <c r="B46" i="50" s="1"/>
  <c r="B4" i="63" s="1"/>
  <c r="I4" i="4"/>
  <c r="G4" i="4"/>
  <c r="D3" i="4"/>
  <c r="C1" i="65" s="1"/>
  <c r="K2" i="4"/>
  <c r="K1" i="4"/>
  <c r="B1" i="4"/>
  <c r="B37" i="50" s="1"/>
  <c r="B2" i="63" s="1"/>
  <c r="C57" i="10"/>
  <c r="C56" i="10"/>
  <c r="C55" i="10"/>
  <c r="C54" i="10"/>
  <c r="D51" i="10"/>
  <c r="A9" i="64" s="1"/>
  <c r="B51" i="10"/>
  <c r="B2" i="52"/>
  <c r="E21" i="52" s="1"/>
  <c r="A21" i="55"/>
  <c r="A20" i="55"/>
  <c r="B69" i="63" s="1"/>
  <c r="A16" i="55"/>
  <c r="B67" i="63" s="1"/>
  <c r="A15" i="55"/>
  <c r="B66" i="63" s="1"/>
  <c r="A14" i="55"/>
  <c r="B65" i="63" s="1"/>
  <c r="A11" i="55"/>
  <c r="B62" i="63" s="1"/>
  <c r="A10" i="55"/>
  <c r="B61" i="63" s="1"/>
  <c r="A9" i="55"/>
  <c r="A8" i="55"/>
  <c r="B59" i="63" s="1"/>
  <c r="A4" i="55"/>
  <c r="A8" i="54"/>
  <c r="B53" i="63" s="1"/>
  <c r="A7" i="54"/>
  <c r="B51" i="63" s="1"/>
  <c r="A6" i="54"/>
  <c r="B49" i="63" s="1"/>
  <c r="M5" i="54"/>
  <c r="G5" i="54"/>
  <c r="B34" i="63" s="1"/>
  <c r="E5" i="54"/>
  <c r="B32" i="63" s="1"/>
  <c r="N3" i="54"/>
  <c r="B42" i="63" s="1"/>
  <c r="R2" i="54"/>
  <c r="B24" i="63" s="1"/>
  <c r="K2" i="54"/>
  <c r="B23" i="63" s="1"/>
  <c r="A28" i="64"/>
  <c r="A27" i="64"/>
  <c r="A26" i="64"/>
  <c r="A21" i="64"/>
  <c r="A18" i="64"/>
  <c r="B74" i="63" s="1"/>
  <c r="A15" i="64"/>
  <c r="A14" i="64"/>
  <c r="A3" i="64"/>
  <c r="A28" i="51"/>
  <c r="B21" i="63" s="1"/>
  <c r="A27" i="51"/>
  <c r="B20" i="63" s="1"/>
  <c r="A26" i="51"/>
  <c r="B19" i="63" s="1"/>
  <c r="A23" i="51"/>
  <c r="B17" i="63" s="1"/>
  <c r="A18" i="51"/>
  <c r="B14" i="63" s="1"/>
  <c r="A15" i="51"/>
  <c r="A14" i="51"/>
  <c r="B11" i="63" s="1"/>
  <c r="A3" i="51"/>
  <c r="B49" i="50"/>
  <c r="B5" i="63" s="1"/>
  <c r="B40" i="50"/>
  <c r="B3" i="63" s="1"/>
  <c r="B76" i="63"/>
  <c r="B75" i="63"/>
  <c r="B73" i="63"/>
  <c r="B71" i="63"/>
  <c r="B68" i="63"/>
  <c r="B64" i="63"/>
  <c r="B63" i="63"/>
  <c r="B60" i="63"/>
  <c r="B58" i="63"/>
  <c r="B57" i="63"/>
  <c r="B44" i="63"/>
  <c r="B41" i="63"/>
  <c r="B40" i="63"/>
  <c r="B37" i="63"/>
  <c r="B36" i="63"/>
  <c r="B35" i="63"/>
  <c r="B33" i="63"/>
  <c r="B31" i="63"/>
  <c r="B30" i="63"/>
  <c r="B29" i="63"/>
  <c r="B28" i="63"/>
  <c r="B27" i="63"/>
  <c r="B26" i="63"/>
  <c r="B25" i="63"/>
  <c r="B12" i="63"/>
  <c r="B8" i="63"/>
  <c r="B11" i="67"/>
  <c r="E11" i="67"/>
  <c r="B13" i="67"/>
  <c r="B9" i="67"/>
  <c r="E14" i="67"/>
  <c r="B8" i="67"/>
  <c r="E13" i="67"/>
  <c r="E10" i="67"/>
  <c r="F14" i="67"/>
  <c r="E8" i="67"/>
  <c r="F8" i="67"/>
  <c r="B14" i="67"/>
  <c r="B12" i="67"/>
  <c r="F10" i="67"/>
  <c r="B10" i="67"/>
  <c r="F9" i="67"/>
  <c r="E9" i="67"/>
  <c r="F13" i="67"/>
  <c r="F12" i="67"/>
  <c r="E12" i="67"/>
  <c r="F11" i="67"/>
  <c r="AC45" i="39" l="1"/>
  <c r="K36" i="68"/>
  <c r="I60" i="68" s="1"/>
  <c r="AB14" i="40"/>
  <c r="U14" i="40"/>
  <c r="AB16" i="40"/>
  <c r="U16" i="40"/>
  <c r="AB40" i="40"/>
  <c r="U40" i="40"/>
  <c r="U42" i="40"/>
  <c r="AB42" i="40"/>
  <c r="AC33" i="40"/>
  <c r="W33" i="40"/>
  <c r="AB35" i="21"/>
  <c r="I84" i="68"/>
  <c r="G108" i="68" s="1"/>
  <c r="W13" i="34"/>
  <c r="AC13" i="34"/>
  <c r="AB12" i="35"/>
  <c r="U12" i="35"/>
  <c r="BA200" i="3"/>
  <c r="AZ200" i="3" s="1"/>
  <c r="BA202" i="3"/>
  <c r="AZ202" i="3" s="1"/>
  <c r="BL277" i="3"/>
  <c r="AZ277" i="3" s="1"/>
  <c r="BL479" i="3"/>
  <c r="AB41" i="39"/>
  <c r="I33" i="68"/>
  <c r="G57" i="68" s="1"/>
  <c r="AC44" i="39"/>
  <c r="K35" i="68"/>
  <c r="I59" i="68" s="1"/>
  <c r="AB45" i="39"/>
  <c r="I36" i="68"/>
  <c r="G60" i="68" s="1"/>
  <c r="U10" i="40"/>
  <c r="AB11" i="40"/>
  <c r="W37" i="40"/>
  <c r="B51" i="46"/>
  <c r="B66" i="46"/>
  <c r="B73" i="46"/>
  <c r="B87" i="46"/>
  <c r="F9" i="59"/>
  <c r="F8" i="59" s="1"/>
  <c r="D3" i="21"/>
  <c r="AB41" i="21"/>
  <c r="I88" i="68"/>
  <c r="G112" i="68" s="1"/>
  <c r="AB15" i="21"/>
  <c r="I76" i="68"/>
  <c r="G100" i="68" s="1"/>
  <c r="AA33" i="33"/>
  <c r="G138" i="68"/>
  <c r="E162" i="68" s="1"/>
  <c r="W8" i="34"/>
  <c r="AB27" i="34"/>
  <c r="AB29" i="34"/>
  <c r="AB31" i="34"/>
  <c r="AA36" i="34"/>
  <c r="AB37" i="34"/>
  <c r="AB41" i="34"/>
  <c r="AA44" i="34"/>
  <c r="AB47" i="34"/>
  <c r="AA9" i="37"/>
  <c r="AB17" i="37"/>
  <c r="W23" i="35"/>
  <c r="W11" i="36"/>
  <c r="W23" i="36"/>
  <c r="B20" i="31"/>
  <c r="A11" i="51"/>
  <c r="B10" i="63" s="1"/>
  <c r="A30" i="51"/>
  <c r="B22" i="63" s="1"/>
  <c r="A11" i="64"/>
  <c r="N16" i="4"/>
  <c r="R16" i="4"/>
  <c r="D19" i="4"/>
  <c r="G14" i="3"/>
  <c r="BA14" i="3"/>
  <c r="BN5" i="3"/>
  <c r="BR5" i="3"/>
  <c r="BC5" i="3"/>
  <c r="G16" i="3"/>
  <c r="BA16" i="3"/>
  <c r="AZ16" i="3" s="1"/>
  <c r="BL17" i="3"/>
  <c r="G19" i="3"/>
  <c r="BL19" i="3"/>
  <c r="G21" i="3"/>
  <c r="BL21" i="3"/>
  <c r="G23" i="3"/>
  <c r="BA23" i="3"/>
  <c r="AZ23" i="3" s="1"/>
  <c r="G24" i="3"/>
  <c r="BA24" i="3"/>
  <c r="AZ24" i="3" s="1"/>
  <c r="G26" i="3"/>
  <c r="BA26" i="3"/>
  <c r="AZ26" i="3" s="1"/>
  <c r="G28" i="3"/>
  <c r="BA28" i="3"/>
  <c r="AZ28" i="3" s="1"/>
  <c r="G30" i="3"/>
  <c r="BA30" i="3"/>
  <c r="AZ30" i="3" s="1"/>
  <c r="G32" i="3"/>
  <c r="BA32" i="3"/>
  <c r="AZ32" i="3" s="1"/>
  <c r="G34" i="3"/>
  <c r="BA34" i="3"/>
  <c r="AZ34" i="3" s="1"/>
  <c r="G36" i="3"/>
  <c r="BA36" i="3"/>
  <c r="AZ36" i="3" s="1"/>
  <c r="G38" i="3"/>
  <c r="BA38" i="3"/>
  <c r="AZ38" i="3" s="1"/>
  <c r="G40" i="3"/>
  <c r="BA40" i="3"/>
  <c r="AZ40" i="3" s="1"/>
  <c r="BL41" i="3"/>
  <c r="G43" i="3"/>
  <c r="BL43" i="3"/>
  <c r="G45" i="3"/>
  <c r="BL45" i="3"/>
  <c r="G47" i="3"/>
  <c r="BL47" i="3"/>
  <c r="G49" i="3"/>
  <c r="BL49" i="3"/>
  <c r="G51" i="3"/>
  <c r="BL51" i="3"/>
  <c r="G53" i="3"/>
  <c r="BA53" i="3"/>
  <c r="AZ53" i="3" s="1"/>
  <c r="G54" i="3"/>
  <c r="BA54" i="3"/>
  <c r="AZ54" i="3" s="1"/>
  <c r="G56" i="3"/>
  <c r="BA56" i="3"/>
  <c r="AZ56" i="3" s="1"/>
  <c r="G58" i="3"/>
  <c r="BA58" i="3"/>
  <c r="AZ58" i="3" s="1"/>
  <c r="G60" i="3"/>
  <c r="BA60" i="3"/>
  <c r="AZ60" i="3" s="1"/>
  <c r="G62" i="3"/>
  <c r="BA62" i="3"/>
  <c r="AZ62" i="3" s="1"/>
  <c r="BL63" i="3"/>
  <c r="AZ63" i="3" s="1"/>
  <c r="G65" i="3"/>
  <c r="BL65" i="3"/>
  <c r="AZ65" i="3" s="1"/>
  <c r="G67" i="3"/>
  <c r="BL67" i="3"/>
  <c r="AZ67" i="3" s="1"/>
  <c r="G69" i="3"/>
  <c r="BL69" i="3"/>
  <c r="G71" i="3"/>
  <c r="BL71" i="3"/>
  <c r="G73" i="3"/>
  <c r="BL73" i="3"/>
  <c r="G75" i="3"/>
  <c r="BL75" i="3"/>
  <c r="G77" i="3"/>
  <c r="BL77" i="3"/>
  <c r="G79" i="3"/>
  <c r="BL79" i="3"/>
  <c r="G81" i="3"/>
  <c r="BA81" i="3"/>
  <c r="AZ81" i="3" s="1"/>
  <c r="G82" i="3"/>
  <c r="BA82" i="3"/>
  <c r="AZ82" i="3" s="1"/>
  <c r="G84" i="3"/>
  <c r="BA84" i="3"/>
  <c r="AZ84" i="3" s="1"/>
  <c r="G86" i="3"/>
  <c r="BA86" i="3"/>
  <c r="AZ86" i="3" s="1"/>
  <c r="G88" i="3"/>
  <c r="BA88" i="3"/>
  <c r="AZ88" i="3" s="1"/>
  <c r="G90" i="3"/>
  <c r="BA90" i="3"/>
  <c r="AZ90" i="3" s="1"/>
  <c r="G92" i="3"/>
  <c r="BA92" i="3"/>
  <c r="AZ92" i="3" s="1"/>
  <c r="G94" i="3"/>
  <c r="BA94" i="3"/>
  <c r="AZ94" i="3" s="1"/>
  <c r="G96" i="3"/>
  <c r="BA96" i="3"/>
  <c r="AZ96" i="3" s="1"/>
  <c r="G98" i="3"/>
  <c r="BA98" i="3"/>
  <c r="AZ98" i="3" s="1"/>
  <c r="G101" i="3"/>
  <c r="BA101" i="3"/>
  <c r="AZ101" i="3" s="1"/>
  <c r="G102" i="3"/>
  <c r="BA102" i="3"/>
  <c r="AZ102" i="3" s="1"/>
  <c r="G104" i="3"/>
  <c r="BA104" i="3"/>
  <c r="AZ104" i="3" s="1"/>
  <c r="G106" i="3"/>
  <c r="BA106" i="3"/>
  <c r="AZ106" i="3" s="1"/>
  <c r="G108" i="3"/>
  <c r="BA108" i="3"/>
  <c r="AZ108" i="3" s="1"/>
  <c r="BL109" i="3"/>
  <c r="AZ109" i="3" s="1"/>
  <c r="G111" i="3"/>
  <c r="BL111" i="3"/>
  <c r="G113" i="3"/>
  <c r="BL113" i="3"/>
  <c r="AZ113" i="3" s="1"/>
  <c r="G115" i="3"/>
  <c r="BL115" i="3"/>
  <c r="G117" i="3"/>
  <c r="BA117" i="3"/>
  <c r="AZ117" i="3" s="1"/>
  <c r="G118" i="3"/>
  <c r="BA118" i="3"/>
  <c r="AZ118" i="3" s="1"/>
  <c r="BL119" i="3"/>
  <c r="G121" i="3"/>
  <c r="BL121" i="3"/>
  <c r="G123" i="3"/>
  <c r="BL123" i="3"/>
  <c r="G125" i="3"/>
  <c r="BL125" i="3"/>
  <c r="G127" i="3"/>
  <c r="BL127" i="3"/>
  <c r="G129" i="3"/>
  <c r="BL129" i="3"/>
  <c r="G131" i="3"/>
  <c r="BL131" i="3"/>
  <c r="G133" i="3"/>
  <c r="BL133" i="3"/>
  <c r="G135" i="3"/>
  <c r="BL135" i="3"/>
  <c r="G137" i="3"/>
  <c r="BA137" i="3"/>
  <c r="AZ137" i="3" s="1"/>
  <c r="G138" i="3"/>
  <c r="BA138" i="3"/>
  <c r="AZ138" i="3" s="1"/>
  <c r="BL139" i="3"/>
  <c r="G141" i="3"/>
  <c r="BA141" i="3"/>
  <c r="AZ141" i="3" s="1"/>
  <c r="G142" i="3"/>
  <c r="BA142" i="3"/>
  <c r="AZ142" i="3" s="1"/>
  <c r="G144" i="3"/>
  <c r="BA144" i="3"/>
  <c r="AZ144" i="3" s="1"/>
  <c r="G146" i="3"/>
  <c r="BA146" i="3"/>
  <c r="AZ146" i="3" s="1"/>
  <c r="G148" i="3"/>
  <c r="BA148" i="3"/>
  <c r="AZ148" i="3" s="1"/>
  <c r="G150" i="3"/>
  <c r="BA150" i="3"/>
  <c r="AZ150" i="3" s="1"/>
  <c r="G152" i="3"/>
  <c r="BA152" i="3"/>
  <c r="AZ152" i="3" s="1"/>
  <c r="G154" i="3"/>
  <c r="BA154" i="3"/>
  <c r="AZ154" i="3" s="1"/>
  <c r="G156" i="3"/>
  <c r="BA156" i="3"/>
  <c r="AZ156" i="3" s="1"/>
  <c r="G158" i="3"/>
  <c r="BA158" i="3"/>
  <c r="AZ158" i="3" s="1"/>
  <c r="G160" i="3"/>
  <c r="BA160" i="3"/>
  <c r="AZ160" i="3" s="1"/>
  <c r="G162" i="3"/>
  <c r="BA162" i="3"/>
  <c r="AZ162" i="3" s="1"/>
  <c r="G164" i="3"/>
  <c r="BA164" i="3"/>
  <c r="AZ164" i="3" s="1"/>
  <c r="G166" i="3"/>
  <c r="BA166" i="3"/>
  <c r="AZ166" i="3" s="1"/>
  <c r="BL167" i="3"/>
  <c r="G169" i="3"/>
  <c r="BL169" i="3"/>
  <c r="G171" i="3"/>
  <c r="BL171" i="3"/>
  <c r="G173" i="3"/>
  <c r="BL173" i="3"/>
  <c r="G175" i="3"/>
  <c r="BL175" i="3"/>
  <c r="G177" i="3"/>
  <c r="BL177" i="3"/>
  <c r="G179" i="3"/>
  <c r="BL179" i="3"/>
  <c r="G181" i="3"/>
  <c r="BL181" i="3"/>
  <c r="G183" i="3"/>
  <c r="BL183" i="3"/>
  <c r="G185" i="3"/>
  <c r="BL185" i="3"/>
  <c r="G187" i="3"/>
  <c r="BL187" i="3"/>
  <c r="G189" i="3"/>
  <c r="BA189" i="3"/>
  <c r="AZ189" i="3" s="1"/>
  <c r="G190" i="3"/>
  <c r="BA190" i="3"/>
  <c r="AZ190" i="3" s="1"/>
  <c r="G192" i="3"/>
  <c r="BA192" i="3"/>
  <c r="AZ192" i="3" s="1"/>
  <c r="G194" i="3"/>
  <c r="BA194" i="3"/>
  <c r="AZ194" i="3" s="1"/>
  <c r="G196" i="3"/>
  <c r="BA196" i="3"/>
  <c r="AZ196" i="3" s="1"/>
  <c r="G198" i="3"/>
  <c r="BA198" i="3"/>
  <c r="AZ198" i="3" s="1"/>
  <c r="BL199" i="3"/>
  <c r="G201" i="3"/>
  <c r="BL201" i="3"/>
  <c r="G203" i="3"/>
  <c r="BL203" i="3"/>
  <c r="G205" i="3"/>
  <c r="BL205" i="3"/>
  <c r="G207" i="3"/>
  <c r="BL207" i="3"/>
  <c r="G209" i="3"/>
  <c r="BL209" i="3"/>
  <c r="G211" i="3"/>
  <c r="BL211" i="3"/>
  <c r="G213" i="3"/>
  <c r="BA213" i="3"/>
  <c r="AZ213" i="3" s="1"/>
  <c r="G214" i="3"/>
  <c r="BA214" i="3"/>
  <c r="AZ214" i="3" s="1"/>
  <c r="G216" i="3"/>
  <c r="BA216" i="3"/>
  <c r="AZ216" i="3" s="1"/>
  <c r="G218" i="3"/>
  <c r="BA218" i="3"/>
  <c r="AZ218" i="3" s="1"/>
  <c r="G220" i="3"/>
  <c r="BA220" i="3"/>
  <c r="AZ220" i="3" s="1"/>
  <c r="BL221" i="3"/>
  <c r="G223" i="3"/>
  <c r="BA223" i="3"/>
  <c r="AZ223" i="3" s="1"/>
  <c r="G224" i="3"/>
  <c r="BA224" i="3"/>
  <c r="AZ224" i="3" s="1"/>
  <c r="G226" i="3"/>
  <c r="BA226" i="3"/>
  <c r="AZ226" i="3" s="1"/>
  <c r="G228" i="3"/>
  <c r="BA228" i="3"/>
  <c r="AZ228" i="3" s="1"/>
  <c r="BL229" i="3"/>
  <c r="G231" i="3"/>
  <c r="BL231" i="3"/>
  <c r="G233" i="3"/>
  <c r="BL233" i="3"/>
  <c r="G235" i="3"/>
  <c r="BL235" i="3"/>
  <c r="G237" i="3"/>
  <c r="BL237" i="3"/>
  <c r="G239" i="3"/>
  <c r="BL239" i="3"/>
  <c r="G241" i="3"/>
  <c r="BL241" i="3"/>
  <c r="G243" i="3"/>
  <c r="BL243" i="3"/>
  <c r="G245" i="3"/>
  <c r="BL245" i="3"/>
  <c r="G247" i="3"/>
  <c r="BL247" i="3"/>
  <c r="G249" i="3"/>
  <c r="BA249" i="3"/>
  <c r="AZ249" i="3" s="1"/>
  <c r="G250" i="3"/>
  <c r="BA250" i="3"/>
  <c r="AZ250" i="3" s="1"/>
  <c r="G252" i="3"/>
  <c r="BA252" i="3"/>
  <c r="AZ252" i="3" s="1"/>
  <c r="G254" i="3"/>
  <c r="BA254" i="3"/>
  <c r="AZ254" i="3" s="1"/>
  <c r="BL255" i="3"/>
  <c r="G257" i="3"/>
  <c r="BL257" i="3"/>
  <c r="G259" i="3"/>
  <c r="BL259" i="3"/>
  <c r="G261" i="3"/>
  <c r="BL261" i="3"/>
  <c r="G263" i="3"/>
  <c r="BL263" i="3"/>
  <c r="G265" i="3"/>
  <c r="BL265" i="3"/>
  <c r="G267" i="3"/>
  <c r="BL267" i="3"/>
  <c r="G269" i="3"/>
  <c r="BA269" i="3"/>
  <c r="AZ269" i="3" s="1"/>
  <c r="G270" i="3"/>
  <c r="BA270" i="3"/>
  <c r="AZ270" i="3" s="1"/>
  <c r="G272" i="3"/>
  <c r="BA272" i="3"/>
  <c r="AZ272" i="3" s="1"/>
  <c r="G274" i="3"/>
  <c r="BA274" i="3"/>
  <c r="AZ274" i="3" s="1"/>
  <c r="G276" i="3"/>
  <c r="BA276" i="3"/>
  <c r="AZ276" i="3" s="1"/>
  <c r="G278" i="3"/>
  <c r="BA278" i="3"/>
  <c r="AZ278" i="3" s="1"/>
  <c r="G280" i="3"/>
  <c r="BA280" i="3"/>
  <c r="AZ280" i="3" s="1"/>
  <c r="G282" i="3"/>
  <c r="BA282" i="3"/>
  <c r="AZ282" i="3" s="1"/>
  <c r="G284" i="3"/>
  <c r="BA284" i="3"/>
  <c r="AZ284" i="3" s="1"/>
  <c r="G286" i="3"/>
  <c r="BA286" i="3"/>
  <c r="AZ286" i="3" s="1"/>
  <c r="G288" i="3"/>
  <c r="BA288" i="3"/>
  <c r="AZ288" i="3" s="1"/>
  <c r="G290" i="3"/>
  <c r="BA290" i="3"/>
  <c r="AZ290" i="3" s="1"/>
  <c r="G292" i="3"/>
  <c r="BA292" i="3"/>
  <c r="AZ292" i="3" s="1"/>
  <c r="G294" i="3"/>
  <c r="BA294" i="3"/>
  <c r="AZ294" i="3" s="1"/>
  <c r="G296" i="3"/>
  <c r="BA296" i="3"/>
  <c r="AZ296" i="3" s="1"/>
  <c r="G298" i="3"/>
  <c r="BA298" i="3"/>
  <c r="AZ298" i="3" s="1"/>
  <c r="G300" i="3"/>
  <c r="BA300" i="3"/>
  <c r="AZ300" i="3" s="1"/>
  <c r="G302" i="3"/>
  <c r="BA302" i="3"/>
  <c r="AZ302" i="3" s="1"/>
  <c r="G304" i="3"/>
  <c r="BA304" i="3"/>
  <c r="AZ304" i="3" s="1"/>
  <c r="G306" i="3"/>
  <c r="BA306" i="3"/>
  <c r="AZ306" i="3" s="1"/>
  <c r="BA308" i="3"/>
  <c r="AZ308" i="3" s="1"/>
  <c r="BA310" i="3"/>
  <c r="AZ310" i="3" s="1"/>
  <c r="BA312" i="3"/>
  <c r="AZ312" i="3" s="1"/>
  <c r="BA314" i="3"/>
  <c r="AZ314" i="3" s="1"/>
  <c r="BA316" i="3"/>
  <c r="AZ316" i="3" s="1"/>
  <c r="BA318" i="3"/>
  <c r="AZ318" i="3" s="1"/>
  <c r="G320" i="3"/>
  <c r="G321" i="3"/>
  <c r="BL321" i="3"/>
  <c r="BA322" i="3"/>
  <c r="AZ322" i="3" s="1"/>
  <c r="G324" i="3"/>
  <c r="G325" i="3"/>
  <c r="BL325" i="3"/>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G358" i="3"/>
  <c r="G359" i="3"/>
  <c r="BL359" i="3"/>
  <c r="BA360" i="3"/>
  <c r="AZ360" i="3" s="1"/>
  <c r="G362" i="3"/>
  <c r="G363" i="3"/>
  <c r="BL363" i="3"/>
  <c r="BA364" i="3"/>
  <c r="AZ364" i="3" s="1"/>
  <c r="BA366" i="3"/>
  <c r="AZ366" i="3" s="1"/>
  <c r="BA368" i="3"/>
  <c r="AZ368" i="3" s="1"/>
  <c r="BA370" i="3"/>
  <c r="AZ370" i="3" s="1"/>
  <c r="BA372" i="3"/>
  <c r="AZ372" i="3" s="1"/>
  <c r="BA374" i="3"/>
  <c r="AZ374" i="3" s="1"/>
  <c r="BA376" i="3"/>
  <c r="AZ376" i="3" s="1"/>
  <c r="BA378" i="3"/>
  <c r="AZ378" i="3" s="1"/>
  <c r="BA380" i="3"/>
  <c r="AZ380" i="3" s="1"/>
  <c r="BA382" i="3"/>
  <c r="AZ382" i="3" s="1"/>
  <c r="BA384" i="3"/>
  <c r="AZ384" i="3" s="1"/>
  <c r="BA386" i="3"/>
  <c r="AZ386" i="3" s="1"/>
  <c r="BA388" i="3"/>
  <c r="AZ388" i="3" s="1"/>
  <c r="BA390" i="3"/>
  <c r="AZ390" i="3" s="1"/>
  <c r="BA392" i="3"/>
  <c r="AZ392" i="3" s="1"/>
  <c r="BA394" i="3"/>
  <c r="AZ394" i="3" s="1"/>
  <c r="BA396" i="3"/>
  <c r="AZ396" i="3" s="1"/>
  <c r="BA398" i="3"/>
  <c r="AZ398" i="3" s="1"/>
  <c r="BA400" i="3"/>
  <c r="AZ400" i="3" s="1"/>
  <c r="BA402" i="3"/>
  <c r="AZ402" i="3" s="1"/>
  <c r="BA404" i="3"/>
  <c r="AZ404" i="3" s="1"/>
  <c r="BA406" i="3"/>
  <c r="AZ406" i="3" s="1"/>
  <c r="BA408" i="3"/>
  <c r="AZ408" i="3" s="1"/>
  <c r="BA410" i="3"/>
  <c r="AZ410" i="3" s="1"/>
  <c r="BA412" i="3"/>
  <c r="AZ412" i="3" s="1"/>
  <c r="BA414" i="3"/>
  <c r="AZ414" i="3" s="1"/>
  <c r="BA416" i="3"/>
  <c r="AZ416" i="3" s="1"/>
  <c r="BA418" i="3"/>
  <c r="AZ418" i="3" s="1"/>
  <c r="BA420" i="3"/>
  <c r="AZ420" i="3" s="1"/>
  <c r="BA422" i="3"/>
  <c r="AZ422" i="3" s="1"/>
  <c r="BA424" i="3"/>
  <c r="AZ424" i="3" s="1"/>
  <c r="BA426" i="3"/>
  <c r="AZ426" i="3" s="1"/>
  <c r="BA428" i="3"/>
  <c r="AZ428" i="3" s="1"/>
  <c r="BA430" i="3"/>
  <c r="AZ430" i="3" s="1"/>
  <c r="BA432" i="3"/>
  <c r="AZ432" i="3" s="1"/>
  <c r="BA434" i="3"/>
  <c r="AZ434" i="3" s="1"/>
  <c r="BA436" i="3"/>
  <c r="AZ436" i="3" s="1"/>
  <c r="BA438" i="3"/>
  <c r="AZ438" i="3" s="1"/>
  <c r="BA440" i="3"/>
  <c r="AZ440" i="3" s="1"/>
  <c r="BA442" i="3"/>
  <c r="AZ442" i="3" s="1"/>
  <c r="BA444" i="3"/>
  <c r="AZ444" i="3" s="1"/>
  <c r="BA446" i="3"/>
  <c r="AZ446" i="3" s="1"/>
  <c r="BA448" i="3"/>
  <c r="AZ448" i="3" s="1"/>
  <c r="BA450" i="3"/>
  <c r="AZ450" i="3" s="1"/>
  <c r="BA452" i="3"/>
  <c r="AZ452" i="3" s="1"/>
  <c r="BA454" i="3"/>
  <c r="AZ454" i="3" s="1"/>
  <c r="BA456" i="3"/>
  <c r="AZ456" i="3" s="1"/>
  <c r="BA458" i="3"/>
  <c r="AZ458" i="3" s="1"/>
  <c r="BA460" i="3"/>
  <c r="AZ460" i="3" s="1"/>
  <c r="BA462" i="3"/>
  <c r="AZ462" i="3" s="1"/>
  <c r="BA464" i="3"/>
  <c r="AZ464" i="3" s="1"/>
  <c r="BA466" i="3"/>
  <c r="AZ466" i="3" s="1"/>
  <c r="BA468" i="3"/>
  <c r="AZ468" i="3" s="1"/>
  <c r="BA470" i="3"/>
  <c r="AZ470" i="3" s="1"/>
  <c r="BA472" i="3"/>
  <c r="AZ472" i="3" s="1"/>
  <c r="BA474" i="3"/>
  <c r="AZ474" i="3" s="1"/>
  <c r="BA476" i="3"/>
  <c r="AZ476" i="3" s="1"/>
  <c r="BA478" i="3"/>
  <c r="AZ478" i="3" s="1"/>
  <c r="BA480" i="3"/>
  <c r="AZ480" i="3" s="1"/>
  <c r="BA482" i="3"/>
  <c r="AZ482" i="3" s="1"/>
  <c r="BA484" i="3"/>
  <c r="AZ484" i="3" s="1"/>
  <c r="BA486" i="3"/>
  <c r="AZ486" i="3" s="1"/>
  <c r="BA488" i="3"/>
  <c r="AZ488" i="3" s="1"/>
  <c r="BA490" i="3"/>
  <c r="AZ490" i="3" s="1"/>
  <c r="BA492" i="3"/>
  <c r="AZ492" i="3" s="1"/>
  <c r="BA494" i="3"/>
  <c r="AZ494" i="3" s="1"/>
  <c r="BA496" i="3"/>
  <c r="AZ496" i="3" s="1"/>
  <c r="BA498" i="3"/>
  <c r="AZ498" i="3" s="1"/>
  <c r="BA500" i="3"/>
  <c r="AZ500" i="3" s="1"/>
  <c r="BA502" i="3"/>
  <c r="AZ502" i="3" s="1"/>
  <c r="BA504" i="3"/>
  <c r="AZ504" i="3" s="1"/>
  <c r="BA506" i="3"/>
  <c r="AZ506" i="3" s="1"/>
  <c r="BA508" i="3"/>
  <c r="AZ508" i="3" s="1"/>
  <c r="BA510" i="3"/>
  <c r="AZ510" i="3" s="1"/>
  <c r="BA512" i="3"/>
  <c r="AZ512" i="3" s="1"/>
  <c r="BA514" i="3"/>
  <c r="AZ514" i="3" s="1"/>
  <c r="BA516" i="3"/>
  <c r="AZ516" i="3" s="1"/>
  <c r="BA518" i="3"/>
  <c r="AZ518" i="3" s="1"/>
  <c r="BA520" i="3"/>
  <c r="AZ520" i="3" s="1"/>
  <c r="BA522" i="3"/>
  <c r="AZ522" i="3" s="1"/>
  <c r="BA524" i="3"/>
  <c r="AZ524" i="3" s="1"/>
  <c r="BA526" i="3"/>
  <c r="AZ526" i="3" s="1"/>
  <c r="BA528" i="3"/>
  <c r="AZ528" i="3" s="1"/>
  <c r="BA530" i="3"/>
  <c r="AZ530" i="3" s="1"/>
  <c r="BA532" i="3"/>
  <c r="AZ532" i="3" s="1"/>
  <c r="BA534" i="3"/>
  <c r="AZ534" i="3" s="1"/>
  <c r="BA536" i="3"/>
  <c r="AZ536" i="3" s="1"/>
  <c r="BA538" i="3"/>
  <c r="AZ538" i="3" s="1"/>
  <c r="BA540" i="3"/>
  <c r="AZ540" i="3" s="1"/>
  <c r="BA542" i="3"/>
  <c r="AZ542" i="3" s="1"/>
  <c r="BA544" i="3"/>
  <c r="AZ544" i="3" s="1"/>
  <c r="BA546" i="3"/>
  <c r="AZ546" i="3" s="1"/>
  <c r="BA548" i="3"/>
  <c r="AZ548" i="3" s="1"/>
  <c r="BA550" i="3"/>
  <c r="AZ550" i="3" s="1"/>
  <c r="BA552" i="3"/>
  <c r="AZ552" i="3" s="1"/>
  <c r="BA554" i="3"/>
  <c r="AZ554" i="3" s="1"/>
  <c r="BA556" i="3"/>
  <c r="AZ556" i="3" s="1"/>
  <c r="BA558" i="3"/>
  <c r="AZ558" i="3" s="1"/>
  <c r="BA560" i="3"/>
  <c r="AZ560" i="3" s="1"/>
  <c r="BA562" i="3"/>
  <c r="AZ562" i="3" s="1"/>
  <c r="BA564" i="3"/>
  <c r="AZ564" i="3" s="1"/>
  <c r="BA566" i="3"/>
  <c r="AZ566" i="3" s="1"/>
  <c r="BA568" i="3"/>
  <c r="AZ568" i="3" s="1"/>
  <c r="BA570" i="3"/>
  <c r="AZ570" i="3" s="1"/>
  <c r="BA572" i="3"/>
  <c r="AZ572" i="3" s="1"/>
  <c r="P27" i="6"/>
  <c r="C18" i="9"/>
  <c r="G28" i="12"/>
  <c r="C21" i="39"/>
  <c r="H25" i="39"/>
  <c r="AB25" i="39" s="1"/>
  <c r="C29" i="39"/>
  <c r="J29" i="39"/>
  <c r="AC29" i="39" s="1"/>
  <c r="F37" i="39"/>
  <c r="AA37" i="39" s="1"/>
  <c r="F39" i="39"/>
  <c r="AA39" i="39" s="1"/>
  <c r="AA40" i="39"/>
  <c r="G32" i="68"/>
  <c r="E56" i="68" s="1"/>
  <c r="AC40" i="39"/>
  <c r="K32" i="68"/>
  <c r="I56" i="68" s="1"/>
  <c r="F41" i="39"/>
  <c r="J41" i="39"/>
  <c r="H43" i="39"/>
  <c r="AB43" i="39" s="1"/>
  <c r="F45" i="39"/>
  <c r="U21" i="40"/>
  <c r="F33" i="40"/>
  <c r="AA33" i="40" s="1"/>
  <c r="Z10" i="46"/>
  <c r="AD10" i="46"/>
  <c r="AH10" i="46"/>
  <c r="B64" i="46"/>
  <c r="B72" i="46"/>
  <c r="C5" i="59"/>
  <c r="D5" i="59" s="1"/>
  <c r="X6" i="59"/>
  <c r="X7" i="59"/>
  <c r="AA7" i="59"/>
  <c r="X8" i="59"/>
  <c r="C9" i="59"/>
  <c r="X9" i="59"/>
  <c r="X10" i="59"/>
  <c r="B13" i="59"/>
  <c r="B14" i="59" s="1"/>
  <c r="S14" i="59" s="1"/>
  <c r="AB11" i="59"/>
  <c r="Y13" i="59"/>
  <c r="Z13" i="59" s="1"/>
  <c r="Y16" i="59"/>
  <c r="Z16" i="59" s="1"/>
  <c r="AB16" i="59"/>
  <c r="Y17" i="59"/>
  <c r="Z17" i="59" s="1"/>
  <c r="X18" i="59"/>
  <c r="C21" i="59"/>
  <c r="D20" i="59"/>
  <c r="X20" i="59"/>
  <c r="B26" i="59"/>
  <c r="S26" i="59" s="1"/>
  <c r="B30" i="59"/>
  <c r="S30" i="59" s="1"/>
  <c r="B33" i="59"/>
  <c r="B34" i="59" s="1"/>
  <c r="S34" i="59" s="1"/>
  <c r="E33" i="59"/>
  <c r="E34" i="59" s="1"/>
  <c r="U34" i="59" s="1"/>
  <c r="B37" i="59"/>
  <c r="B38" i="59" s="1"/>
  <c r="S38" i="59" s="1"/>
  <c r="E37" i="59"/>
  <c r="E38" i="59" s="1"/>
  <c r="U38" i="59" s="1"/>
  <c r="C41" i="59"/>
  <c r="D41" i="59" s="1"/>
  <c r="C45" i="59"/>
  <c r="F48" i="59"/>
  <c r="Q47" i="59" s="1"/>
  <c r="C61" i="59"/>
  <c r="D62" i="59"/>
  <c r="I20" i="57"/>
  <c r="F10" i="21"/>
  <c r="J10" i="21"/>
  <c r="F13" i="21"/>
  <c r="AA13" i="21" s="1"/>
  <c r="AB33" i="21"/>
  <c r="I82" i="68"/>
  <c r="G106" i="68" s="1"/>
  <c r="AA36" i="21"/>
  <c r="G85" i="68"/>
  <c r="E109" i="68" s="1"/>
  <c r="AC36" i="21"/>
  <c r="K85" i="68"/>
  <c r="I109" i="68" s="1"/>
  <c r="AA41" i="21"/>
  <c r="G88" i="68"/>
  <c r="E112" i="68" s="1"/>
  <c r="AC41" i="21"/>
  <c r="K88" i="68"/>
  <c r="I112" i="68" s="1"/>
  <c r="F42" i="21"/>
  <c r="AA42" i="21" s="1"/>
  <c r="AB10" i="33"/>
  <c r="I127" i="68"/>
  <c r="G151" i="68" s="1"/>
  <c r="F12" i="33"/>
  <c r="AA12" i="33" s="1"/>
  <c r="AB33" i="33"/>
  <c r="I138" i="68"/>
  <c r="G162" i="68" s="1"/>
  <c r="H39" i="33"/>
  <c r="AB39" i="33" s="1"/>
  <c r="F46" i="33"/>
  <c r="AA46" i="33" s="1"/>
  <c r="S8" i="34"/>
  <c r="F13" i="34"/>
  <c r="AA13" i="34" s="1"/>
  <c r="U33" i="34"/>
  <c r="U45" i="34"/>
  <c r="W8" i="37"/>
  <c r="J9" i="37"/>
  <c r="U10" i="37"/>
  <c r="U21" i="37"/>
  <c r="AC25" i="37"/>
  <c r="AC29" i="37"/>
  <c r="AC33" i="37"/>
  <c r="AA35" i="37"/>
  <c r="AC37" i="37"/>
  <c r="J39" i="37"/>
  <c r="W8" i="35"/>
  <c r="F26" i="35"/>
  <c r="AC28" i="35"/>
  <c r="U31" i="35"/>
  <c r="W8" i="36"/>
  <c r="AC27" i="36"/>
  <c r="AC31" i="36"/>
  <c r="AZ41" i="3"/>
  <c r="AZ43" i="3"/>
  <c r="AZ45" i="3"/>
  <c r="AZ47" i="3"/>
  <c r="AZ111" i="3"/>
  <c r="AZ115" i="3"/>
  <c r="C9" i="12"/>
  <c r="AB19" i="39"/>
  <c r="I25" i="68"/>
  <c r="G49" i="68" s="1"/>
  <c r="R71" i="68" s="1"/>
  <c r="C27" i="39"/>
  <c r="AB29" i="39"/>
  <c r="I29" i="68"/>
  <c r="G53" i="68" s="1"/>
  <c r="AB40" i="39"/>
  <c r="I32" i="68"/>
  <c r="G56" i="68" s="1"/>
  <c r="AB10" i="46"/>
  <c r="AF10" i="46"/>
  <c r="AJ10" i="46"/>
  <c r="F5" i="59"/>
  <c r="D12" i="59"/>
  <c r="B16" i="59"/>
  <c r="B17" i="59" s="1"/>
  <c r="B18" i="59" s="1"/>
  <c r="S18" i="59" s="1"/>
  <c r="AB10" i="21"/>
  <c r="I74" i="68"/>
  <c r="G98" i="68" s="1"/>
  <c r="AA33" i="21"/>
  <c r="G82" i="68"/>
  <c r="E106" i="68" s="1"/>
  <c r="AB36" i="21"/>
  <c r="I85" i="68"/>
  <c r="G109" i="68" s="1"/>
  <c r="AB44" i="21"/>
  <c r="I90" i="68"/>
  <c r="G114" i="68" s="1"/>
  <c r="AA27" i="37"/>
  <c r="H26" i="35"/>
  <c r="J26" i="35"/>
  <c r="G81" i="21"/>
  <c r="H19" i="21"/>
  <c r="AZ17" i="3"/>
  <c r="AZ19" i="3"/>
  <c r="AZ21" i="3"/>
  <c r="AZ49" i="3"/>
  <c r="AZ51" i="3"/>
  <c r="AZ69" i="3"/>
  <c r="AZ71" i="3"/>
  <c r="AZ73" i="3"/>
  <c r="AZ75" i="3"/>
  <c r="AZ77" i="3"/>
  <c r="AZ79" i="3"/>
  <c r="AZ119" i="3"/>
  <c r="AZ121" i="3"/>
  <c r="AZ123" i="3"/>
  <c r="AZ125" i="3"/>
  <c r="AZ127" i="3"/>
  <c r="AZ129" i="3"/>
  <c r="AZ131" i="3"/>
  <c r="AZ133" i="3"/>
  <c r="AZ135" i="3"/>
  <c r="AZ139" i="3"/>
  <c r="AZ167" i="3"/>
  <c r="AZ169" i="3"/>
  <c r="AZ171" i="3"/>
  <c r="AZ173" i="3"/>
  <c r="AZ175" i="3"/>
  <c r="AZ177" i="3"/>
  <c r="AZ179" i="3"/>
  <c r="AZ181" i="3"/>
  <c r="AZ183" i="3"/>
  <c r="AZ185" i="3"/>
  <c r="AZ187" i="3"/>
  <c r="AZ199" i="3"/>
  <c r="AZ201" i="3"/>
  <c r="AZ203" i="3"/>
  <c r="AZ205" i="3"/>
  <c r="AZ207" i="3"/>
  <c r="AZ209" i="3"/>
  <c r="AZ211" i="3"/>
  <c r="AZ221" i="3"/>
  <c r="AZ229" i="3"/>
  <c r="AZ231" i="3"/>
  <c r="AZ233" i="3"/>
  <c r="AZ235" i="3"/>
  <c r="AZ237" i="3"/>
  <c r="AZ239" i="3"/>
  <c r="AZ241" i="3"/>
  <c r="AZ243" i="3"/>
  <c r="AZ245" i="3"/>
  <c r="AZ247" i="3"/>
  <c r="AZ255" i="3"/>
  <c r="AZ257" i="3"/>
  <c r="AZ259" i="3"/>
  <c r="AZ261" i="3"/>
  <c r="AZ263" i="3"/>
  <c r="AZ265" i="3"/>
  <c r="AZ267" i="3"/>
  <c r="C22" i="59"/>
  <c r="D21" i="59"/>
  <c r="C42" i="59"/>
  <c r="C46" i="59"/>
  <c r="D45" i="59"/>
  <c r="H101" i="21"/>
  <c r="I101" i="21" s="1"/>
  <c r="J101" i="21" s="1"/>
  <c r="K101" i="21" s="1"/>
  <c r="L101" i="21" s="1"/>
  <c r="M101" i="21" s="1"/>
  <c r="H32" i="21"/>
  <c r="AB32" i="21" s="1"/>
  <c r="F32" i="21"/>
  <c r="AA32" i="21" s="1"/>
  <c r="J32" i="21"/>
  <c r="AC32" i="21" s="1"/>
  <c r="AZ39" i="3"/>
  <c r="AZ59" i="3"/>
  <c r="AZ61" i="3"/>
  <c r="AZ105" i="3"/>
  <c r="AZ107" i="3"/>
  <c r="C14" i="59"/>
  <c r="D13" i="59"/>
  <c r="C34" i="59"/>
  <c r="D33" i="59"/>
  <c r="C38" i="59"/>
  <c r="D37" i="59"/>
  <c r="BL369" i="3"/>
  <c r="B2" i="1"/>
  <c r="N67" i="9" s="1"/>
  <c r="C44" i="9"/>
  <c r="K39" i="9"/>
  <c r="E105" i="39"/>
  <c r="F105" i="39" s="1"/>
  <c r="G105" i="39" s="1"/>
  <c r="H31" i="39"/>
  <c r="AB31" i="39" s="1"/>
  <c r="E107" i="39"/>
  <c r="H33" i="39"/>
  <c r="J38" i="39"/>
  <c r="AC38" i="39" s="1"/>
  <c r="F38" i="39"/>
  <c r="AA38" i="39" s="1"/>
  <c r="G128" i="39"/>
  <c r="H128" i="39" s="1"/>
  <c r="I128" i="39" s="1"/>
  <c r="J128" i="39" s="1"/>
  <c r="K128" i="39" s="1"/>
  <c r="L128" i="39" s="1"/>
  <c r="M128" i="39" s="1"/>
  <c r="H44" i="39"/>
  <c r="J46" i="39"/>
  <c r="AC46" i="39" s="1"/>
  <c r="F46" i="39"/>
  <c r="AA46" i="39" s="1"/>
  <c r="AA10" i="40"/>
  <c r="S13" i="40"/>
  <c r="S35" i="40"/>
  <c r="S39" i="40"/>
  <c r="AB15" i="40"/>
  <c r="U15" i="40"/>
  <c r="AB29" i="40"/>
  <c r="U29" i="40"/>
  <c r="J34" i="40"/>
  <c r="F34" i="40"/>
  <c r="AB41" i="40"/>
  <c r="U41" i="40"/>
  <c r="AC12" i="46"/>
  <c r="AG12" i="46"/>
  <c r="H75" i="46"/>
  <c r="H70" i="46"/>
  <c r="S6" i="59"/>
  <c r="B5" i="59"/>
  <c r="S10" i="59"/>
  <c r="B9" i="59"/>
  <c r="B8" i="59" s="1"/>
  <c r="E12" i="59"/>
  <c r="E13" i="59" s="1"/>
  <c r="E14" i="59" s="1"/>
  <c r="U14" i="59" s="1"/>
  <c r="AA11" i="59"/>
  <c r="X11" i="59"/>
  <c r="C17" i="59"/>
  <c r="E20" i="59"/>
  <c r="E21" i="59" s="1"/>
  <c r="E22" i="59" s="1"/>
  <c r="U22" i="59" s="1"/>
  <c r="AA19" i="59"/>
  <c r="X19" i="59"/>
  <c r="C25" i="59"/>
  <c r="D24" i="59"/>
  <c r="C29" i="59"/>
  <c r="D29" i="59" s="1"/>
  <c r="D28" i="59"/>
  <c r="D36" i="59"/>
  <c r="D44" i="59"/>
  <c r="Q48" i="59"/>
  <c r="P49" i="59"/>
  <c r="D53" i="59"/>
  <c r="C52" i="59"/>
  <c r="D52" i="59" s="1"/>
  <c r="S54" i="59"/>
  <c r="B53" i="59"/>
  <c r="B52" i="59" s="1"/>
  <c r="V54" i="59"/>
  <c r="D61" i="59"/>
  <c r="C60" i="59"/>
  <c r="D60" i="59" s="1"/>
  <c r="S62" i="59"/>
  <c r="B61" i="59"/>
  <c r="B60" i="59" s="1"/>
  <c r="V62" i="59"/>
  <c r="D69" i="59"/>
  <c r="C68" i="59"/>
  <c r="D68" i="59" s="1"/>
  <c r="I21" i="57"/>
  <c r="F79" i="21"/>
  <c r="G79" i="21" s="1"/>
  <c r="J17" i="21"/>
  <c r="AC17" i="21" s="1"/>
  <c r="F17" i="21"/>
  <c r="AA17" i="21" s="1"/>
  <c r="E106" i="21"/>
  <c r="F106" i="21" s="1"/>
  <c r="G106" i="21" s="1"/>
  <c r="H106" i="21" s="1"/>
  <c r="I106" i="21" s="1"/>
  <c r="J106" i="21" s="1"/>
  <c r="K106" i="21" s="1"/>
  <c r="L106" i="21" s="1"/>
  <c r="M106" i="21" s="1"/>
  <c r="H34" i="21"/>
  <c r="AB34" i="21" s="1"/>
  <c r="E117" i="21"/>
  <c r="F117" i="21" s="1"/>
  <c r="G117" i="21" s="1"/>
  <c r="H39" i="21"/>
  <c r="AB39" i="21" s="1"/>
  <c r="J44" i="21"/>
  <c r="F44" i="21"/>
  <c r="AA44" i="21" s="1"/>
  <c r="J46" i="21"/>
  <c r="AC46" i="21" s="1"/>
  <c r="F46" i="21"/>
  <c r="AA46" i="21" s="1"/>
  <c r="K143" i="21"/>
  <c r="K141" i="21"/>
  <c r="K144" i="21"/>
  <c r="K145" i="21"/>
  <c r="H17" i="33"/>
  <c r="AB17" i="33" s="1"/>
  <c r="F79" i="33"/>
  <c r="G79" i="33" s="1"/>
  <c r="F17" i="33"/>
  <c r="AA17" i="33" s="1"/>
  <c r="E83" i="33"/>
  <c r="F83" i="33" s="1"/>
  <c r="G83" i="33" s="1"/>
  <c r="H21" i="33"/>
  <c r="AB21" i="33" s="1"/>
  <c r="F21" i="33"/>
  <c r="AA21" i="33" s="1"/>
  <c r="H27" i="33"/>
  <c r="AB27" i="33" s="1"/>
  <c r="F27" i="33"/>
  <c r="AA27" i="33" s="1"/>
  <c r="H29" i="33"/>
  <c r="AB29" i="33" s="1"/>
  <c r="F29" i="33"/>
  <c r="AA29" i="33" s="1"/>
  <c r="H31" i="33"/>
  <c r="AB31" i="33" s="1"/>
  <c r="J31" i="33"/>
  <c r="AC31" i="33" s="1"/>
  <c r="F101" i="33"/>
  <c r="G101" i="33" s="1"/>
  <c r="H101" i="33" s="1"/>
  <c r="I101" i="33" s="1"/>
  <c r="J101" i="33" s="1"/>
  <c r="K101" i="33" s="1"/>
  <c r="L101" i="33" s="1"/>
  <c r="M101" i="33" s="1"/>
  <c r="H32" i="33"/>
  <c r="AB32" i="33" s="1"/>
  <c r="F32" i="33"/>
  <c r="AA32" i="33" s="1"/>
  <c r="E106" i="33"/>
  <c r="F106" i="33" s="1"/>
  <c r="G106" i="33" s="1"/>
  <c r="H106" i="33" s="1"/>
  <c r="I106" i="33" s="1"/>
  <c r="J106" i="33" s="1"/>
  <c r="K106" i="33" s="1"/>
  <c r="L106" i="33" s="1"/>
  <c r="M106" i="33" s="1"/>
  <c r="H34" i="33"/>
  <c r="AB34" i="33" s="1"/>
  <c r="F34" i="33"/>
  <c r="AA34" i="33" s="1"/>
  <c r="E113" i="33"/>
  <c r="F113" i="33" s="1"/>
  <c r="G113" i="33" s="1"/>
  <c r="H113" i="33" s="1"/>
  <c r="I113" i="33" s="1"/>
  <c r="J113" i="33" s="1"/>
  <c r="K113" i="33" s="1"/>
  <c r="L113" i="33" s="1"/>
  <c r="M113" i="33" s="1"/>
  <c r="J37" i="33"/>
  <c r="AC37" i="33" s="1"/>
  <c r="F37" i="33"/>
  <c r="AA37" i="33" s="1"/>
  <c r="G123" i="33"/>
  <c r="H123" i="33" s="1"/>
  <c r="I123" i="33" s="1"/>
  <c r="J123" i="33" s="1"/>
  <c r="K123" i="33" s="1"/>
  <c r="L123" i="33" s="1"/>
  <c r="M123" i="33" s="1"/>
  <c r="J42" i="33"/>
  <c r="AC42" i="33" s="1"/>
  <c r="F42" i="33"/>
  <c r="AA42" i="33" s="1"/>
  <c r="H42" i="33"/>
  <c r="AB42" i="33" s="1"/>
  <c r="AB10" i="34"/>
  <c r="U10" i="34"/>
  <c r="AC11" i="34"/>
  <c r="W11" i="34"/>
  <c r="S11" i="34"/>
  <c r="U12" i="34"/>
  <c r="AB15" i="34"/>
  <c r="U15" i="34"/>
  <c r="AB17" i="34"/>
  <c r="U17" i="34"/>
  <c r="AB19" i="34"/>
  <c r="U19" i="34"/>
  <c r="AB21" i="34"/>
  <c r="U21" i="34"/>
  <c r="AB23" i="34"/>
  <c r="U23" i="34"/>
  <c r="AC25" i="34"/>
  <c r="W25" i="34"/>
  <c r="S25" i="34"/>
  <c r="AC28" i="34"/>
  <c r="W28" i="34"/>
  <c r="AC30" i="34"/>
  <c r="W30" i="34"/>
  <c r="AC32" i="34"/>
  <c r="W32" i="34"/>
  <c r="AB39" i="34"/>
  <c r="U39" i="34"/>
  <c r="AC40" i="34"/>
  <c r="W40" i="34"/>
  <c r="S40" i="34"/>
  <c r="H9" i="34"/>
  <c r="J9" i="34"/>
  <c r="H28" i="34"/>
  <c r="F28" i="34"/>
  <c r="H30" i="34"/>
  <c r="F30" i="34"/>
  <c r="H32" i="34"/>
  <c r="F32" i="34"/>
  <c r="AC13" i="37"/>
  <c r="W13" i="37"/>
  <c r="S13" i="37"/>
  <c r="U14" i="37"/>
  <c r="AB30" i="37"/>
  <c r="U30" i="37"/>
  <c r="AC31" i="37"/>
  <c r="W31" i="37"/>
  <c r="S31" i="37"/>
  <c r="AB38" i="37"/>
  <c r="U38" i="37"/>
  <c r="AA39" i="37"/>
  <c r="S39" i="37"/>
  <c r="AB40" i="37"/>
  <c r="U40" i="37"/>
  <c r="J26" i="37"/>
  <c r="F26" i="37"/>
  <c r="H26" i="37"/>
  <c r="J28" i="37"/>
  <c r="F28" i="37"/>
  <c r="AC9" i="35"/>
  <c r="W9" i="35"/>
  <c r="S9" i="35"/>
  <c r="AC11" i="35"/>
  <c r="W11" i="35"/>
  <c r="AC13" i="35"/>
  <c r="W13" i="35"/>
  <c r="AC16" i="35"/>
  <c r="W16" i="35"/>
  <c r="S16" i="35"/>
  <c r="AC20" i="35"/>
  <c r="W20" i="35"/>
  <c r="S20" i="35"/>
  <c r="AA25" i="35"/>
  <c r="AB29" i="35"/>
  <c r="U29" i="35"/>
  <c r="AA30" i="35"/>
  <c r="S30" i="35"/>
  <c r="BL5" i="3"/>
  <c r="K5" i="54"/>
  <c r="B38" i="63" s="1"/>
  <c r="N76" i="9"/>
  <c r="L76" i="9"/>
  <c r="L16" i="4"/>
  <c r="E19" i="4"/>
  <c r="G19" i="4"/>
  <c r="F8" i="1" s="1"/>
  <c r="AP8" i="1" s="1"/>
  <c r="G13"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B70" i="46"/>
  <c r="B48" i="46"/>
  <c r="C23" i="39"/>
  <c r="B54" i="46"/>
  <c r="C31" i="39"/>
  <c r="F31" i="39"/>
  <c r="AA31" i="39" s="1"/>
  <c r="J33" i="39"/>
  <c r="F44" i="39"/>
  <c r="H46" i="39"/>
  <c r="AB46" i="39" s="1"/>
  <c r="J15" i="39"/>
  <c r="AC15" i="39" s="1"/>
  <c r="F15" i="39"/>
  <c r="AA15" i="39" s="1"/>
  <c r="E91" i="39"/>
  <c r="J17" i="39"/>
  <c r="AC17" i="39" s="1"/>
  <c r="AC10" i="40"/>
  <c r="W13" i="40"/>
  <c r="F15" i="40"/>
  <c r="W15" i="40"/>
  <c r="C17" i="40"/>
  <c r="C19" i="40"/>
  <c r="C25" i="40"/>
  <c r="C27" i="40"/>
  <c r="F29" i="40"/>
  <c r="W29" i="40"/>
  <c r="S30" i="40"/>
  <c r="S33" i="40"/>
  <c r="H34" i="40"/>
  <c r="W35" i="40"/>
  <c r="S37" i="40"/>
  <c r="U38" i="40"/>
  <c r="W39" i="40"/>
  <c r="F41" i="40"/>
  <c r="W41" i="40"/>
  <c r="AA12" i="46"/>
  <c r="AE12" i="46"/>
  <c r="AI12" i="46"/>
  <c r="E47" i="46"/>
  <c r="B45" i="46" s="1"/>
  <c r="B59" i="46"/>
  <c r="E69" i="46"/>
  <c r="B67" i="46" s="1"/>
  <c r="B74" i="46"/>
  <c r="E80" i="46"/>
  <c r="B78" i="46" s="1"/>
  <c r="C100" i="46"/>
  <c r="G100" i="46"/>
  <c r="K100" i="46"/>
  <c r="AA3" i="59"/>
  <c r="X3" i="59"/>
  <c r="AA5" i="59"/>
  <c r="X5" i="59"/>
  <c r="AB5" i="59"/>
  <c r="AB6" i="59"/>
  <c r="AB3" i="59"/>
  <c r="V6" i="59"/>
  <c r="AA6" i="59"/>
  <c r="Y7" i="59"/>
  <c r="Z7" i="59" s="1"/>
  <c r="AB8" i="59"/>
  <c r="AA8" i="59"/>
  <c r="D9" i="59"/>
  <c r="C8" i="59"/>
  <c r="D8" i="59" s="1"/>
  <c r="AA9" i="59"/>
  <c r="AB9" i="59"/>
  <c r="AB10" i="59"/>
  <c r="V10" i="59"/>
  <c r="AA10" i="59"/>
  <c r="AB12" i="59"/>
  <c r="AA12" i="59"/>
  <c r="AA13" i="59"/>
  <c r="AB13" i="59"/>
  <c r="X14" i="59"/>
  <c r="E16" i="59"/>
  <c r="E17" i="59" s="1"/>
  <c r="E18" i="59" s="1"/>
  <c r="U18" i="59" s="1"/>
  <c r="AA15" i="59"/>
  <c r="AB15" i="59"/>
  <c r="X16" i="59"/>
  <c r="AA18" i="59"/>
  <c r="E25" i="59"/>
  <c r="E26" i="59" s="1"/>
  <c r="U26" i="59" s="1"/>
  <c r="E29" i="59"/>
  <c r="E30" i="59" s="1"/>
  <c r="U30" i="59" s="1"/>
  <c r="D32" i="59"/>
  <c r="D40" i="59"/>
  <c r="P47" i="59"/>
  <c r="O49" i="59"/>
  <c r="D49" i="59"/>
  <c r="C48" i="59"/>
  <c r="S50" i="59"/>
  <c r="N50" i="59"/>
  <c r="B49" i="59"/>
  <c r="Q50" i="59"/>
  <c r="V50" i="59"/>
  <c r="D57" i="59"/>
  <c r="C56" i="59"/>
  <c r="D56" i="59" s="1"/>
  <c r="S58" i="59"/>
  <c r="B57" i="59"/>
  <c r="B56" i="59" s="1"/>
  <c r="V58" i="59"/>
  <c r="D65" i="59"/>
  <c r="C64" i="59"/>
  <c r="D64" i="59" s="1"/>
  <c r="I15" i="57"/>
  <c r="D1" i="57" s="1"/>
  <c r="E10" i="57" s="1"/>
  <c r="H17" i="21"/>
  <c r="AB17" i="21" s="1"/>
  <c r="J27" i="21"/>
  <c r="AC27" i="21" s="1"/>
  <c r="F29" i="21"/>
  <c r="AA29" i="21" s="1"/>
  <c r="J31" i="21"/>
  <c r="AC31" i="21" s="1"/>
  <c r="F34" i="21"/>
  <c r="AA34" i="21" s="1"/>
  <c r="J39" i="21"/>
  <c r="AC39" i="21" s="1"/>
  <c r="J42" i="21"/>
  <c r="AC42" i="21" s="1"/>
  <c r="F77" i="21"/>
  <c r="G77" i="21" s="1"/>
  <c r="J15" i="21"/>
  <c r="F15" i="21"/>
  <c r="J19" i="21"/>
  <c r="AC19" i="21" s="1"/>
  <c r="F19" i="21"/>
  <c r="E108" i="21"/>
  <c r="F108" i="21" s="1"/>
  <c r="G108" i="21" s="1"/>
  <c r="H108" i="21" s="1"/>
  <c r="I108" i="21" s="1"/>
  <c r="J108" i="21" s="1"/>
  <c r="K108" i="21" s="1"/>
  <c r="L108" i="21" s="1"/>
  <c r="M108" i="21" s="1"/>
  <c r="J35" i="21"/>
  <c r="F35" i="21"/>
  <c r="G123" i="21"/>
  <c r="H123" i="21" s="1"/>
  <c r="I123" i="21" s="1"/>
  <c r="J123" i="21" s="1"/>
  <c r="K123" i="21" s="1"/>
  <c r="L123" i="21" s="1"/>
  <c r="M123" i="21" s="1"/>
  <c r="AC8" i="33"/>
  <c r="W8" i="33"/>
  <c r="J17" i="33"/>
  <c r="AC17" i="33" s="1"/>
  <c r="J21" i="33"/>
  <c r="AC21" i="33" s="1"/>
  <c r="J29" i="33"/>
  <c r="AC29" i="33" s="1"/>
  <c r="F31" i="33"/>
  <c r="AA31" i="33" s="1"/>
  <c r="J32" i="33"/>
  <c r="AC32" i="33" s="1"/>
  <c r="H66" i="33"/>
  <c r="I66" i="33" s="1"/>
  <c r="J10" i="33"/>
  <c r="F10" i="33"/>
  <c r="E69" i="33"/>
  <c r="H11" i="33" s="1"/>
  <c r="J13" i="33"/>
  <c r="AC13" i="33" s="1"/>
  <c r="F13" i="33"/>
  <c r="AA13" i="33" s="1"/>
  <c r="H13" i="33"/>
  <c r="AB13" i="33" s="1"/>
  <c r="H15" i="33"/>
  <c r="AB15" i="33" s="1"/>
  <c r="F77" i="33"/>
  <c r="G77" i="33" s="1"/>
  <c r="J15" i="33"/>
  <c r="AC15" i="33" s="1"/>
  <c r="F81" i="33"/>
  <c r="J19" i="33"/>
  <c r="AC19" i="33" s="1"/>
  <c r="AA9" i="34"/>
  <c r="S9" i="34"/>
  <c r="AB35" i="34"/>
  <c r="U35" i="34"/>
  <c r="AC36" i="34"/>
  <c r="W36" i="34"/>
  <c r="AB43" i="34"/>
  <c r="U43" i="34"/>
  <c r="AC44" i="34"/>
  <c r="W44" i="34"/>
  <c r="AC46" i="34"/>
  <c r="W46" i="34"/>
  <c r="J12" i="34"/>
  <c r="F12" i="34"/>
  <c r="J14" i="34"/>
  <c r="F14" i="34"/>
  <c r="H14" i="34"/>
  <c r="H46" i="34"/>
  <c r="F46" i="34"/>
  <c r="AB8" i="37"/>
  <c r="AC9" i="37"/>
  <c r="W9" i="37"/>
  <c r="AC27" i="37"/>
  <c r="W27" i="37"/>
  <c r="H28" i="37"/>
  <c r="AB34" i="37"/>
  <c r="U34" i="37"/>
  <c r="AC35" i="37"/>
  <c r="W35" i="37"/>
  <c r="AC25" i="35"/>
  <c r="W25" i="35"/>
  <c r="AB26" i="35"/>
  <c r="U26" i="35"/>
  <c r="AC26" i="35"/>
  <c r="W26" i="35"/>
  <c r="AB32" i="36"/>
  <c r="U32" i="36"/>
  <c r="D9" i="12"/>
  <c r="G26" i="12"/>
  <c r="G22" i="43"/>
  <c r="C17" i="39"/>
  <c r="C19" i="39"/>
  <c r="S11" i="40"/>
  <c r="W11" i="40"/>
  <c r="U13" i="40"/>
  <c r="S14" i="40"/>
  <c r="W14" i="40"/>
  <c r="S16" i="40"/>
  <c r="W16" i="40"/>
  <c r="S17" i="40"/>
  <c r="W17" i="40"/>
  <c r="S19" i="40"/>
  <c r="W19" i="40"/>
  <c r="S21" i="40"/>
  <c r="W21" i="40"/>
  <c r="S23" i="40"/>
  <c r="W23" i="40"/>
  <c r="S25" i="40"/>
  <c r="W25" i="40"/>
  <c r="S27" i="40"/>
  <c r="W27" i="40"/>
  <c r="U30" i="40"/>
  <c r="U33" i="40"/>
  <c r="U35" i="40"/>
  <c r="S36" i="40"/>
  <c r="W36" i="40"/>
  <c r="U37" i="40"/>
  <c r="S38" i="40"/>
  <c r="W38" i="40"/>
  <c r="U39" i="40"/>
  <c r="S40" i="40"/>
  <c r="W40" i="40"/>
  <c r="S42" i="40"/>
  <c r="W42" i="40"/>
  <c r="B55" i="46"/>
  <c r="D100" i="46"/>
  <c r="F100" i="46"/>
  <c r="H100" i="46"/>
  <c r="J100" i="46"/>
  <c r="L100" i="46"/>
  <c r="N100" i="46"/>
  <c r="Y11" i="59"/>
  <c r="Z11" i="59" s="1"/>
  <c r="Y15" i="59"/>
  <c r="Z15" i="59" s="1"/>
  <c r="Y19" i="59"/>
  <c r="Z19" i="59" s="1"/>
  <c r="P50" i="59"/>
  <c r="W8" i="21"/>
  <c r="E108" i="33"/>
  <c r="F108" i="33" s="1"/>
  <c r="G108" i="33" s="1"/>
  <c r="H108" i="33" s="1"/>
  <c r="I108" i="33" s="1"/>
  <c r="J108" i="33" s="1"/>
  <c r="K108" i="33" s="1"/>
  <c r="L108" i="33" s="1"/>
  <c r="M108" i="33" s="1"/>
  <c r="J35" i="33"/>
  <c r="AC35" i="33" s="1"/>
  <c r="F35" i="33"/>
  <c r="AA35" i="33" s="1"/>
  <c r="AB8" i="34"/>
  <c r="S13" i="34"/>
  <c r="S34" i="34"/>
  <c r="S38" i="34"/>
  <c r="S42" i="34"/>
  <c r="S11" i="37"/>
  <c r="U12" i="37"/>
  <c r="S25" i="37"/>
  <c r="S29" i="37"/>
  <c r="S33" i="37"/>
  <c r="S37" i="37"/>
  <c r="AB9" i="37"/>
  <c r="U9" i="37"/>
  <c r="J12" i="37"/>
  <c r="F12" i="37"/>
  <c r="J14" i="37"/>
  <c r="F14" i="37"/>
  <c r="AB39" i="37"/>
  <c r="U39" i="37"/>
  <c r="AB8" i="35"/>
  <c r="F11" i="35"/>
  <c r="F13" i="35"/>
  <c r="S14" i="35"/>
  <c r="S18" i="35"/>
  <c r="S23" i="35"/>
  <c r="U24" i="35"/>
  <c r="S28" i="35"/>
  <c r="W30" i="35"/>
  <c r="S32" i="35"/>
  <c r="U33" i="35"/>
  <c r="W34" i="35"/>
  <c r="S36" i="35"/>
  <c r="J24" i="35"/>
  <c r="F24" i="35"/>
  <c r="F9" i="36"/>
  <c r="W9" i="36"/>
  <c r="S11" i="36"/>
  <c r="U12" i="36"/>
  <c r="W13" i="36"/>
  <c r="S14" i="36"/>
  <c r="W16" i="36"/>
  <c r="S18" i="36"/>
  <c r="W20" i="36"/>
  <c r="S23" i="36"/>
  <c r="U24" i="36"/>
  <c r="W25" i="36"/>
  <c r="S27" i="36"/>
  <c r="U28" i="36"/>
  <c r="W29" i="36"/>
  <c r="S31" i="36"/>
  <c r="W33" i="36"/>
  <c r="J12" i="36"/>
  <c r="F12" i="36"/>
  <c r="J24" i="36"/>
  <c r="F24" i="36"/>
  <c r="S34" i="35"/>
  <c r="U35" i="35"/>
  <c r="AB11" i="35"/>
  <c r="U11" i="35"/>
  <c r="AB13" i="35"/>
  <c r="U13" i="35"/>
  <c r="J35" i="35"/>
  <c r="F35" i="35"/>
  <c r="AB8" i="36"/>
  <c r="S13" i="36"/>
  <c r="S16" i="36"/>
  <c r="S20" i="36"/>
  <c r="S25" i="36"/>
  <c r="S29" i="36"/>
  <c r="S33" i="36"/>
  <c r="U34" i="36"/>
  <c r="AB9" i="36"/>
  <c r="U9" i="36"/>
  <c r="J32" i="36"/>
  <c r="F32" i="36"/>
  <c r="J34" i="36"/>
  <c r="F34" i="36"/>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S10" i="36"/>
  <c r="W10" i="36"/>
  <c r="U11" i="36"/>
  <c r="U13" i="36"/>
  <c r="U14" i="36"/>
  <c r="U16" i="36"/>
  <c r="U18" i="36"/>
  <c r="U20" i="36"/>
  <c r="S22" i="36"/>
  <c r="W22" i="36"/>
  <c r="U23" i="36"/>
  <c r="U25" i="36"/>
  <c r="S26" i="36"/>
  <c r="W26" i="36"/>
  <c r="U27" i="36"/>
  <c r="S28" i="36"/>
  <c r="W28" i="36"/>
  <c r="U29" i="36"/>
  <c r="S30" i="36"/>
  <c r="W30" i="36"/>
  <c r="U31" i="36"/>
  <c r="U33" i="36"/>
  <c r="S27" i="33"/>
  <c r="W27" i="33"/>
  <c r="U28" i="33"/>
  <c r="S32" i="33"/>
  <c r="W32" i="33"/>
  <c r="S34" i="33"/>
  <c r="W34" i="33"/>
  <c r="U35" i="33"/>
  <c r="U37" i="33"/>
  <c r="S38" i="33"/>
  <c r="W38" i="33"/>
  <c r="U39" i="33"/>
  <c r="S40" i="33"/>
  <c r="W40" i="33"/>
  <c r="U42" i="33"/>
  <c r="U27" i="33"/>
  <c r="S28" i="33"/>
  <c r="W28" i="33"/>
  <c r="U32" i="33"/>
  <c r="U34" i="33"/>
  <c r="S35" i="33"/>
  <c r="W35" i="33"/>
  <c r="S37" i="33"/>
  <c r="W37" i="33"/>
  <c r="U38" i="33"/>
  <c r="S39" i="33"/>
  <c r="W39" i="33"/>
  <c r="U40" i="33"/>
  <c r="S42" i="33"/>
  <c r="W42" i="33"/>
  <c r="U15" i="33"/>
  <c r="U17" i="33"/>
  <c r="U21" i="33"/>
  <c r="U23" i="33"/>
  <c r="S26" i="33"/>
  <c r="W26" i="33"/>
  <c r="S33" i="33"/>
  <c r="W33" i="33"/>
  <c r="S15" i="33"/>
  <c r="S17" i="33"/>
  <c r="W19" i="33"/>
  <c r="S21" i="33"/>
  <c r="W21" i="33"/>
  <c r="S23" i="33"/>
  <c r="W23" i="33"/>
  <c r="U26" i="33"/>
  <c r="U33" i="33"/>
  <c r="S10" i="33"/>
  <c r="U10" i="33"/>
  <c r="S8" i="33"/>
  <c r="AB8" i="33"/>
  <c r="S9" i="33"/>
  <c r="W9" i="33"/>
  <c r="U9" i="33"/>
  <c r="J36" i="33"/>
  <c r="F36" i="33"/>
  <c r="H111" i="33"/>
  <c r="I111" i="33" s="1"/>
  <c r="J111" i="33" s="1"/>
  <c r="K111" i="33" s="1"/>
  <c r="L111" i="33" s="1"/>
  <c r="M111" i="33" s="1"/>
  <c r="H36" i="33"/>
  <c r="U12" i="33"/>
  <c r="S13" i="33"/>
  <c r="W13" i="33"/>
  <c r="U14" i="33"/>
  <c r="S25" i="33"/>
  <c r="W25" i="33"/>
  <c r="S29" i="33"/>
  <c r="W29" i="33"/>
  <c r="U30" i="33"/>
  <c r="S31" i="33"/>
  <c r="W31" i="33"/>
  <c r="S41" i="33"/>
  <c r="W41" i="33"/>
  <c r="S43" i="33"/>
  <c r="W43" i="33"/>
  <c r="U44" i="33"/>
  <c r="S45" i="33"/>
  <c r="W45" i="33"/>
  <c r="U46" i="33"/>
  <c r="S12" i="33"/>
  <c r="W12" i="33"/>
  <c r="S14" i="33"/>
  <c r="W14" i="33"/>
  <c r="U25" i="33"/>
  <c r="U29" i="33"/>
  <c r="S30" i="33"/>
  <c r="W30" i="33"/>
  <c r="U31" i="33"/>
  <c r="U41" i="33"/>
  <c r="U43" i="33"/>
  <c r="S44" i="33"/>
  <c r="W44" i="33"/>
  <c r="U45" i="33"/>
  <c r="S46" i="33"/>
  <c r="W46" i="33"/>
  <c r="F69" i="21"/>
  <c r="G69" i="21" s="1"/>
  <c r="H69" i="21" s="1"/>
  <c r="I69" i="21" s="1"/>
  <c r="J69" i="21" s="1"/>
  <c r="K69" i="21" s="1"/>
  <c r="L69" i="21" s="1"/>
  <c r="M69" i="21" s="1"/>
  <c r="J11" i="21"/>
  <c r="F11" i="21"/>
  <c r="H11" i="21"/>
  <c r="H113" i="21"/>
  <c r="H37" i="21"/>
  <c r="AB37" i="21" s="1"/>
  <c r="J37" i="21"/>
  <c r="AC37" i="21" s="1"/>
  <c r="F37" i="21"/>
  <c r="AA37" i="21" s="1"/>
  <c r="S43" i="21"/>
  <c r="W43" i="21"/>
  <c r="U43" i="21"/>
  <c r="U37" i="21"/>
  <c r="W37" i="21"/>
  <c r="AB8" i="21"/>
  <c r="U10"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S38" i="21"/>
  <c r="W38" i="21"/>
  <c r="U39" i="21"/>
  <c r="S40" i="21"/>
  <c r="W40" i="21"/>
  <c r="U41" i="21"/>
  <c r="S42" i="21"/>
  <c r="W42" i="21"/>
  <c r="S44" i="21"/>
  <c r="W44" i="21"/>
  <c r="U45" i="21"/>
  <c r="S46" i="21"/>
  <c r="W46" i="21"/>
  <c r="S10" i="21"/>
  <c r="W10" i="21"/>
  <c r="U15" i="21"/>
  <c r="U17" i="21"/>
  <c r="U19" i="21"/>
  <c r="U21" i="21"/>
  <c r="U23" i="21"/>
  <c r="S25" i="21"/>
  <c r="W25" i="21"/>
  <c r="U26" i="21"/>
  <c r="S27" i="21"/>
  <c r="W27" i="21"/>
  <c r="U28" i="21"/>
  <c r="S29" i="21"/>
  <c r="W29" i="21"/>
  <c r="U30" i="21"/>
  <c r="S31" i="21"/>
  <c r="W31" i="21"/>
  <c r="U32" i="21"/>
  <c r="S33" i="21"/>
  <c r="W33" i="21"/>
  <c r="U34" i="21"/>
  <c r="S35" i="21"/>
  <c r="W35" i="21"/>
  <c r="U36" i="21"/>
  <c r="U38" i="21"/>
  <c r="S39" i="21"/>
  <c r="W39" i="21"/>
  <c r="U40" i="21"/>
  <c r="S41" i="21"/>
  <c r="W41" i="21"/>
  <c r="U42" i="21"/>
  <c r="U44" i="21"/>
  <c r="S45" i="21"/>
  <c r="W45" i="21"/>
  <c r="U46" i="21"/>
  <c r="U9" i="21"/>
  <c r="S12" i="21"/>
  <c r="W12" i="21"/>
  <c r="U13" i="21"/>
  <c r="S14" i="21"/>
  <c r="W14" i="21"/>
  <c r="S9" i="21"/>
  <c r="W9" i="21"/>
  <c r="U12" i="21"/>
  <c r="S13" i="21"/>
  <c r="W13" i="21"/>
  <c r="U14" i="21"/>
  <c r="K8" i="1"/>
  <c r="M8" i="1" s="1"/>
  <c r="I4" i="6"/>
  <c r="C13" i="39" s="1"/>
  <c r="D23" i="68" s="1"/>
  <c r="BB5" i="3"/>
  <c r="E5" i="6" s="1"/>
  <c r="P16" i="4"/>
  <c r="K17" i="4" s="1"/>
  <c r="A22" i="51" s="1"/>
  <c r="B16" i="63" s="1"/>
  <c r="A9" i="51"/>
  <c r="B9" i="63" s="1"/>
  <c r="C92" i="9"/>
  <c r="O40" i="9"/>
  <c r="H14" i="66"/>
  <c r="B7" i="66" s="1"/>
  <c r="R10" i="1"/>
  <c r="R12" i="1"/>
  <c r="C17" i="46"/>
  <c r="I17" i="46"/>
  <c r="F33" i="46"/>
  <c r="F34" i="46"/>
  <c r="F35" i="46"/>
  <c r="F36" i="46"/>
  <c r="F37" i="46"/>
  <c r="F38" i="46"/>
  <c r="F39" i="46"/>
  <c r="J51" i="15"/>
  <c r="N4" i="63"/>
  <c r="G10" i="1"/>
  <c r="G12" i="1"/>
  <c r="K40" i="9"/>
  <c r="N2" i="46"/>
  <c r="M6" i="46"/>
  <c r="X7" i="46"/>
  <c r="G17" i="46"/>
  <c r="H48" i="46"/>
  <c r="H51" i="46"/>
  <c r="H74" i="46"/>
  <c r="AZ14" i="3"/>
  <c r="BA5" i="3"/>
  <c r="G29" i="6"/>
  <c r="G30" i="6" s="1"/>
  <c r="G31" i="6" s="1"/>
  <c r="G28" i="6"/>
  <c r="M43" i="9"/>
  <c r="D18" i="9"/>
  <c r="M44" i="9" s="1"/>
  <c r="P62" i="15"/>
  <c r="G93" i="39"/>
  <c r="F19" i="39"/>
  <c r="G103" i="39"/>
  <c r="F29" i="39"/>
  <c r="J23" i="39"/>
  <c r="AC23" i="39" s="1"/>
  <c r="F23" i="39"/>
  <c r="AA23" i="39" s="1"/>
  <c r="F97" i="39"/>
  <c r="G97" i="39" s="1"/>
  <c r="H23" i="39"/>
  <c r="AB23" i="39" s="1"/>
  <c r="F107" i="39"/>
  <c r="G107" i="39" s="1"/>
  <c r="H107" i="39" s="1"/>
  <c r="I107" i="39" s="1"/>
  <c r="J107" i="39" s="1"/>
  <c r="K107" i="39" s="1"/>
  <c r="L107" i="39" s="1"/>
  <c r="M107" i="39" s="1"/>
  <c r="F33" i="39"/>
  <c r="F17" i="39"/>
  <c r="U11" i="39"/>
  <c r="U19" i="39"/>
  <c r="W23" i="39"/>
  <c r="S25" i="39"/>
  <c r="W25" i="39"/>
  <c r="S27" i="39"/>
  <c r="W27" i="39"/>
  <c r="W29" i="39"/>
  <c r="S31" i="39"/>
  <c r="W31" i="39"/>
  <c r="U33" i="39"/>
  <c r="S40" i="39"/>
  <c r="W40" i="39"/>
  <c r="U41" i="39"/>
  <c r="S43" i="39"/>
  <c r="W43" i="39"/>
  <c r="U44" i="39"/>
  <c r="S11" i="39"/>
  <c r="W11" i="39"/>
  <c r="W19" i="39"/>
  <c r="U25" i="39"/>
  <c r="U27" i="39"/>
  <c r="U29" i="39"/>
  <c r="U31" i="39"/>
  <c r="W33" i="39"/>
  <c r="U40" i="39"/>
  <c r="S41" i="39"/>
  <c r="W41" i="39"/>
  <c r="U43" i="39"/>
  <c r="S44" i="39"/>
  <c r="W44" i="39"/>
  <c r="U10" i="39"/>
  <c r="AA10" i="39"/>
  <c r="AC10" i="39"/>
  <c r="S14" i="39"/>
  <c r="W14" i="39"/>
  <c r="U15" i="39"/>
  <c r="S16" i="39"/>
  <c r="W16" i="39"/>
  <c r="W17" i="39"/>
  <c r="S21" i="39"/>
  <c r="W21" i="39"/>
  <c r="S34" i="39"/>
  <c r="W34" i="39"/>
  <c r="U36" i="39"/>
  <c r="S37" i="39"/>
  <c r="W37" i="39"/>
  <c r="U38" i="39"/>
  <c r="S39" i="39"/>
  <c r="W39" i="39"/>
  <c r="U42" i="39"/>
  <c r="S45" i="39"/>
  <c r="W45" i="39"/>
  <c r="U46" i="39"/>
  <c r="S47" i="39"/>
  <c r="W47" i="39"/>
  <c r="F36" i="44"/>
  <c r="F34" i="15"/>
  <c r="F61" i="15" s="1"/>
  <c r="U14" i="39"/>
  <c r="S15" i="39"/>
  <c r="W15" i="39"/>
  <c r="U16" i="39"/>
  <c r="U21" i="39"/>
  <c r="U34" i="39"/>
  <c r="S36" i="39"/>
  <c r="W36" i="39"/>
  <c r="U37" i="39"/>
  <c r="S38" i="39"/>
  <c r="W38" i="39"/>
  <c r="U39" i="39"/>
  <c r="S42" i="39"/>
  <c r="W42" i="39"/>
  <c r="U45" i="39"/>
  <c r="S46" i="39"/>
  <c r="W46" i="39"/>
  <c r="U47" i="39"/>
  <c r="M22" i="44"/>
  <c r="B4" i="52"/>
  <c r="B8" i="52"/>
  <c r="B13" i="52"/>
  <c r="B6" i="52"/>
  <c r="B10" i="52"/>
  <c r="B41" i="1"/>
  <c r="D96" i="9"/>
  <c r="G27" i="12"/>
  <c r="G21" i="43"/>
  <c r="G23" i="43"/>
  <c r="C20" i="46"/>
  <c r="E28" i="6"/>
  <c r="K14" i="1" s="1"/>
  <c r="M14" i="1" s="1"/>
  <c r="G5" i="3"/>
  <c r="B3" i="3" s="1"/>
  <c r="E13" i="3" s="1"/>
  <c r="B23" i="52"/>
  <c r="E22" i="52"/>
  <c r="A17" i="51"/>
  <c r="B13" i="63" s="1"/>
  <c r="A17" i="64"/>
  <c r="L5" i="54"/>
  <c r="B39" i="63" s="1"/>
  <c r="B5" i="52"/>
  <c r="B7" i="52"/>
  <c r="B9" i="52"/>
  <c r="B11" i="52"/>
  <c r="B16" i="52"/>
  <c r="C53" i="10"/>
  <c r="BM5" i="3"/>
  <c r="F29" i="6" s="1"/>
  <c r="AZ13" i="3"/>
  <c r="E15" i="6"/>
  <c r="E62" i="40" s="1"/>
  <c r="E13" i="6"/>
  <c r="E65" i="39" s="1"/>
  <c r="E11" i="6"/>
  <c r="E58" i="40" s="1"/>
  <c r="K1" i="43"/>
  <c r="K6" i="1"/>
  <c r="M6" i="1" s="1"/>
  <c r="E8" i="6"/>
  <c r="E53" i="40" s="1"/>
  <c r="E10" i="6"/>
  <c r="E14" i="6"/>
  <c r="E61" i="40" s="1"/>
  <c r="E12" i="6"/>
  <c r="C51" i="10"/>
  <c r="A4" i="64"/>
  <c r="E60" i="40"/>
  <c r="E67" i="39"/>
  <c r="B7" i="1"/>
  <c r="E7" i="1" s="1"/>
  <c r="S9" i="1"/>
  <c r="B9" i="1"/>
  <c r="E9" i="1" s="1"/>
  <c r="S11" i="1"/>
  <c r="B11" i="1"/>
  <c r="E11" i="1" s="1"/>
  <c r="S13" i="1"/>
  <c r="B13" i="1"/>
  <c r="E13" i="1" s="1"/>
  <c r="G14" i="66"/>
  <c r="B6" i="66" s="1"/>
  <c r="AC32" i="40"/>
  <c r="W32" i="40"/>
  <c r="A2" i="9"/>
  <c r="K1" i="12"/>
  <c r="E59" i="40"/>
  <c r="E64" i="39"/>
  <c r="C7" i="36"/>
  <c r="C46" i="36" s="1"/>
  <c r="C7" i="35"/>
  <c r="C48" i="35" s="1"/>
  <c r="C7" i="33"/>
  <c r="C7" i="37"/>
  <c r="C52" i="37" s="1"/>
  <c r="C7" i="34"/>
  <c r="C59" i="34" s="1"/>
  <c r="C7" i="21"/>
  <c r="G19" i="46"/>
  <c r="C9" i="39"/>
  <c r="C70" i="39" s="1"/>
  <c r="C42" i="1"/>
  <c r="D38" i="4"/>
  <c r="C39" i="4" s="1"/>
  <c r="C9" i="40"/>
  <c r="C65" i="40" s="1"/>
  <c r="G1" i="15"/>
  <c r="F3" i="35"/>
  <c r="G1" i="44"/>
  <c r="B6" i="1"/>
  <c r="E6" i="1" s="1"/>
  <c r="B8" i="1"/>
  <c r="E8" i="1" s="1"/>
  <c r="S10" i="1"/>
  <c r="B10" i="1"/>
  <c r="E10" i="1" s="1"/>
  <c r="S12" i="1"/>
  <c r="B12" i="1"/>
  <c r="E12" i="1" s="1"/>
  <c r="C46" i="9"/>
  <c r="K41" i="9"/>
  <c r="E11" i="46"/>
  <c r="E10" i="46"/>
  <c r="E9" i="46"/>
  <c r="E8" i="46"/>
  <c r="A4" i="51"/>
  <c r="B6" i="63" s="1"/>
  <c r="K7" i="1"/>
  <c r="M7" i="1" s="1"/>
  <c r="O8" i="1"/>
  <c r="P8" i="1" s="1"/>
  <c r="G9" i="1"/>
  <c r="K9" i="1"/>
  <c r="M9" i="1" s="1"/>
  <c r="R9" i="1"/>
  <c r="O10" i="1"/>
  <c r="P10" i="1" s="1"/>
  <c r="G11" i="1"/>
  <c r="K11" i="1"/>
  <c r="M11" i="1" s="1"/>
  <c r="R11" i="1"/>
  <c r="O12" i="1"/>
  <c r="P12" i="1" s="1"/>
  <c r="G13" i="1"/>
  <c r="K13" i="1"/>
  <c r="M13" i="1" s="1"/>
  <c r="R13" i="1"/>
  <c r="O39" i="9"/>
  <c r="R6" i="54" s="1"/>
  <c r="B50" i="63" s="1"/>
  <c r="N69" i="9"/>
  <c r="H55" i="46"/>
  <c r="H53" i="46"/>
  <c r="H50" i="46"/>
  <c r="H49" i="46"/>
  <c r="H47" i="46"/>
  <c r="H77" i="46"/>
  <c r="H76" i="46"/>
  <c r="H73" i="46"/>
  <c r="H71" i="46"/>
  <c r="H69" i="46"/>
  <c r="H32" i="40"/>
  <c r="M11" i="46"/>
  <c r="H54" i="46"/>
  <c r="H59" i="46"/>
  <c r="H62" i="46"/>
  <c r="H72" i="46"/>
  <c r="H81" i="46"/>
  <c r="H85" i="46"/>
  <c r="H6" i="48"/>
  <c r="H10" i="48"/>
  <c r="N1" i="65"/>
  <c r="H1" i="65"/>
  <c r="H15" i="48"/>
  <c r="H13" i="48"/>
  <c r="H11" i="48"/>
  <c r="H9" i="48"/>
  <c r="H7" i="48"/>
  <c r="H5" i="48"/>
  <c r="M12" i="46"/>
  <c r="N11" i="46"/>
  <c r="N10" i="46"/>
  <c r="M9" i="46"/>
  <c r="M8" i="46"/>
  <c r="M7" i="46"/>
  <c r="N6" i="46"/>
  <c r="N5" i="46"/>
  <c r="M4" i="46"/>
  <c r="N3" i="46"/>
  <c r="M2" i="46"/>
  <c r="N1" i="46"/>
  <c r="H66" i="46"/>
  <c r="H64" i="46"/>
  <c r="H61" i="46"/>
  <c r="H60" i="46"/>
  <c r="H58" i="46"/>
  <c r="H87" i="46"/>
  <c r="H84" i="46"/>
  <c r="H82" i="46"/>
  <c r="H80" i="46"/>
  <c r="E4" i="52"/>
  <c r="C4" i="4" s="1"/>
  <c r="B20" i="55" s="1"/>
  <c r="B70" i="63" s="1"/>
  <c r="E5" i="52"/>
  <c r="E6" i="52"/>
  <c r="E7" i="52"/>
  <c r="E4" i="4" s="1"/>
  <c r="B21" i="55" s="1"/>
  <c r="B72" i="63" s="1"/>
  <c r="E8" i="52"/>
  <c r="E9" i="52"/>
  <c r="E10" i="52"/>
  <c r="E11" i="52"/>
  <c r="B14" i="52"/>
  <c r="E16" i="52"/>
  <c r="B22" i="52"/>
  <c r="F27" i="6"/>
  <c r="B3" i="66"/>
  <c r="K76" i="9"/>
  <c r="K77" i="9" s="1"/>
  <c r="K79" i="9" s="1"/>
  <c r="K81" i="9" s="1"/>
  <c r="J57" i="39"/>
  <c r="E58" i="39"/>
  <c r="F32" i="40"/>
  <c r="M3" i="46"/>
  <c r="N4" i="46"/>
  <c r="M5" i="46"/>
  <c r="N7" i="46"/>
  <c r="N8" i="46"/>
  <c r="N9" i="46"/>
  <c r="M10" i="46"/>
  <c r="N12" i="46"/>
  <c r="H65" i="46"/>
  <c r="H83" i="46"/>
  <c r="H8" i="48"/>
  <c r="H12" i="48"/>
  <c r="H16" i="48"/>
  <c r="D26" i="44"/>
  <c r="C6" i="46"/>
  <c r="E17" i="46"/>
  <c r="H17" i="46"/>
  <c r="J17" i="46"/>
  <c r="D24" i="44"/>
  <c r="D22" i="15"/>
  <c r="D23" i="15"/>
  <c r="AB11" i="33" l="1"/>
  <c r="I128" i="68"/>
  <c r="G152" i="68" s="1"/>
  <c r="U11" i="33"/>
  <c r="AZ5" i="3"/>
  <c r="AA33" i="39"/>
  <c r="G31" i="68"/>
  <c r="E55" i="68" s="1"/>
  <c r="AA29" i="39"/>
  <c r="G29" i="68"/>
  <c r="E53" i="68" s="1"/>
  <c r="A3" i="55"/>
  <c r="B56" i="63" s="1"/>
  <c r="AA11" i="21"/>
  <c r="G75" i="68"/>
  <c r="E99" i="68" s="1"/>
  <c r="AC10" i="33"/>
  <c r="K127" i="68"/>
  <c r="I151" i="68" s="1"/>
  <c r="AA35" i="21"/>
  <c r="G84" i="68"/>
  <c r="E108" i="68" s="1"/>
  <c r="AC15" i="21"/>
  <c r="K76" i="68"/>
  <c r="I100" i="68" s="1"/>
  <c r="F91" i="39"/>
  <c r="G91" i="39" s="1"/>
  <c r="H17" i="39"/>
  <c r="AA44" i="39"/>
  <c r="G35" i="68"/>
  <c r="E59" i="68" s="1"/>
  <c r="AC44" i="21"/>
  <c r="K90" i="68"/>
  <c r="I114" i="68" s="1"/>
  <c r="AB44" i="39"/>
  <c r="I35" i="68"/>
  <c r="G59" i="68" s="1"/>
  <c r="AB33" i="39"/>
  <c r="I31" i="68"/>
  <c r="G55" i="68" s="1"/>
  <c r="AB19" i="21"/>
  <c r="I78" i="68"/>
  <c r="G102" i="68" s="1"/>
  <c r="S26" i="35"/>
  <c r="AA26" i="35"/>
  <c r="AC39" i="37"/>
  <c r="W39" i="37"/>
  <c r="AA10" i="21"/>
  <c r="G74" i="68"/>
  <c r="E98" i="68" s="1"/>
  <c r="AA45" i="39"/>
  <c r="G36" i="68"/>
  <c r="E60" i="68" s="1"/>
  <c r="AC41" i="39"/>
  <c r="K33" i="68"/>
  <c r="I57" i="68" s="1"/>
  <c r="AA17" i="39"/>
  <c r="G24" i="68"/>
  <c r="E48" i="68" s="1"/>
  <c r="Q70" i="68" s="1"/>
  <c r="AA19" i="39"/>
  <c r="G25" i="68"/>
  <c r="E49" i="68" s="1"/>
  <c r="Q71" i="68" s="1"/>
  <c r="S11" i="21"/>
  <c r="AB11" i="21"/>
  <c r="I75" i="68"/>
  <c r="G99" i="68" s="1"/>
  <c r="AC11" i="21"/>
  <c r="K75" i="68"/>
  <c r="I99" i="68" s="1"/>
  <c r="U13" i="33"/>
  <c r="W10" i="33"/>
  <c r="AA10" i="33"/>
  <c r="G127" i="68"/>
  <c r="E151" i="68" s="1"/>
  <c r="AC35" i="21"/>
  <c r="K84" i="68"/>
  <c r="I108" i="68" s="1"/>
  <c r="AA19" i="21"/>
  <c r="G78" i="68"/>
  <c r="E102" i="68" s="1"/>
  <c r="AA15" i="21"/>
  <c r="G76" i="68"/>
  <c r="E100" i="68" s="1"/>
  <c r="AC33" i="39"/>
  <c r="K31" i="68"/>
  <c r="I55" i="68" s="1"/>
  <c r="AC10" i="21"/>
  <c r="K74" i="68"/>
  <c r="I98" i="68" s="1"/>
  <c r="AA41" i="39"/>
  <c r="G33" i="68"/>
  <c r="E57" i="68" s="1"/>
  <c r="W17" i="33"/>
  <c r="W15" i="33"/>
  <c r="S29" i="39"/>
  <c r="S15" i="21"/>
  <c r="G8" i="1"/>
  <c r="D12" i="11"/>
  <c r="C12" i="11" s="1"/>
  <c r="D21" i="12"/>
  <c r="C21" i="12" s="1"/>
  <c r="C58" i="21"/>
  <c r="I7" i="21"/>
  <c r="E7" i="21"/>
  <c r="G7" i="21"/>
  <c r="AA34" i="36"/>
  <c r="S34" i="36"/>
  <c r="AA32" i="36"/>
  <c r="S32" i="36"/>
  <c r="AA35" i="35"/>
  <c r="S35" i="35"/>
  <c r="AA24" i="36"/>
  <c r="S24" i="36"/>
  <c r="AA12" i="36"/>
  <c r="S12" i="36"/>
  <c r="AA9" i="36"/>
  <c r="S9" i="36"/>
  <c r="AC24" i="35"/>
  <c r="W24" i="35"/>
  <c r="AA11" i="35"/>
  <c r="S11" i="35"/>
  <c r="AA14" i="37"/>
  <c r="S14" i="37"/>
  <c r="AA12" i="37"/>
  <c r="S12" i="37"/>
  <c r="AB46" i="34"/>
  <c r="U46" i="34"/>
  <c r="AA14" i="34"/>
  <c r="S14" i="34"/>
  <c r="AA12" i="34"/>
  <c r="S12" i="34"/>
  <c r="N49" i="59"/>
  <c r="B48" i="59"/>
  <c r="AA41" i="40"/>
  <c r="S41" i="40"/>
  <c r="AC28" i="37"/>
  <c r="W28" i="37"/>
  <c r="AA26" i="37"/>
  <c r="S26" i="37"/>
  <c r="AB32" i="34"/>
  <c r="U32" i="34"/>
  <c r="AB30" i="34"/>
  <c r="U30" i="34"/>
  <c r="AB28" i="34"/>
  <c r="U28" i="34"/>
  <c r="AB9" i="34"/>
  <c r="U9" i="34"/>
  <c r="C26" i="59"/>
  <c r="D25" i="59"/>
  <c r="C18" i="59"/>
  <c r="D17" i="59"/>
  <c r="AA34" i="40"/>
  <c r="S34" i="40"/>
  <c r="T46" i="59"/>
  <c r="D46" i="59"/>
  <c r="T42" i="59"/>
  <c r="D42" i="59"/>
  <c r="T22" i="59"/>
  <c r="D22" i="59"/>
  <c r="C58" i="33"/>
  <c r="G7" i="33"/>
  <c r="I7" i="33"/>
  <c r="E7" i="33"/>
  <c r="G3" i="46"/>
  <c r="W11" i="21"/>
  <c r="AC34" i="36"/>
  <c r="W34" i="36"/>
  <c r="AC32" i="36"/>
  <c r="W32" i="36"/>
  <c r="AC35" i="35"/>
  <c r="W35" i="35"/>
  <c r="AC24" i="36"/>
  <c r="W24" i="36"/>
  <c r="AC12" i="36"/>
  <c r="W12" i="36"/>
  <c r="AA24" i="35"/>
  <c r="S24" i="35"/>
  <c r="AA13" i="35"/>
  <c r="S13" i="35"/>
  <c r="AC14" i="37"/>
  <c r="W14" i="37"/>
  <c r="AC12" i="37"/>
  <c r="W12" i="37"/>
  <c r="U28" i="37"/>
  <c r="AB28" i="37"/>
  <c r="S46" i="34"/>
  <c r="AA46" i="34"/>
  <c r="AB14" i="34"/>
  <c r="U14" i="34"/>
  <c r="AC14" i="34"/>
  <c r="W14" i="34"/>
  <c r="AC12" i="34"/>
  <c r="W12" i="34"/>
  <c r="G81" i="33"/>
  <c r="H19" i="33"/>
  <c r="I131" i="68" s="1"/>
  <c r="G155" i="68" s="1"/>
  <c r="F19" i="33"/>
  <c r="G131" i="68" s="1"/>
  <c r="E155" i="68" s="1"/>
  <c r="F69" i="33"/>
  <c r="G69" i="33" s="1"/>
  <c r="H69" i="33" s="1"/>
  <c r="I69" i="33" s="1"/>
  <c r="J69" i="33" s="1"/>
  <c r="K69" i="33" s="1"/>
  <c r="L69" i="33" s="1"/>
  <c r="M69" i="33" s="1"/>
  <c r="F11" i="33"/>
  <c r="G128" i="68" s="1"/>
  <c r="E152" i="68" s="1"/>
  <c r="J11" i="33"/>
  <c r="O47" i="59"/>
  <c r="O48" i="59"/>
  <c r="D48" i="59"/>
  <c r="AB34" i="40"/>
  <c r="U34" i="40"/>
  <c r="AA29" i="40"/>
  <c r="S29" i="40"/>
  <c r="AA15" i="40"/>
  <c r="S15" i="40"/>
  <c r="F6" i="1"/>
  <c r="F7" i="1"/>
  <c r="AA28" i="37"/>
  <c r="S28" i="37"/>
  <c r="AB26" i="37"/>
  <c r="U26" i="37"/>
  <c r="AC26" i="37"/>
  <c r="W26" i="37"/>
  <c r="AA32" i="34"/>
  <c r="S32" i="34"/>
  <c r="AA30" i="34"/>
  <c r="S30" i="34"/>
  <c r="AA28" i="34"/>
  <c r="S28" i="34"/>
  <c r="W9" i="34"/>
  <c r="AC9" i="34"/>
  <c r="AC34" i="40"/>
  <c r="W34" i="40"/>
  <c r="T38" i="59"/>
  <c r="D38" i="59"/>
  <c r="T34" i="59"/>
  <c r="D34" i="59"/>
  <c r="T14" i="59"/>
  <c r="D14" i="59"/>
  <c r="AC36" i="33"/>
  <c r="W36" i="33"/>
  <c r="AB36" i="33"/>
  <c r="U36" i="33"/>
  <c r="AA36" i="33"/>
  <c r="S36" i="33"/>
  <c r="U11" i="21"/>
  <c r="S37" i="21"/>
  <c r="E27" i="6"/>
  <c r="K24" i="6" s="1"/>
  <c r="M24" i="6" s="1"/>
  <c r="I24" i="6" s="1"/>
  <c r="S24" i="6" s="1"/>
  <c r="E66" i="39"/>
  <c r="E29" i="6"/>
  <c r="L19" i="6" s="1"/>
  <c r="L27" i="6" s="1"/>
  <c r="K26" i="6"/>
  <c r="M26" i="6" s="1"/>
  <c r="I26" i="6" s="1"/>
  <c r="S26" i="6" s="1"/>
  <c r="K25" i="6"/>
  <c r="M25" i="6" s="1"/>
  <c r="I25" i="6" s="1"/>
  <c r="S25" i="6" s="1"/>
  <c r="R7" i="54"/>
  <c r="B52" i="63" s="1"/>
  <c r="K31" i="9"/>
  <c r="K32" i="9" s="1"/>
  <c r="E63" i="39"/>
  <c r="C16" i="46"/>
  <c r="U23" i="39"/>
  <c r="S19" i="39"/>
  <c r="S17" i="39"/>
  <c r="S33" i="39"/>
  <c r="S23" i="39"/>
  <c r="F32" i="15"/>
  <c r="F59" i="15" s="1"/>
  <c r="F28" i="15"/>
  <c r="C28" i="15" s="1"/>
  <c r="M18" i="15"/>
  <c r="F31" i="43"/>
  <c r="F29" i="12"/>
  <c r="D86" i="9"/>
  <c r="F71" i="9"/>
  <c r="F66" i="9"/>
  <c r="P72" i="9" s="1"/>
  <c r="F34" i="44"/>
  <c r="F30" i="44"/>
  <c r="C30" i="44" s="1"/>
  <c r="M20" i="44"/>
  <c r="F27" i="43"/>
  <c r="C27" i="43" s="1"/>
  <c r="F72" i="9"/>
  <c r="F70" i="9"/>
  <c r="F30" i="6"/>
  <c r="F31" i="6" s="1"/>
  <c r="E3" i="6"/>
  <c r="AY6" i="3"/>
  <c r="A25" i="64"/>
  <c r="A25" i="51"/>
  <c r="B18" i="63" s="1"/>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T6" i="3"/>
  <c r="AR6" i="3"/>
  <c r="AP6" i="3"/>
  <c r="AN6" i="3"/>
  <c r="AL6" i="3"/>
  <c r="AJ6" i="3"/>
  <c r="AH6" i="3"/>
  <c r="AF6" i="3"/>
  <c r="AD6" i="3"/>
  <c r="AC6" i="3" s="1"/>
  <c r="AB6" i="3"/>
  <c r="Z6" i="3"/>
  <c r="X6" i="3"/>
  <c r="V6" i="3"/>
  <c r="T6" i="3"/>
  <c r="R6" i="3"/>
  <c r="P6" i="3"/>
  <c r="N6" i="3"/>
  <c r="L6" i="3"/>
  <c r="J6" i="3"/>
  <c r="AQ6" i="3"/>
  <c r="AM6" i="3"/>
  <c r="AI6" i="3"/>
  <c r="AE6" i="3"/>
  <c r="AA6" i="3"/>
  <c r="W6" i="3"/>
  <c r="S6" i="3"/>
  <c r="O6" i="3"/>
  <c r="K6" i="3"/>
  <c r="Y6" i="3"/>
  <c r="U6" i="3"/>
  <c r="Q6" i="3"/>
  <c r="M6"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O6" i="3"/>
  <c r="AK6" i="3"/>
  <c r="AG6" i="3"/>
  <c r="I6" i="3"/>
  <c r="E16" i="6"/>
  <c r="AA32" i="40"/>
  <c r="S32" i="40"/>
  <c r="M84" i="9"/>
  <c r="N84" i="9" s="1"/>
  <c r="M83" i="9"/>
  <c r="N83" i="9" s="1"/>
  <c r="N89" i="9" s="1"/>
  <c r="O89" i="9" s="1"/>
  <c r="M88" i="9"/>
  <c r="N88" i="9" s="1"/>
  <c r="M86" i="9"/>
  <c r="N86" i="9" s="1"/>
  <c r="M87" i="9"/>
  <c r="N87" i="9" s="1"/>
  <c r="M85" i="9"/>
  <c r="N85" i="9" s="1"/>
  <c r="I14" i="66"/>
  <c r="B8" i="66" s="1"/>
  <c r="K33" i="9"/>
  <c r="D46" i="9"/>
  <c r="O41" i="9"/>
  <c r="R8" i="54" s="1"/>
  <c r="B54" i="63" s="1"/>
  <c r="D65" i="40"/>
  <c r="C67" i="40"/>
  <c r="C15" i="43"/>
  <c r="C31" i="43"/>
  <c r="C25" i="12"/>
  <c r="P25" i="46"/>
  <c r="B73" i="39" s="1"/>
  <c r="P21" i="46"/>
  <c r="O19" i="46"/>
  <c r="P24" i="46"/>
  <c r="B68" i="40" s="1"/>
  <c r="P23" i="46"/>
  <c r="P22" i="46"/>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M16" i="1"/>
  <c r="O6" i="1"/>
  <c r="P6" i="1" s="1"/>
  <c r="C15" i="12" s="1"/>
  <c r="N16" i="1"/>
  <c r="C29" i="43" s="1"/>
  <c r="C5" i="46"/>
  <c r="Q16" i="1"/>
  <c r="AB32" i="40"/>
  <c r="U32" i="40"/>
  <c r="O14" i="1"/>
  <c r="P14" i="1" s="1"/>
  <c r="O13" i="1"/>
  <c r="P13" i="1" s="1"/>
  <c r="O11" i="1"/>
  <c r="P11" i="1" s="1"/>
  <c r="O9" i="1"/>
  <c r="P9" i="1" s="1"/>
  <c r="O7" i="1"/>
  <c r="P7" i="1" s="1"/>
  <c r="G39" i="46"/>
  <c r="I39" i="46" s="1"/>
  <c r="C7" i="46"/>
  <c r="C72" i="39"/>
  <c r="D70" i="39"/>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H16" i="1"/>
  <c r="M24" i="44"/>
  <c r="F38" i="15"/>
  <c r="N4" i="65"/>
  <c r="F36" i="15"/>
  <c r="F18" i="44"/>
  <c r="F46" i="44"/>
  <c r="F40" i="44"/>
  <c r="F10" i="44"/>
  <c r="M30" i="44"/>
  <c r="M23" i="44"/>
  <c r="F8" i="15"/>
  <c r="J17" i="44"/>
  <c r="I6" i="65"/>
  <c r="M31" i="44"/>
  <c r="M28" i="44"/>
  <c r="F11" i="44"/>
  <c r="M24" i="15"/>
  <c r="F13" i="15"/>
  <c r="F39" i="44"/>
  <c r="L49" i="44"/>
  <c r="L47" i="15"/>
  <c r="M26" i="44"/>
  <c r="J5" i="65"/>
  <c r="F40" i="15"/>
  <c r="I3" i="65"/>
  <c r="F37" i="44"/>
  <c r="J3" i="65"/>
  <c r="M28" i="15"/>
  <c r="F42" i="15"/>
  <c r="M25" i="44"/>
  <c r="F26" i="15"/>
  <c r="M29" i="15"/>
  <c r="F6" i="15"/>
  <c r="F16" i="15"/>
  <c r="L48" i="44"/>
  <c r="M27" i="15"/>
  <c r="M8" i="15"/>
  <c r="F9" i="15"/>
  <c r="N3" i="65"/>
  <c r="N6" i="65"/>
  <c r="M22" i="15"/>
  <c r="L48" i="15"/>
  <c r="N5" i="65"/>
  <c r="I4" i="65"/>
  <c r="M11" i="44"/>
  <c r="M26" i="15"/>
  <c r="J15" i="15"/>
  <c r="C19" i="44"/>
  <c r="M6" i="15"/>
  <c r="M23" i="15"/>
  <c r="I5" i="65"/>
  <c r="M29" i="44"/>
  <c r="F28" i="44"/>
  <c r="F38" i="44"/>
  <c r="F9" i="44"/>
  <c r="F8" i="44"/>
  <c r="F15" i="44"/>
  <c r="J4" i="65"/>
  <c r="M10" i="44"/>
  <c r="J7" i="65"/>
  <c r="I7" i="65"/>
  <c r="F43" i="15"/>
  <c r="F45" i="44"/>
  <c r="F43" i="44"/>
  <c r="F7" i="15"/>
  <c r="F37" i="15"/>
  <c r="J6" i="65"/>
  <c r="M9" i="15"/>
  <c r="J36" i="15"/>
  <c r="M8" i="44"/>
  <c r="N7" i="65"/>
  <c r="AB17" i="39" l="1"/>
  <c r="I24" i="68"/>
  <c r="G48" i="68" s="1"/>
  <c r="R70" i="68" s="1"/>
  <c r="U17" i="39"/>
  <c r="F7" i="36"/>
  <c r="F7" i="33"/>
  <c r="F7" i="34"/>
  <c r="K21" i="6"/>
  <c r="K22" i="6"/>
  <c r="M22" i="6" s="1"/>
  <c r="I22" i="6" s="1"/>
  <c r="S22" i="6" s="1"/>
  <c r="AP7" i="1"/>
  <c r="G7" i="1"/>
  <c r="AA11" i="33"/>
  <c r="S11" i="33"/>
  <c r="AA19" i="33"/>
  <c r="S19" i="33"/>
  <c r="H13" i="39"/>
  <c r="I23" i="68" s="1"/>
  <c r="G47" i="68" s="1"/>
  <c r="F13" i="39"/>
  <c r="G23" i="68" s="1"/>
  <c r="E47" i="68" s="1"/>
  <c r="J13" i="39"/>
  <c r="K23" i="68" s="1"/>
  <c r="I47" i="68" s="1"/>
  <c r="N48" i="59"/>
  <c r="N47" i="59"/>
  <c r="AP6" i="1"/>
  <c r="G6" i="1"/>
  <c r="AC11" i="33"/>
  <c r="W11" i="33"/>
  <c r="AB19" i="33"/>
  <c r="U19" i="33"/>
  <c r="M101" i="46"/>
  <c r="S3" i="46"/>
  <c r="AC11" i="46"/>
  <c r="AC13" i="46" s="1"/>
  <c r="F22" i="46"/>
  <c r="I101" i="46"/>
  <c r="N101" i="46"/>
  <c r="J101" i="46"/>
  <c r="F101" i="46"/>
  <c r="C23" i="46"/>
  <c r="C21" i="46" s="1"/>
  <c r="G22" i="46"/>
  <c r="AJ11" i="46"/>
  <c r="AJ13" i="46" s="1"/>
  <c r="AF11" i="46"/>
  <c r="AF13" i="46" s="1"/>
  <c r="AB11" i="46"/>
  <c r="AB13" i="46" s="1"/>
  <c r="Z7" i="46"/>
  <c r="S4" i="46"/>
  <c r="S6" i="46"/>
  <c r="AE11" i="46"/>
  <c r="AE13" i="46" s="1"/>
  <c r="C101" i="46"/>
  <c r="K101" i="46"/>
  <c r="S5" i="46"/>
  <c r="Y11" i="46"/>
  <c r="Y13" i="46" s="1"/>
  <c r="AG11" i="46"/>
  <c r="AG13" i="46" s="1"/>
  <c r="E101" i="46"/>
  <c r="N104" i="45"/>
  <c r="L101" i="46"/>
  <c r="H101" i="46"/>
  <c r="D101" i="46"/>
  <c r="J22" i="46"/>
  <c r="E22" i="46"/>
  <c r="AH11" i="46"/>
  <c r="AH13" i="46" s="1"/>
  <c r="AD11" i="46"/>
  <c r="AD13" i="46" s="1"/>
  <c r="Z11" i="46"/>
  <c r="Z13" i="46" s="1"/>
  <c r="S7" i="46"/>
  <c r="S2" i="46"/>
  <c r="AA11" i="46"/>
  <c r="AA13" i="46" s="1"/>
  <c r="AI11" i="46"/>
  <c r="AI13" i="46" s="1"/>
  <c r="H22" i="46"/>
  <c r="G101" i="46"/>
  <c r="B113" i="46"/>
  <c r="T18" i="59"/>
  <c r="D18" i="59"/>
  <c r="M20" i="46" s="1"/>
  <c r="C19" i="46" s="1"/>
  <c r="T26" i="59"/>
  <c r="D26" i="59"/>
  <c r="M21" i="6"/>
  <c r="I21" i="6" s="1"/>
  <c r="S21" i="6" s="1"/>
  <c r="S8" i="1"/>
  <c r="H6" i="3"/>
  <c r="E6" i="3" s="1"/>
  <c r="K19" i="6"/>
  <c r="K23" i="6"/>
  <c r="M23" i="6" s="1"/>
  <c r="I23" i="6" s="1"/>
  <c r="S23" i="6" s="1"/>
  <c r="K20" i="6"/>
  <c r="K15" i="1"/>
  <c r="K16" i="1" s="1"/>
  <c r="E30" i="6"/>
  <c r="E31" i="6" s="1"/>
  <c r="J7" i="35"/>
  <c r="F7" i="37"/>
  <c r="F7" i="21"/>
  <c r="F7" i="35"/>
  <c r="H7" i="35"/>
  <c r="H7" i="37"/>
  <c r="J7" i="37"/>
  <c r="H7" i="21"/>
  <c r="J7" i="21"/>
  <c r="J7" i="36"/>
  <c r="H7" i="36"/>
  <c r="J7" i="33"/>
  <c r="H7" i="3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D10" i="11"/>
  <c r="E6" i="6"/>
  <c r="C21" i="4"/>
  <c r="O5" i="54" s="1"/>
  <c r="B45" i="63" s="1"/>
  <c r="D44" i="9"/>
  <c r="D45" i="9"/>
  <c r="L38" i="9"/>
  <c r="B14" i="66" s="1"/>
  <c r="D16" i="12"/>
  <c r="D16" i="43"/>
  <c r="C16" i="43" s="1"/>
  <c r="C27" i="15"/>
  <c r="F67" i="15"/>
  <c r="C29" i="44"/>
  <c r="M9" i="44"/>
  <c r="J8" i="44" s="1"/>
  <c r="Q73" i="44"/>
  <c r="L60" i="44"/>
  <c r="L59" i="44"/>
  <c r="J1" i="65"/>
  <c r="F50" i="15"/>
  <c r="F63" i="15"/>
  <c r="L59" i="15"/>
  <c r="L58" i="15"/>
  <c r="Q72" i="15"/>
  <c r="F65" i="15"/>
  <c r="J60" i="15"/>
  <c r="Q49" i="15" s="1"/>
  <c r="I54" i="15"/>
  <c r="J53" i="15"/>
  <c r="L56" i="15"/>
  <c r="L46" i="15"/>
  <c r="J57" i="15"/>
  <c r="J55" i="15" s="1"/>
  <c r="J58" i="15" s="1"/>
  <c r="Q51" i="15" s="1"/>
  <c r="J59" i="15"/>
  <c r="C8" i="44"/>
  <c r="C36" i="44"/>
  <c r="L57" i="44"/>
  <c r="J54" i="44"/>
  <c r="I55" i="44"/>
  <c r="J60" i="44"/>
  <c r="J61" i="44"/>
  <c r="Q50" i="44" s="1"/>
  <c r="J58" i="44"/>
  <c r="J56" i="44" s="1"/>
  <c r="J59" i="44" s="1"/>
  <c r="Q52" i="44" s="1"/>
  <c r="E20" i="46"/>
  <c r="C4" i="65"/>
  <c r="B39" i="1" s="1"/>
  <c r="F49" i="15"/>
  <c r="M7" i="15"/>
  <c r="J6" i="15" s="1"/>
  <c r="C6" i="15"/>
  <c r="F64" i="15"/>
  <c r="F70" i="15"/>
  <c r="J22" i="44"/>
  <c r="I1" i="65"/>
  <c r="S7" i="35"/>
  <c r="AA7" i="35"/>
  <c r="R38" i="35" s="1"/>
  <c r="U7" i="37"/>
  <c r="AB7" i="37"/>
  <c r="T42" i="37" s="1"/>
  <c r="G42" i="37" s="1"/>
  <c r="U7" i="21"/>
  <c r="AB7" i="21"/>
  <c r="T48" i="21" s="1"/>
  <c r="G48" i="21" s="1"/>
  <c r="F116" i="68" s="1"/>
  <c r="E70" i="39"/>
  <c r="D72" i="39"/>
  <c r="T15" i="46"/>
  <c r="V15" i="46" s="1"/>
  <c r="T14" i="46"/>
  <c r="V14" i="46" s="1"/>
  <c r="T13" i="46"/>
  <c r="V13" i="46" s="1"/>
  <c r="T12" i="46"/>
  <c r="V12" i="46" s="1"/>
  <c r="T9" i="46"/>
  <c r="V9" i="46" s="1"/>
  <c r="T8" i="46"/>
  <c r="V8" i="46" s="1"/>
  <c r="T6" i="46"/>
  <c r="V6" i="46" s="1"/>
  <c r="T5" i="46"/>
  <c r="V5" i="46" s="1"/>
  <c r="T3" i="46"/>
  <c r="V3" i="46" s="1"/>
  <c r="C39" i="46"/>
  <c r="E39" i="46" s="1"/>
  <c r="C37" i="46"/>
  <c r="C29" i="46"/>
  <c r="T11" i="46"/>
  <c r="V11" i="46" s="1"/>
  <c r="T2" i="46"/>
  <c r="V2" i="46" s="1"/>
  <c r="C38" i="46"/>
  <c r="T16" i="46"/>
  <c r="V16" i="46" s="1"/>
  <c r="T10" i="46"/>
  <c r="V10" i="46" s="1"/>
  <c r="T7" i="46"/>
  <c r="V7" i="46" s="1"/>
  <c r="T4" i="46"/>
  <c r="V4" i="46" s="1"/>
  <c r="W7" i="35"/>
  <c r="AC7" i="35"/>
  <c r="V38" i="35" s="1"/>
  <c r="I38" i="35" s="1"/>
  <c r="AA7" i="37"/>
  <c r="R42" i="37" s="1"/>
  <c r="S7" i="37"/>
  <c r="AA7" i="21"/>
  <c r="R48" i="21" s="1"/>
  <c r="S7" i="21"/>
  <c r="C13" i="43"/>
  <c r="L16" i="1"/>
  <c r="S7" i="36"/>
  <c r="AA7" i="36"/>
  <c r="R36" i="36" s="1"/>
  <c r="S7" i="33"/>
  <c r="AA7" i="33"/>
  <c r="R48" i="33" s="1"/>
  <c r="C35" i="46"/>
  <c r="C33" i="46"/>
  <c r="C36" i="46"/>
  <c r="C34" i="46"/>
  <c r="P16" i="1"/>
  <c r="C13" i="12" s="1"/>
  <c r="O16" i="1"/>
  <c r="H7" i="34"/>
  <c r="J7" i="34"/>
  <c r="K34" i="9"/>
  <c r="AB7" i="35"/>
  <c r="T38" i="35" s="1"/>
  <c r="G38" i="35" s="1"/>
  <c r="U7" i="35"/>
  <c r="AC7" i="37"/>
  <c r="V42" i="37" s="1"/>
  <c r="I42" i="37" s="1"/>
  <c r="W7" i="37"/>
  <c r="AC7" i="21"/>
  <c r="V48" i="21" s="1"/>
  <c r="I48" i="21" s="1"/>
  <c r="H116" i="68" s="1"/>
  <c r="W7" i="21"/>
  <c r="F18" i="11"/>
  <c r="C18" i="11" s="1"/>
  <c r="F24" i="43"/>
  <c r="C26" i="43" s="1"/>
  <c r="D24" i="43" s="1"/>
  <c r="F33" i="12"/>
  <c r="C34" i="12" s="1"/>
  <c r="D33" i="12" s="1"/>
  <c r="W7" i="36"/>
  <c r="AC7" i="36"/>
  <c r="V36" i="36" s="1"/>
  <c r="I36" i="36" s="1"/>
  <c r="AB7" i="36"/>
  <c r="T36" i="36" s="1"/>
  <c r="G36" i="36" s="1"/>
  <c r="U7" i="36"/>
  <c r="W7" i="33"/>
  <c r="AC7" i="33"/>
  <c r="V48" i="33" s="1"/>
  <c r="I48" i="33" s="1"/>
  <c r="H169" i="68" s="1"/>
  <c r="AB7" i="33"/>
  <c r="T48" i="33" s="1"/>
  <c r="G48" i="33" s="1"/>
  <c r="F169" i="68" s="1"/>
  <c r="U7" i="33"/>
  <c r="AA7" i="34"/>
  <c r="R49" i="34" s="1"/>
  <c r="S7" i="34"/>
  <c r="D67" i="40"/>
  <c r="E65" i="40"/>
  <c r="C18" i="44"/>
  <c r="E3" i="65"/>
  <c r="E2" i="65"/>
  <c r="C16" i="15"/>
  <c r="B1" i="66" l="1"/>
  <c r="C8" i="66" s="1"/>
  <c r="G16" i="1"/>
  <c r="J12" i="40" s="1"/>
  <c r="G118" i="46"/>
  <c r="H118" i="46" s="1"/>
  <c r="I116" i="46"/>
  <c r="J116" i="46" s="1"/>
  <c r="K116" i="46" s="1"/>
  <c r="L116" i="46" s="1"/>
  <c r="M116" i="46" s="1"/>
  <c r="B118" i="46"/>
  <c r="C118" i="46" s="1"/>
  <c r="B116" i="46"/>
  <c r="C116" i="46" s="1"/>
  <c r="D118" i="46"/>
  <c r="E118" i="46" s="1"/>
  <c r="F118" i="46" s="1"/>
  <c r="D116" i="46"/>
  <c r="E116" i="46" s="1"/>
  <c r="F116" i="46" s="1"/>
  <c r="G116" i="46" s="1"/>
  <c r="H116" i="46" s="1"/>
  <c r="I118" i="46"/>
  <c r="J118" i="46" s="1"/>
  <c r="K118" i="46" s="1"/>
  <c r="L118" i="46" s="1"/>
  <c r="M118" i="46" s="1"/>
  <c r="I117" i="46"/>
  <c r="J117" i="46" s="1"/>
  <c r="K117" i="46" s="1"/>
  <c r="L117" i="46" s="1"/>
  <c r="M117" i="46" s="1"/>
  <c r="I115" i="46"/>
  <c r="J115" i="46" s="1"/>
  <c r="K115" i="46" s="1"/>
  <c r="L115" i="46" s="1"/>
  <c r="M115" i="46" s="1"/>
  <c r="B117" i="46"/>
  <c r="C117" i="46" s="1"/>
  <c r="B115" i="46"/>
  <c r="C115" i="46" s="1"/>
  <c r="D117" i="46"/>
  <c r="E117" i="46" s="1"/>
  <c r="F117" i="46" s="1"/>
  <c r="G117" i="46" s="1"/>
  <c r="H117" i="46" s="1"/>
  <c r="D115" i="46"/>
  <c r="E115" i="46" s="1"/>
  <c r="F115" i="46" s="1"/>
  <c r="G115" i="46" s="1"/>
  <c r="H115" i="46" s="1"/>
  <c r="D22" i="46"/>
  <c r="D107" i="46"/>
  <c r="D105" i="46"/>
  <c r="D103" i="46"/>
  <c r="D109" i="46"/>
  <c r="D106" i="46"/>
  <c r="D104" i="46"/>
  <c r="D102" i="46"/>
  <c r="L107" i="46"/>
  <c r="L105" i="46"/>
  <c r="L103" i="46"/>
  <c r="L109" i="46"/>
  <c r="L106" i="46"/>
  <c r="L104" i="46"/>
  <c r="L102" i="46"/>
  <c r="E109" i="46"/>
  <c r="E106" i="46"/>
  <c r="E104" i="46"/>
  <c r="E102" i="46"/>
  <c r="E107" i="46"/>
  <c r="E105" i="46"/>
  <c r="E103" i="46"/>
  <c r="K107" i="46"/>
  <c r="K105" i="46"/>
  <c r="K103" i="46"/>
  <c r="K109" i="46"/>
  <c r="K106" i="46"/>
  <c r="K104" i="46"/>
  <c r="K102" i="46"/>
  <c r="J109" i="46"/>
  <c r="J106" i="46"/>
  <c r="J104" i="46"/>
  <c r="J102" i="46"/>
  <c r="J107" i="46"/>
  <c r="J105" i="46"/>
  <c r="J103" i="46"/>
  <c r="I109" i="46"/>
  <c r="I106" i="46"/>
  <c r="I104" i="46"/>
  <c r="I102" i="46"/>
  <c r="I107" i="46"/>
  <c r="I105" i="46"/>
  <c r="I103" i="46"/>
  <c r="M107" i="46"/>
  <c r="M105" i="46"/>
  <c r="M103" i="46"/>
  <c r="M109" i="46"/>
  <c r="M106" i="46"/>
  <c r="M104" i="46"/>
  <c r="M102" i="46"/>
  <c r="AP16" i="1"/>
  <c r="F22" i="11" s="1"/>
  <c r="AA13" i="39"/>
  <c r="S13" i="39"/>
  <c r="G109" i="46"/>
  <c r="G106" i="46"/>
  <c r="G104" i="46"/>
  <c r="G102" i="46"/>
  <c r="G107" i="46"/>
  <c r="G105" i="46"/>
  <c r="G103" i="46"/>
  <c r="H109" i="46"/>
  <c r="H106" i="46"/>
  <c r="H104" i="46"/>
  <c r="H102" i="46"/>
  <c r="H107" i="46"/>
  <c r="H105" i="46"/>
  <c r="H103" i="46"/>
  <c r="C109" i="46"/>
  <c r="C106" i="46"/>
  <c r="C104" i="46"/>
  <c r="C102" i="46"/>
  <c r="C107" i="46"/>
  <c r="C105" i="46"/>
  <c r="C103" i="46"/>
  <c r="F107" i="46"/>
  <c r="F105" i="46"/>
  <c r="F103" i="46"/>
  <c r="F109" i="46"/>
  <c r="F106" i="46"/>
  <c r="F104" i="46"/>
  <c r="F102" i="46"/>
  <c r="N107" i="46"/>
  <c r="N105" i="46"/>
  <c r="N103" i="46"/>
  <c r="N109" i="46"/>
  <c r="N106" i="46"/>
  <c r="N104" i="46"/>
  <c r="N102" i="46"/>
  <c r="J12" i="39"/>
  <c r="K22" i="68" s="1"/>
  <c r="I46" i="68" s="1"/>
  <c r="S69" i="68" s="1"/>
  <c r="H12" i="39"/>
  <c r="I22" i="68" s="1"/>
  <c r="G46" i="68" s="1"/>
  <c r="R69" i="68" s="1"/>
  <c r="F12" i="39"/>
  <c r="G22" i="68" s="1"/>
  <c r="E46" i="68" s="1"/>
  <c r="Q69" i="68" s="1"/>
  <c r="AC13" i="39"/>
  <c r="W13" i="39"/>
  <c r="AB13" i="39"/>
  <c r="U13" i="39"/>
  <c r="M20" i="6"/>
  <c r="I20" i="6" s="1"/>
  <c r="S20" i="6" s="1"/>
  <c r="S7" i="1"/>
  <c r="S6" i="1"/>
  <c r="M19" i="6"/>
  <c r="K27" i="6"/>
  <c r="C16" i="12"/>
  <c r="D19" i="12"/>
  <c r="C19" i="12" s="1"/>
  <c r="C7" i="66"/>
  <c r="C6" i="66"/>
  <c r="D13" i="11"/>
  <c r="C13" i="11" s="1"/>
  <c r="D22" i="12"/>
  <c r="C22" i="12" s="1"/>
  <c r="C20" i="12" s="1"/>
  <c r="E63" i="40"/>
  <c r="D29" i="6"/>
  <c r="D26" i="6"/>
  <c r="D24" i="6"/>
  <c r="D22" i="6"/>
  <c r="D20" i="6"/>
  <c r="D15" i="6"/>
  <c r="D13" i="6"/>
  <c r="D11" i="6"/>
  <c r="D6" i="6"/>
  <c r="F44" i="9"/>
  <c r="D8" i="6"/>
  <c r="E45" i="9"/>
  <c r="F45" i="9"/>
  <c r="C22" i="4"/>
  <c r="E68" i="39"/>
  <c r="D28" i="6"/>
  <c r="D25" i="6"/>
  <c r="D23" i="6"/>
  <c r="D21" i="6"/>
  <c r="D19" i="6"/>
  <c r="D14" i="6"/>
  <c r="D12" i="6"/>
  <c r="D10" i="6"/>
  <c r="D5" i="6"/>
  <c r="D9" i="6"/>
  <c r="K38" i="9"/>
  <c r="C14" i="66" s="1"/>
  <c r="E44" i="9"/>
  <c r="H21" i="6"/>
  <c r="H23" i="6"/>
  <c r="H25" i="6"/>
  <c r="E46" i="9"/>
  <c r="F46" i="9"/>
  <c r="H20" i="6"/>
  <c r="R20" i="6" s="1"/>
  <c r="R7" i="1" s="1"/>
  <c r="H22" i="6"/>
  <c r="H24" i="6"/>
  <c r="R24" i="6" s="1"/>
  <c r="H26" i="6"/>
  <c r="B40" i="1"/>
  <c r="F17" i="11"/>
  <c r="C17" i="11" s="1"/>
  <c r="C19" i="11" s="1"/>
  <c r="F65" i="40"/>
  <c r="E67" i="40"/>
  <c r="G53" i="33"/>
  <c r="H53" i="33" s="1"/>
  <c r="G52" i="33"/>
  <c r="H52" i="33" s="1"/>
  <c r="G41" i="36"/>
  <c r="H41" i="36" s="1"/>
  <c r="G40" i="36"/>
  <c r="H40" i="36" s="1"/>
  <c r="C17" i="12"/>
  <c r="C14" i="12"/>
  <c r="G36" i="46"/>
  <c r="I36" i="46" s="1"/>
  <c r="E36" i="46"/>
  <c r="G35" i="46"/>
  <c r="I35" i="46" s="1"/>
  <c r="E35" i="46"/>
  <c r="C17" i="43"/>
  <c r="C14" i="43"/>
  <c r="R49" i="21"/>
  <c r="E48" i="21"/>
  <c r="R43" i="37"/>
  <c r="E42" i="37"/>
  <c r="E29" i="46"/>
  <c r="C30" i="46"/>
  <c r="E30" i="46" s="1"/>
  <c r="G53" i="21"/>
  <c r="H53" i="21" s="1"/>
  <c r="G52" i="21"/>
  <c r="H52" i="21" s="1"/>
  <c r="G47" i="37"/>
  <c r="H47" i="37" s="1"/>
  <c r="G46" i="37"/>
  <c r="H46" i="37" s="1"/>
  <c r="R39" i="35"/>
  <c r="E38" i="35"/>
  <c r="P17" i="46"/>
  <c r="N17" i="46"/>
  <c r="O17" i="46"/>
  <c r="M17" i="46"/>
  <c r="Q53" i="15"/>
  <c r="F1" i="15"/>
  <c r="Q75" i="15"/>
  <c r="Q62" i="15"/>
  <c r="Q75" i="44"/>
  <c r="Q62" i="44"/>
  <c r="L47" i="44"/>
  <c r="C48" i="15"/>
  <c r="R50" i="34"/>
  <c r="E49" i="34"/>
  <c r="U7" i="34"/>
  <c r="AB7" i="34"/>
  <c r="T49" i="34" s="1"/>
  <c r="G49" i="34" s="1"/>
  <c r="I52" i="33"/>
  <c r="J52" i="33" s="1"/>
  <c r="I40" i="36"/>
  <c r="J40" i="36" s="1"/>
  <c r="I52" i="21"/>
  <c r="J52" i="21" s="1"/>
  <c r="I47" i="37"/>
  <c r="J47" i="37" s="1"/>
  <c r="I46" i="37"/>
  <c r="J46" i="37" s="1"/>
  <c r="G43" i="35"/>
  <c r="H43" i="35" s="1"/>
  <c r="G42" i="35"/>
  <c r="H42" i="35" s="1"/>
  <c r="AC7" i="34"/>
  <c r="V49" i="34" s="1"/>
  <c r="I49" i="34" s="1"/>
  <c r="W7" i="34"/>
  <c r="G34" i="46"/>
  <c r="I34" i="46" s="1"/>
  <c r="E34" i="46"/>
  <c r="G33" i="46"/>
  <c r="I33" i="46" s="1"/>
  <c r="E33" i="46"/>
  <c r="E48" i="33"/>
  <c r="R49" i="33"/>
  <c r="E36" i="36"/>
  <c r="I41" i="36" s="1"/>
  <c r="J41" i="36" s="1"/>
  <c r="R37" i="36"/>
  <c r="I43" i="35"/>
  <c r="J43" i="35" s="1"/>
  <c r="I42" i="35"/>
  <c r="J42" i="35" s="1"/>
  <c r="G38" i="46"/>
  <c r="I38" i="46" s="1"/>
  <c r="E38" i="46"/>
  <c r="G37" i="46"/>
  <c r="I37" i="46" s="1"/>
  <c r="E37" i="46"/>
  <c r="E72" i="39"/>
  <c r="F70" i="39"/>
  <c r="M11" i="15"/>
  <c r="J10" i="15" s="1"/>
  <c r="J5" i="15" s="1"/>
  <c r="F11" i="15"/>
  <c r="F13" i="44"/>
  <c r="C12" i="44" s="1"/>
  <c r="C7" i="44" s="1"/>
  <c r="M13" i="44"/>
  <c r="J12" i="44" s="1"/>
  <c r="J7" i="44" s="1"/>
  <c r="Q54" i="44"/>
  <c r="F1" i="44"/>
  <c r="Q74" i="15"/>
  <c r="Q61" i="15"/>
  <c r="Q63" i="44"/>
  <c r="Q76" i="44"/>
  <c r="AE6" i="1"/>
  <c r="F7" i="67"/>
  <c r="AE8" i="1"/>
  <c r="C17" i="15"/>
  <c r="I53" i="33" l="1"/>
  <c r="J53" i="33" s="1"/>
  <c r="D169" i="68"/>
  <c r="I53" i="21"/>
  <c r="J53" i="21" s="1"/>
  <c r="D116" i="68"/>
  <c r="B2" i="66"/>
  <c r="F12" i="40"/>
  <c r="H12" i="40"/>
  <c r="S12" i="39"/>
  <c r="AA12" i="39"/>
  <c r="U12" i="39"/>
  <c r="AB12" i="39"/>
  <c r="W12" i="39"/>
  <c r="AC12" i="39"/>
  <c r="R25" i="6"/>
  <c r="R21" i="6"/>
  <c r="R8" i="1" s="1"/>
  <c r="D30" i="6"/>
  <c r="S12" i="40"/>
  <c r="AA12" i="40"/>
  <c r="U12" i="40"/>
  <c r="AB12" i="40"/>
  <c r="W12" i="40"/>
  <c r="AC12" i="40"/>
  <c r="D113" i="46"/>
  <c r="S16" i="1"/>
  <c r="I19" i="6"/>
  <c r="M27" i="6"/>
  <c r="R23" i="6"/>
  <c r="D27" i="6"/>
  <c r="D31" i="6" s="1"/>
  <c r="C18" i="12"/>
  <c r="I109" i="9" s="1"/>
  <c r="C109" i="9" s="1"/>
  <c r="C110" i="9" s="1"/>
  <c r="C18" i="43"/>
  <c r="C19" i="43" s="1"/>
  <c r="D7" i="66"/>
  <c r="D6" i="66"/>
  <c r="D8" i="66"/>
  <c r="I5" i="6"/>
  <c r="I6" i="6"/>
  <c r="A20" i="64"/>
  <c r="A6" i="64"/>
  <c r="A6" i="51"/>
  <c r="B7" i="63" s="1"/>
  <c r="N5" i="54"/>
  <c r="B43" i="63" s="1"/>
  <c r="A20" i="51"/>
  <c r="B15" i="63" s="1"/>
  <c r="R26" i="6"/>
  <c r="R22" i="6"/>
  <c r="D16" i="6"/>
  <c r="E4" i="67"/>
  <c r="C23" i="12"/>
  <c r="C40" i="44"/>
  <c r="C34" i="44"/>
  <c r="J24" i="15"/>
  <c r="J18" i="15"/>
  <c r="J26" i="15"/>
  <c r="C37" i="36"/>
  <c r="B3" i="36" s="1"/>
  <c r="B2" i="36" s="1"/>
  <c r="C36" i="36"/>
  <c r="C50" i="34"/>
  <c r="B3" i="34" s="1"/>
  <c r="B2" i="34" s="1"/>
  <c r="C49" i="34"/>
  <c r="C39" i="35"/>
  <c r="B3" i="35" s="1"/>
  <c r="B2" i="35" s="1"/>
  <c r="C38" i="35"/>
  <c r="C26" i="46"/>
  <c r="E47" i="37"/>
  <c r="F47" i="37" s="1"/>
  <c r="E46" i="37"/>
  <c r="F46" i="37" s="1"/>
  <c r="E53" i="21"/>
  <c r="F53" i="21" s="1"/>
  <c r="E52" i="21"/>
  <c r="F52" i="21" s="1"/>
  <c r="F24" i="15"/>
  <c r="C24" i="15" s="1"/>
  <c r="F26" i="44"/>
  <c r="F21" i="43"/>
  <c r="C23" i="43" s="1"/>
  <c r="D21" i="43" s="1"/>
  <c r="F26" i="12"/>
  <c r="C27" i="12" s="1"/>
  <c r="D26" i="12" s="1"/>
  <c r="C32" i="12" s="1"/>
  <c r="D30" i="12" s="1"/>
  <c r="C49" i="33"/>
  <c r="C48" i="33"/>
  <c r="J28" i="44"/>
  <c r="J31" i="44" s="1"/>
  <c r="J26" i="44"/>
  <c r="J20" i="44"/>
  <c r="C52" i="15"/>
  <c r="C47" i="15" s="1"/>
  <c r="C10" i="15"/>
  <c r="C5" i="15" s="1"/>
  <c r="G70" i="39"/>
  <c r="F72" i="39"/>
  <c r="E41" i="36"/>
  <c r="F41" i="36" s="1"/>
  <c r="E40" i="36"/>
  <c r="F40" i="36" s="1"/>
  <c r="E53" i="33"/>
  <c r="F53" i="33" s="1"/>
  <c r="E52" i="33"/>
  <c r="F52" i="33" s="1"/>
  <c r="I54" i="34"/>
  <c r="J54" i="34" s="1"/>
  <c r="I53" i="34"/>
  <c r="J53" i="34" s="1"/>
  <c r="G54" i="34"/>
  <c r="H54" i="34" s="1"/>
  <c r="G53" i="34"/>
  <c r="H53" i="34" s="1"/>
  <c r="E54" i="34"/>
  <c r="F54" i="34" s="1"/>
  <c r="E53" i="34"/>
  <c r="F53" i="34" s="1"/>
  <c r="E43" i="35"/>
  <c r="F43" i="35" s="1"/>
  <c r="E42" i="35"/>
  <c r="F42" i="35" s="1"/>
  <c r="C43" i="37"/>
  <c r="B3" i="37" s="1"/>
  <c r="B2" i="37" s="1"/>
  <c r="C42" i="37"/>
  <c r="C49" i="21"/>
  <c r="B3" i="21" s="1"/>
  <c r="C48" i="21"/>
  <c r="D117" i="68" s="1"/>
  <c r="F67" i="40"/>
  <c r="G65" i="40"/>
  <c r="C20" i="11"/>
  <c r="C21" i="11" s="1"/>
  <c r="C22" i="11" s="1"/>
  <c r="C23" i="11" s="1"/>
  <c r="B2" i="11" s="1"/>
  <c r="C27" i="46"/>
  <c r="E7" i="67"/>
  <c r="L52" i="44"/>
  <c r="F41" i="15"/>
  <c r="B3" i="33" l="1"/>
  <c r="D170" i="68"/>
  <c r="B2" i="21"/>
  <c r="C10" i="12" s="1"/>
  <c r="C8" i="12"/>
  <c r="B2" i="33"/>
  <c r="D10" i="12" s="1"/>
  <c r="D8" i="12"/>
  <c r="I27" i="6"/>
  <c r="H19" i="6"/>
  <c r="S19" i="6"/>
  <c r="S27" i="6" s="1"/>
  <c r="T10" i="1"/>
  <c r="T8" i="1"/>
  <c r="T11" i="1"/>
  <c r="T12" i="1"/>
  <c r="T7" i="1"/>
  <c r="T13" i="1"/>
  <c r="T9" i="1"/>
  <c r="T6" i="1"/>
  <c r="F68" i="15"/>
  <c r="J29" i="15"/>
  <c r="Q69" i="44"/>
  <c r="L58" i="44"/>
  <c r="L61" i="44" s="1"/>
  <c r="E3" i="67"/>
  <c r="B4" i="11"/>
  <c r="B5" i="11"/>
  <c r="B3" i="11"/>
  <c r="C33" i="15"/>
  <c r="C65" i="15"/>
  <c r="C59" i="15"/>
  <c r="C32" i="15"/>
  <c r="C38" i="15"/>
  <c r="C26" i="44"/>
  <c r="C25" i="43"/>
  <c r="C24" i="43" s="1"/>
  <c r="H65" i="40"/>
  <c r="G67" i="40"/>
  <c r="G72" i="39"/>
  <c r="H70" i="39"/>
  <c r="Q67" i="44"/>
  <c r="Q58" i="44"/>
  <c r="Q49" i="44"/>
  <c r="Q55" i="44" s="1"/>
  <c r="B2" i="46"/>
  <c r="C22" i="43"/>
  <c r="C21" i="43" s="1"/>
  <c r="C14" i="15"/>
  <c r="C16" i="44"/>
  <c r="B7" i="67"/>
  <c r="C20" i="44" l="1"/>
  <c r="C17" i="44"/>
  <c r="C15" i="15"/>
  <c r="C18" i="15"/>
  <c r="T16" i="1"/>
  <c r="H27" i="6"/>
  <c r="R19" i="6"/>
  <c r="C28" i="43"/>
  <c r="C30" i="43" s="1"/>
  <c r="C32" i="43" s="1"/>
  <c r="B2" i="43" s="1"/>
  <c r="B3" i="43" s="1"/>
  <c r="B2" i="67"/>
  <c r="C60" i="15"/>
  <c r="H67" i="40"/>
  <c r="I65" i="40"/>
  <c r="B4" i="46"/>
  <c r="D4" i="46"/>
  <c r="B3" i="46"/>
  <c r="I70" i="39"/>
  <c r="H72" i="39"/>
  <c r="Q59" i="44"/>
  <c r="Q64" i="44" s="1"/>
  <c r="Q68" i="44"/>
  <c r="Q77" i="44" s="1"/>
  <c r="C21" i="44" l="1"/>
  <c r="C22" i="44" s="1"/>
  <c r="C25" i="44" s="1"/>
  <c r="C19" i="15"/>
  <c r="C20" i="15" s="1"/>
  <c r="C26" i="15" s="1"/>
  <c r="B5" i="43"/>
  <c r="B4" i="43"/>
  <c r="R27" i="6"/>
  <c r="R6" i="1"/>
  <c r="L57" i="15"/>
  <c r="L60" i="15" s="1"/>
  <c r="I72" i="39"/>
  <c r="J70" i="39"/>
  <c r="J65" i="40"/>
  <c r="I67" i="40"/>
  <c r="B4" i="67"/>
  <c r="B3" i="67"/>
  <c r="M21" i="15"/>
  <c r="F35" i="15"/>
  <c r="F62" i="15" l="1"/>
  <c r="C61" i="15" s="1"/>
  <c r="C58" i="15" s="1"/>
  <c r="C34" i="15"/>
  <c r="C31" i="15" s="1"/>
  <c r="J20" i="15"/>
  <c r="C28" i="44"/>
  <c r="C31" i="44" s="1"/>
  <c r="C23" i="15"/>
  <c r="C29" i="15" s="1"/>
  <c r="R16" i="1"/>
  <c r="J67" i="40"/>
  <c r="K65" i="40"/>
  <c r="K70" i="39"/>
  <c r="J72" i="39"/>
  <c r="Q67" i="15"/>
  <c r="Q58" i="15"/>
  <c r="J16" i="44" l="1"/>
  <c r="C38" i="44"/>
  <c r="J21" i="44"/>
  <c r="J19" i="44" s="1"/>
  <c r="C15" i="44"/>
  <c r="Q51" i="44"/>
  <c r="C35" i="44"/>
  <c r="C33" i="44" s="1"/>
  <c r="C56" i="15"/>
  <c r="C63" i="15" s="1"/>
  <c r="J19" i="15"/>
  <c r="J17" i="15" s="1"/>
  <c r="C13" i="15"/>
  <c r="J14" i="15"/>
  <c r="C36" i="15"/>
  <c r="Q50" i="15"/>
  <c r="K72" i="39"/>
  <c r="L70" i="39"/>
  <c r="L65" i="40"/>
  <c r="K67" i="40"/>
  <c r="C55" i="15" l="1"/>
  <c r="C64" i="15" s="1"/>
  <c r="C57" i="15" s="1"/>
  <c r="C66" i="15" s="1"/>
  <c r="C67" i="15" s="1"/>
  <c r="C37" i="15"/>
  <c r="C30" i="15" s="1"/>
  <c r="C39" i="15" s="1"/>
  <c r="Q71" i="15"/>
  <c r="J35" i="15"/>
  <c r="J39" i="15" s="1"/>
  <c r="J40" i="15" s="1"/>
  <c r="J15" i="44"/>
  <c r="J25" i="44" s="1"/>
  <c r="J24" i="44"/>
  <c r="J22" i="15"/>
  <c r="J13" i="15"/>
  <c r="J23" i="15" s="1"/>
  <c r="C39" i="44"/>
  <c r="C32" i="44" s="1"/>
  <c r="C42" i="44" s="1"/>
  <c r="C43" i="44"/>
  <c r="Q72" i="44"/>
  <c r="L67" i="40"/>
  <c r="M65" i="40"/>
  <c r="M70" i="39"/>
  <c r="L72" i="39"/>
  <c r="L51" i="15"/>
  <c r="J18" i="44" l="1"/>
  <c r="J27" i="44" s="1"/>
  <c r="J16" i="15"/>
  <c r="J25" i="15" s="1"/>
  <c r="Q68" i="15"/>
  <c r="C70" i="15"/>
  <c r="C44" i="44"/>
  <c r="C45" i="44" s="1"/>
  <c r="B2" i="44" s="1"/>
  <c r="Q71" i="44"/>
  <c r="Q70" i="44" s="1"/>
  <c r="C40" i="15"/>
  <c r="C46" i="15" s="1"/>
  <c r="Q70" i="15"/>
  <c r="Q69" i="15" s="1"/>
  <c r="M72" i="39"/>
  <c r="N70" i="39"/>
  <c r="N72" i="39" s="1"/>
  <c r="N65" i="40"/>
  <c r="N67" i="40" s="1"/>
  <c r="M67" i="40"/>
  <c r="Q66" i="15" l="1"/>
  <c r="Q76" i="15" s="1"/>
  <c r="Q48" i="15"/>
  <c r="Q54" i="15" s="1"/>
  <c r="B2" i="15"/>
  <c r="E10" i="12" s="1"/>
  <c r="Q57" i="15"/>
  <c r="Q63" i="15" s="1"/>
  <c r="C43" i="15"/>
  <c r="J42" i="15"/>
  <c r="J43" i="15" s="1"/>
  <c r="B4" i="44"/>
  <c r="B3" i="44"/>
  <c r="B5" i="44"/>
  <c r="F9" i="40"/>
  <c r="H9" i="40"/>
  <c r="J9" i="40"/>
  <c r="F9" i="39"/>
  <c r="G19" i="68" s="1"/>
  <c r="E43" i="68" s="1"/>
  <c r="Q66" i="68" s="1"/>
  <c r="H9" i="39"/>
  <c r="I19" i="68" s="1"/>
  <c r="G43" i="68" s="1"/>
  <c r="R66" i="68" s="1"/>
  <c r="J9" i="39"/>
  <c r="C6" i="12" l="1"/>
  <c r="B3" i="15"/>
  <c r="E8" i="12" s="1"/>
  <c r="AB9" i="39"/>
  <c r="T49" i="39" s="1"/>
  <c r="G49" i="39" s="1"/>
  <c r="F62" i="68" s="1"/>
  <c r="U9" i="39"/>
  <c r="AC9" i="40"/>
  <c r="V44" i="40" s="1"/>
  <c r="I44" i="40" s="1"/>
  <c r="W9" i="40"/>
  <c r="AA9" i="40"/>
  <c r="R44" i="40" s="1"/>
  <c r="S9" i="40"/>
  <c r="W9" i="39"/>
  <c r="AC9" i="39"/>
  <c r="V49" i="39" s="1"/>
  <c r="I49" i="39" s="1"/>
  <c r="H62" i="68" s="1"/>
  <c r="S9" i="39"/>
  <c r="AA9" i="39"/>
  <c r="R49" i="39" s="1"/>
  <c r="U9" i="40"/>
  <c r="AB9" i="40"/>
  <c r="T44" i="40" s="1"/>
  <c r="G44" i="40" s="1"/>
  <c r="C24" i="12" l="1"/>
  <c r="C29" i="12"/>
  <c r="E49" i="39"/>
  <c r="D62" i="68" s="1"/>
  <c r="R50" i="39"/>
  <c r="E44" i="40"/>
  <c r="R45" i="40"/>
  <c r="I49" i="40"/>
  <c r="J49" i="40" s="1"/>
  <c r="I48" i="40"/>
  <c r="J48" i="40" s="1"/>
  <c r="G54" i="39"/>
  <c r="H54" i="39" s="1"/>
  <c r="G53" i="39"/>
  <c r="H53" i="39" s="1"/>
  <c r="G49" i="40"/>
  <c r="H49" i="40" s="1"/>
  <c r="G48" i="40"/>
  <c r="H48" i="40" s="1"/>
  <c r="I54" i="39"/>
  <c r="J54" i="39" s="1"/>
  <c r="I53" i="39"/>
  <c r="J53" i="39" s="1"/>
  <c r="C35" i="12" l="1"/>
  <c r="C33" i="12" s="1"/>
  <c r="C28" i="12"/>
  <c r="C26" i="12" s="1"/>
  <c r="C31" i="12" s="1"/>
  <c r="C30" i="12" s="1"/>
  <c r="E49" i="40"/>
  <c r="F49" i="40" s="1"/>
  <c r="E48" i="40"/>
  <c r="F48" i="40" s="1"/>
  <c r="E54" i="39"/>
  <c r="F54" i="39" s="1"/>
  <c r="E53" i="39"/>
  <c r="F53" i="39" s="1"/>
  <c r="C45" i="40"/>
  <c r="C44" i="40"/>
  <c r="C50" i="39"/>
  <c r="C49" i="39"/>
  <c r="C36" i="12" l="1"/>
  <c r="B2" i="12" s="1"/>
  <c r="B3" i="12" s="1"/>
  <c r="B67" i="39"/>
  <c r="F67" i="39" s="1"/>
  <c r="B66" i="39"/>
  <c r="F66" i="39" s="1"/>
  <c r="B65" i="39"/>
  <c r="F65" i="39" s="1"/>
  <c r="B64" i="39"/>
  <c r="F64" i="39" s="1"/>
  <c r="B63" i="39"/>
  <c r="F63" i="39" s="1"/>
  <c r="B61" i="39"/>
  <c r="F61" i="39" s="1"/>
  <c r="B59" i="39"/>
  <c r="F59" i="39" s="1"/>
  <c r="B62" i="39"/>
  <c r="F62" i="39" s="1"/>
  <c r="B60" i="39"/>
  <c r="F60" i="39" s="1"/>
  <c r="B58" i="39"/>
  <c r="F58" i="39" s="1"/>
  <c r="F63" i="40"/>
  <c r="B2" i="40" s="1"/>
  <c r="B62" i="40"/>
  <c r="F62" i="40" s="1"/>
  <c r="B61" i="40"/>
  <c r="F61" i="40" s="1"/>
  <c r="B60" i="40"/>
  <c r="F60" i="40" s="1"/>
  <c r="B59" i="40"/>
  <c r="F59" i="40" s="1"/>
  <c r="B58" i="40"/>
  <c r="F58" i="40" s="1"/>
  <c r="B56" i="40"/>
  <c r="F56" i="40" s="1"/>
  <c r="B54" i="40"/>
  <c r="F54" i="40" s="1"/>
  <c r="B57" i="40"/>
  <c r="F57" i="40" s="1"/>
  <c r="B55" i="40"/>
  <c r="F55" i="40" s="1"/>
  <c r="B53" i="40"/>
  <c r="F53" i="40" s="1"/>
  <c r="D19" i="9"/>
  <c r="D20" i="9"/>
  <c r="B4" i="12" l="1"/>
  <c r="L44" i="9"/>
  <c r="B5" i="12"/>
  <c r="F68" i="39"/>
  <c r="B2" i="39" s="1"/>
  <c r="B3" i="39" s="1"/>
  <c r="B5" i="40"/>
  <c r="B3" i="40"/>
  <c r="B4" i="40"/>
  <c r="D21" i="9"/>
  <c r="C19" i="9"/>
  <c r="C20" i="9"/>
  <c r="B4" i="39" l="1"/>
  <c r="B5" i="39"/>
  <c r="L43" i="9"/>
  <c r="D22" i="9"/>
  <c r="G19" i="9"/>
  <c r="G20" i="9"/>
  <c r="C21" i="9"/>
  <c r="N43" i="9" l="1"/>
  <c r="G21" i="9"/>
  <c r="C32" i="9"/>
  <c r="C35" i="9" s="1"/>
  <c r="F42" i="9" s="1"/>
  <c r="G22" i="9"/>
  <c r="C34" i="9" l="1"/>
  <c r="M38" i="9" s="1"/>
  <c r="K27" i="9" s="1"/>
  <c r="C33" i="9"/>
  <c r="N38" i="9" s="1"/>
  <c r="K28" i="9" s="1"/>
  <c r="C42" i="9"/>
  <c r="D14" i="66" s="1"/>
  <c r="O38" i="9"/>
  <c r="K25" i="9" s="1"/>
  <c r="O43" i="9"/>
  <c r="K26" i="9"/>
  <c r="E42" i="9"/>
  <c r="P5" i="54" s="1"/>
  <c r="B46" i="63" s="1"/>
  <c r="R5" i="54" l="1"/>
  <c r="B48" i="63" s="1"/>
  <c r="F15" i="66"/>
  <c r="E15" i="66"/>
  <c r="D42" i="9"/>
  <c r="Q5" i="54" s="1"/>
  <c r="B47" i="63" s="1"/>
  <c r="D63" i="9"/>
  <c r="C111" i="9" s="1"/>
  <c r="C104" i="9" s="1"/>
  <c r="N68" i="9"/>
  <c r="B5" i="66"/>
  <c r="E14" i="66"/>
  <c r="F14" i="66"/>
  <c r="D71" i="9" l="1"/>
  <c r="D66" i="9" s="1"/>
  <c r="N72" i="9" s="1"/>
  <c r="C103" i="9"/>
  <c r="D70" i="9"/>
  <c r="C96" i="9"/>
  <c r="C91" i="9" s="1"/>
  <c r="C90" i="9"/>
  <c r="C82" i="9"/>
  <c r="C81" i="9" s="1"/>
  <c r="C85" i="9" s="1"/>
  <c r="C86" i="9" s="1"/>
  <c r="D72" i="9" s="1"/>
  <c r="D77" i="9"/>
  <c r="N75" i="9" s="1"/>
  <c r="C113" i="9"/>
  <c r="C114" i="9" s="1"/>
  <c r="E114" i="9" s="1"/>
  <c r="E115" i="9" s="1"/>
  <c r="D5" i="66"/>
  <c r="C5" i="66"/>
  <c r="C97" i="9" l="1"/>
  <c r="C98" i="9" s="1"/>
  <c r="E98" i="9" s="1"/>
  <c r="E99" i="9" s="1"/>
  <c r="C115" i="9"/>
  <c r="D76" i="9" s="1"/>
  <c r="D74" i="9" s="1"/>
  <c r="N74" i="9" s="1"/>
  <c r="O77" i="9" s="1"/>
  <c r="Q77" i="9" s="1"/>
  <c r="C99" i="9" l="1"/>
  <c r="O79" i="9"/>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<sst xmlns="http://schemas.openxmlformats.org/spreadsheetml/2006/main" count="7558" uniqueCount="3291">
  <si>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</si>
  <si>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</si>
  <si>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</si>
  <si>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</si>
  <si>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</si>
  <si>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</si>
  <si>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</si>
  <si>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</si>
  <si>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</si>
  <si>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</si>
  <si>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</si>
  <si>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</si>
  <si>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</si>
  <si>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</si>
  <si>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</si>
  <si>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</si>
  <si>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</si>
  <si>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</si>
  <si>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</si>
  <si>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</si>
  <si>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</si>
  <si>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</si>
  <si>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</si>
  <si>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</si>
  <si>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</si>
  <si>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</si>
  <si>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</si>
  <si>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</si>
  <si>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</si>
  <si>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</si>
  <si>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</si>
  <si>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</si>
  <si>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</si>
  <si>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</si>
  <si>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</si>
  <si>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</si>
  <si>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</si>
  <si>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</si>
  <si>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</si>
  <si>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</si>
  <si>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</si>
  <si>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</si>
  <si>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</si>
  <si>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</si>
  <si>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</si>
  <si>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</si>
  <si>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</si>
  <si>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</si>
  <si>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</si>
  <si>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</si>
  <si>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</si>
  <si>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</si>
  <si>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</si>
  <si>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</si>
  <si>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</si>
  <si>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</si>
  <si>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</si>
  <si>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</si>
  <si>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</si>
  <si>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</si>
  <si>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</si>
  <si>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</si>
  <si>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</si>
  <si>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</si>
  <si>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</si>
  <si>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</si>
  <si>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</si>
  <si>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</si>
  <si>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</si>
  <si>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</si>
  <si>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</si>
  <si>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</si>
  <si>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</si>
  <si>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</si>
  <si>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</si>
  <si>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</si>
  <si>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</si>
  <si>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</si>
  <si>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</si>
  <si>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</si>
  <si>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</si>
  <si>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</si>
  <si>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</si>
  <si>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</si>
  <si>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</si>
  <si>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</si>
  <si>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</si>
  <si>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</si>
  <si>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</si>
  <si>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</si>
  <si>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</si>
  <si>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</si>
  <si>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</si>
  <si>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</si>
  <si>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</si>
  <si>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</si>
  <si>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</si>
  <si>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</si>
  <si>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</si>
  <si>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</si>
  <si>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</si>
  <si>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</si>
  <si>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</si>
  <si>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</si>
  <si>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</si>
  <si>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</si>
  <si>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</si>
  <si>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</si>
  <si>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</si>
  <si>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</si>
  <si>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</si>
  <si>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</si>
  <si>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</si>
  <si>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</si>
  <si>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</si>
  <si>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</si>
  <si>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</si>
  <si>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</si>
  <si>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</si>
  <si>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</si>
  <si>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</si>
  <si>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</si>
  <si>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</si>
  <si>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</si>
  <si>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</si>
  <si>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</si>
  <si>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</si>
  <si>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</si>
  <si>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</si>
  <si>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</si>
  <si>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</si>
  <si>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</si>
  <si>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</si>
  <si>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</si>
  <si>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</si>
  <si>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</si>
  <si>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</si>
  <si>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</si>
  <si>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</si>
  <si>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</si>
  <si>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</si>
  <si>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</si>
  <si>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</si>
  <si>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</si>
  <si>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</si>
  <si>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</si>
  <si>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</si>
  <si>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</si>
  <si>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</si>
  <si>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</si>
  <si>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</si>
  <si>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</si>
  <si>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</si>
  <si>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</si>
  <si>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</si>
  <si>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</si>
  <si>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</si>
  <si>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</si>
  <si>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</si>
  <si>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</si>
  <si>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</si>
  <si>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</si>
  <si>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</si>
  <si>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</si>
  <si>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</si>
  <si>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</si>
  <si>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</si>
  <si>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</si>
  <si>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</si>
  <si>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</si>
  <si>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</si>
  <si>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</si>
  <si>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</si>
  <si>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</si>
  <si>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</si>
  <si>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</si>
  <si>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</si>
  <si>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</si>
  <si>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</si>
  <si>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</si>
  <si>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</si>
  <si>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</si>
  <si>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</si>
  <si>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</si>
  <si>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</si>
  <si>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</si>
  <si>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</si>
  <si>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</si>
  <si>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</si>
  <si>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</si>
  <si>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</si>
  <si>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</si>
  <si>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</si>
  <si>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</si>
  <si>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</si>
  <si>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</si>
  <si>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</si>
  <si>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</si>
  <si>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</si>
  <si>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</si>
  <si>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</si>
  <si>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</si>
  <si>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</si>
  <si>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</si>
  <si>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</si>
  <si>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</si>
  <si>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</si>
  <si>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</si>
  <si>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</si>
  <si>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</si>
  <si>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</si>
  <si>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</si>
  <si>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</si>
  <si>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</si>
  <si>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</si>
  <si>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</si>
  <si>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</si>
  <si>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</si>
  <si>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</si>
  <si>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</si>
  <si>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</si>
  <si>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</si>
  <si>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</si>
  <si>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</si>
  <si>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</si>
  <si>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</si>
  <si>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</si>
  <si>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</si>
  <si>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</si>
  <si>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</si>
  <si>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</si>
  <si>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</si>
  <si>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</si>
  <si>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</si>
  <si>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</si>
  <si>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</si>
  <si>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</si>
  <si>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</si>
  <si>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</si>
  <si>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</si>
  <si>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</si>
  <si>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</si>
  <si>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</si>
  <si>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</si>
  <si>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</si>
  <si>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</si>
  <si>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</si>
  <si>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</si>
  <si>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</si>
  <si>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</si>
  <si>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</si>
  <si>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</si>
  <si>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</si>
  <si>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</si>
  <si>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</si>
  <si>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</si>
  <si>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</si>
  <si>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</si>
  <si>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</si>
  <si>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</si>
  <si>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</si>
  <si>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</si>
  <si>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</si>
  <si>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</si>
  <si>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</si>
  <si>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</si>
  <si>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</si>
  <si>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</si>
  <si>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</si>
  <si>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</si>
  <si>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</si>
  <si>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</si>
  <si>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</si>
  <si>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</si>
  <si>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</si>
  <si>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</si>
  <si>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</si>
  <si>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</si>
  <si>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</si>
  <si>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</si>
  <si>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</si>
  <si>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</si>
  <si>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</si>
  <si>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</si>
  <si>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</si>
  <si>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</si>
  <si>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</si>
  <si>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</si>
  <si>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</si>
  <si>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</si>
  <si>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</si>
  <si>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</si>
  <si>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</si>
  <si>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</si>
  <si>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</si>
  <si>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</si>
  <si>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</si>
  <si>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</si>
  <si>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</si>
  <si>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</si>
  <si>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</si>
  <si>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</si>
  <si>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</si>
  <si>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</si>
  <si>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</si>
  <si>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</si>
  <si>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</si>
  <si>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</si>
  <si>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</si>
  <si>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</si>
  <si>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</si>
  <si>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</si>
  <si>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</si>
  <si>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</si>
  <si>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</si>
  <si>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</si>
  <si>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</si>
  <si>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</si>
  <si>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</si>
  <si>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</si>
  <si>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</si>
  <si>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</si>
  <si>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</si>
  <si>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</si>
  <si>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</si>
  <si>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</si>
  <si>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</si>
  <si>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</si>
  <si>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</si>
  <si>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</si>
  <si>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</si>
  <si>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</si>
  <si>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</si>
  <si>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</si>
  <si>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</si>
  <si>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</si>
  <si>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</si>
  <si>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</si>
  <si>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</si>
  <si>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</si>
  <si>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</si>
  <si>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</si>
  <si>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</si>
  <si>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</si>
  <si>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</si>
  <si>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</si>
  <si>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</si>
  <si>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</si>
  <si>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</si>
  <si>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</si>
  <si>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</si>
  <si>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</si>
  <si>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</si>
  <si>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</si>
  <si>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</si>
  <si>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</si>
  <si>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</si>
  <si>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</si>
  <si>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</si>
  <si>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</si>
  <si>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</si>
  <si>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</si>
  <si>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</si>
  <si>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</si>
  <si>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</si>
  <si>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</si>
  <si>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</si>
  <si>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</si>
  <si>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</si>
  <si>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</si>
  <si>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</si>
  <si>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</si>
  <si>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</si>
  <si>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</si>
  <si>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</si>
  <si>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</si>
  <si>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</si>
  <si>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</si>
  <si>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</si>
  <si>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</si>
  <si>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</si>
  <si>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</si>
  <si>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</si>
  <si>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</si>
  <si>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</si>
  <si>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</si>
  <si>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</si>
  <si>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</si>
  <si>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</si>
  <si>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</si>
  <si>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</si>
  <si>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</si>
  <si>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</si>
  <si>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</si>
  <si>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</si>
  <si>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</si>
  <si>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</si>
  <si>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</si>
  <si>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</si>
  <si>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</si>
  <si>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</si>
  <si>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</si>
  <si>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</si>
  <si>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</si>
  <si>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</si>
  <si>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</si>
  <si>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</si>
  <si>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</si>
  <si>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</si>
  <si>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</si>
  <si>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</si>
  <si>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</si>
  <si>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</si>
  <si>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</si>
  <si>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</si>
  <si>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</si>
  <si>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</si>
  <si>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</si>
  <si>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</si>
  <si>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</si>
  <si>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</si>
  <si>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</si>
  <si>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</si>
  <si>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</si>
  <si>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</si>
  <si>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</si>
  <si>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</si>
  <si>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</si>
  <si>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</si>
  <si>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</si>
  <si>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</si>
  <si>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</si>
  <si>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</si>
  <si>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</si>
  <si>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</si>
  <si>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</si>
  <si>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</si>
  <si>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</si>
  <si>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</si>
  <si>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</si>
  <si>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</si>
  <si>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</si>
  <si>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</si>
  <si>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</si>
  <si>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</si>
  <si>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</si>
  <si>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</si>
  <si>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</si>
  <si>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</si>
  <si>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</si>
  <si>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</si>
  <si>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</si>
  <si>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</si>
  <si>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</si>
  <si>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</si>
  <si>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</si>
  <si>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</si>
  <si>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</si>
  <si>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</si>
  <si>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</si>
  <si>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</si>
  <si>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</si>
  <si>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</si>
  <si>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</si>
  <si>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</si>
  <si>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</si>
  <si>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</si>
  <si>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</si>
  <si>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</si>
  <si>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</si>
  <si>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</si>
  <si>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</si>
  <si>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</si>
  <si>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</si>
  <si>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</si>
  <si>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</si>
  <si>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</si>
  <si>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</si>
  <si>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</si>
  <si>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</si>
  <si>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</si>
  <si>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</si>
  <si>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</si>
  <si>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</si>
  <si>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</si>
  <si>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</si>
  <si>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</si>
  <si>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</si>
  <si>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</si>
  <si>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</si>
  <si>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</si>
  <si>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</si>
  <si>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</si>
  <si>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</si>
  <si>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</si>
  <si>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</si>
  <si>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</si>
  <si>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</si>
  <si>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</si>
  <si>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</si>
  <si>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</si>
  <si>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</si>
  <si>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</si>
  <si>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</si>
  <si>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</si>
  <si>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</si>
  <si>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</si>
  <si>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</si>
  <si>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</si>
  <si>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</si>
  <si>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</si>
  <si>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</si>
  <si>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</si>
  <si>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</si>
  <si>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</si>
  <si>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</si>
  <si>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</si>
  <si>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</si>
  <si>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</si>
  <si>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</si>
  <si>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</si>
  <si>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</si>
  <si>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</si>
  <si>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</si>
  <si>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</si>
  <si>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</si>
  <si>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</si>
  <si>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</si>
  <si>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</si>
  <si>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</si>
  <si>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</si>
  <si>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</si>
  <si>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</si>
  <si>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</si>
  <si>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</si>
  <si>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</si>
  <si>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</si>
  <si>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</si>
  <si>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</si>
  <si>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</si>
  <si>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</si>
  <si>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</si>
  <si>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</si>
  <si>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</si>
  <si>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</si>
  <si>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</si>
  <si>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</si>
  <si>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</si>
  <si>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</si>
  <si>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</si>
  <si>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</si>
  <si>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</si>
  <si>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</si>
  <si>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</si>
  <si>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</si>
  <si>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</si>
  <si>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</si>
  <si>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</si>
  <si>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</si>
  <si>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</si>
  <si>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</si>
  <si>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</si>
  <si>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</si>
  <si>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</si>
  <si>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</si>
  <si>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</si>
  <si>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</si>
  <si>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</si>
  <si>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</si>
  <si>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</si>
  <si>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</si>
  <si>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</si>
  <si>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</si>
  <si>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</si>
  <si>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</si>
  <si>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</si>
  <si>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</si>
  <si>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</si>
  <si>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</si>
  <si>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</si>
  <si>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</si>
  <si>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</si>
  <si>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</si>
  <si>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</si>
  <si>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</si>
  <si>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</si>
  <si>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</si>
  <si>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</si>
  <si>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</si>
  <si>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</si>
  <si>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</si>
  <si>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</si>
  <si>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</si>
  <si>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</si>
  <si>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</si>
  <si>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</si>
  <si>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</si>
  <si>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</si>
  <si>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</si>
  <si>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</si>
  <si>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</si>
  <si>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</si>
  <si>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</si>
  <si>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</si>
  <si>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</si>
  <si>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</si>
  <si>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</si>
  <si>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</si>
  <si>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</si>
  <si>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</si>
  <si>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</si>
  <si>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</si>
  <si>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</si>
  <si>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</si>
  <si>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</si>
  <si>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</si>
  <si>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</si>
  <si>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</si>
  <si>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</si>
  <si>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</si>
  <si>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</si>
  <si>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</si>
  <si>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</si>
  <si>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</si>
  <si>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</si>
  <si>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</si>
  <si>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</si>
  <si>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</si>
  <si>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</si>
  <si>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</si>
  <si>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</si>
  <si>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</si>
  <si>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</si>
  <si>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</si>
  <si>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</si>
  <si>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</si>
  <si>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</si>
  <si>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</si>
  <si>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</si>
  <si>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</si>
  <si>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</si>
  <si>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</si>
  <si>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</si>
  <si>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</si>
  <si>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</si>
  <si>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</si>
  <si>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</si>
  <si>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</si>
  <si>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</si>
  <si>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</si>
  <si>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</si>
  <si>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</si>
  <si>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</si>
  <si>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</si>
  <si>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</si>
  <si>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</si>
  <si>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</si>
  <si>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</si>
  <si>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</si>
  <si>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</si>
  <si>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</si>
  <si>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</si>
  <si>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</si>
  <si>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</si>
  <si>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</si>
  <si>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</si>
  <si>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</si>
  <si>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</si>
  <si>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</si>
  <si>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</si>
  <si>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</si>
  <si>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</si>
  <si>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</si>
  <si>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</si>
  <si>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</si>
  <si>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</si>
  <si>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</si>
  <si>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</si>
  <si>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</si>
  <si>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</si>
  <si>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</si>
  <si>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</si>
  <si>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</si>
  <si>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</si>
  <si>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</si>
  <si>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</si>
  <si>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</si>
  <si>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</si>
  <si>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</si>
  <si>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</si>
  <si>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</si>
  <si>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</si>
  <si>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</si>
  <si>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</si>
  <si>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</si>
  <si>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</si>
  <si>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</si>
  <si>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</si>
  <si>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</si>
  <si>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</si>
  <si>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</si>
  <si>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</si>
  <si>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</si>
  <si>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</si>
  <si>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</si>
  <si>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</si>
  <si>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</si>
  <si>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</si>
  <si>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</si>
  <si>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</si>
  <si>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</si>
  <si>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</si>
  <si>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</si>
  <si>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</si>
  <si>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</si>
  <si>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</si>
  <si>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</si>
  <si>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</si>
  <si>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</si>
  <si>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</si>
  <si>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</si>
  <si>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</si>
  <si>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</si>
  <si>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</si>
  <si>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</si>
  <si>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</si>
  <si>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</si>
  <si>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</si>
  <si>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</si>
  <si>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</si>
  <si>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</si>
  <si>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</si>
  <si>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</si>
  <si>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</si>
  <si>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</si>
  <si>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</si>
  <si>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</si>
  <si>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</si>
  <si>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</si>
  <si>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</si>
  <si>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</si>
  <si>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</si>
  <si>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</si>
  <si>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</si>
  <si>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</si>
  <si>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</si>
  <si>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</si>
  <si>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</si>
  <si>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</si>
  <si>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</si>
  <si>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</si>
  <si>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</si>
  <si>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</si>
  <si>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</si>
  <si>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</si>
  <si>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</si>
  <si>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</si>
  <si>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</si>
  <si>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</si>
  <si>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</si>
  <si>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</si>
  <si>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</si>
  <si>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</si>
  <si>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</si>
  <si>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</si>
  <si>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</si>
  <si>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</si>
  <si>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</si>
  <si>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</si>
  <si>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</si>
  <si>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</si>
  <si>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</si>
  <si>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</si>
  <si>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</si>
  <si>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</si>
  <si>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</si>
  <si>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</si>
  <si>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</si>
  <si>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</si>
  <si>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</si>
  <si>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</si>
  <si>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</si>
  <si>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</si>
  <si>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</si>
  <si>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</si>
  <si>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</si>
  <si>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</si>
  <si>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</si>
  <si>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</si>
  <si>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</si>
  <si>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</si>
  <si>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</si>
  <si>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</si>
  <si>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</si>
  <si>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</si>
  <si>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</si>
  <si>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</si>
  <si>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</si>
  <si>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</si>
  <si>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</si>
  <si>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</si>
  <si>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</si>
  <si>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</si>
  <si>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</si>
  <si>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</si>
  <si>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</si>
  <si>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</si>
  <si>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</si>
  <si>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</si>
  <si>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</si>
  <si>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</si>
  <si>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</si>
  <si>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</si>
  <si>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</si>
  <si>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</si>
  <si>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</si>
  <si>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</si>
  <si>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</si>
  <si>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</si>
  <si>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</si>
  <si>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</si>
  <si>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</si>
  <si>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</si>
  <si>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</si>
  <si>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</si>
  <si>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</si>
  <si>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</si>
  <si>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</si>
  <si>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</si>
  <si>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</si>
  <si>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</si>
  <si>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</si>
  <si>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</si>
  <si>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</si>
  <si>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</si>
  <si>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</si>
  <si>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</si>
  <si>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</si>
  <si>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</si>
  <si>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</si>
  <si>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</si>
  <si>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</si>
  <si>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</si>
  <si>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</si>
  <si>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</si>
  <si>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</si>
  <si>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</si>
  <si>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</si>
  <si>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</si>
  <si>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</si>
  <si>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</si>
  <si>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</si>
  <si>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</si>
  <si>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</si>
  <si>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</si>
  <si>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</si>
  <si>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</si>
  <si>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</si>
  <si>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</si>
  <si>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</si>
  <si>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</si>
  <si>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</si>
  <si>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</si>
  <si>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</si>
  <si>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</si>
  <si>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</si>
  <si>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</si>
  <si>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</si>
  <si>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</si>
  <si>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</si>
  <si>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</si>
  <si>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</si>
  <si>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</si>
  <si>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</si>
  <si>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</si>
  <si>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</si>
  <si>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</si>
  <si>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</si>
  <si>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</si>
  <si>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</si>
  <si>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</si>
  <si>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</si>
  <si>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</si>
  <si>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</si>
  <si>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</si>
  <si>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</si>
  <si>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</si>
  <si>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</si>
  <si>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</si>
  <si>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</si>
  <si>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</si>
  <si>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</si>
  <si>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</si>
  <si>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</si>
  <si>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</si>
  <si>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</si>
  <si>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</si>
  <si>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</si>
  <si>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</si>
  <si>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</si>
  <si>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</si>
  <si>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</si>
  <si>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</si>
  <si>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</si>
  <si>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</si>
  <si>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</si>
  <si>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</si>
  <si>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</si>
  <si>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</si>
  <si>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</si>
  <si>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</si>
  <si>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</si>
  <si>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</si>
  <si>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</si>
  <si>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</si>
  <si>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</si>
  <si>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</si>
  <si>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</si>
  <si>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</si>
  <si>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</si>
  <si>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</si>
  <si>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</si>
  <si>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</si>
  <si>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</si>
  <si>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</si>
  <si>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</si>
  <si>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</si>
  <si>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</si>
  <si>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</si>
  <si>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</si>
  <si>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</si>
  <si>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</si>
  <si>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</si>
  <si>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</si>
  <si>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</si>
  <si>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</si>
  <si>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</si>
  <si>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</si>
  <si>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</si>
  <si>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</si>
  <si>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</si>
  <si>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</si>
  <si>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</si>
  <si>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</si>
  <si>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</si>
  <si>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</si>
  <si>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</si>
  <si>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</si>
  <si>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</si>
  <si>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</si>
  <si>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</si>
  <si>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</si>
  <si>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</si>
  <si>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</si>
  <si>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</si>
  <si>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</si>
  <si>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</si>
  <si>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</si>
  <si>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</si>
  <si>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</si>
  <si>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</si>
  <si>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</si>
  <si>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</si>
  <si>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</si>
  <si>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</si>
  <si>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</si>
  <si>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</si>
  <si>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</si>
  <si>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</si>
  <si>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</si>
  <si>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</si>
  <si>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</si>
  <si>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</si>
  <si>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</si>
  <si>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</si>
  <si>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</si>
  <si>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</si>
  <si>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</si>
  <si>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</si>
  <si>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</si>
  <si>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</si>
  <si>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</si>
  <si>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</si>
  <si>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</si>
  <si>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</si>
  <si>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</si>
  <si>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</si>
  <si>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</si>
  <si>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</si>
  <si>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</si>
  <si>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</si>
  <si>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</si>
  <si>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</si>
  <si>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</si>
  <si>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</si>
  <si>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</si>
  <si>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</si>
  <si>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</si>
  <si>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</si>
  <si>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</si>
  <si>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</si>
  <si>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</si>
  <si>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</si>
  <si>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</si>
  <si>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</si>
  <si>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</si>
  <si>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</si>
  <si>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</si>
  <si>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</si>
  <si>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</si>
  <si>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</si>
  <si>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</si>
  <si>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</si>
  <si>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</si>
  <si>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</si>
  <si>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</si>
  <si>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</si>
  <si>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</si>
  <si>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</si>
  <si>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</si>
  <si>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</si>
  <si>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</si>
  <si>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</si>
  <si>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</si>
  <si>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</si>
  <si>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</si>
  <si>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</si>
  <si>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</si>
  <si>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</si>
  <si>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</si>
  <si>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</si>
  <si>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</si>
  <si>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</si>
  <si>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</si>
  <si>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</si>
  <si>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</si>
  <si>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</si>
  <si>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</si>
  <si>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</si>
  <si>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</si>
  <si>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</si>
  <si>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</si>
  <si>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</si>
  <si>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</si>
  <si>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</si>
  <si>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</si>
  <si>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</si>
  <si>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</si>
  <si>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</si>
  <si>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</si>
  <si>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</si>
  <si>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</si>
  <si>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</si>
  <si>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</si>
  <si>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</si>
  <si>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</si>
  <si>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</si>
  <si>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</si>
  <si>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</si>
  <si>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</si>
  <si>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</si>
  <si>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</si>
  <si>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</si>
  <si>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</si>
  <si>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</si>
  <si>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</si>
  <si>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</si>
  <si>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</si>
  <si>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</si>
  <si>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</si>
  <si>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</si>
  <si>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</si>
  <si>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</si>
  <si>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</si>
  <si>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</si>
  <si>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</si>
  <si>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</si>
  <si>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</si>
  <si>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</si>
  <si>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</si>
  <si>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</si>
  <si>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</si>
  <si>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</si>
  <si>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</si>
  <si>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</si>
  <si>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</si>
  <si>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</si>
  <si>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</si>
  <si>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</si>
  <si>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</si>
  <si>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</si>
  <si>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</si>
  <si>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</si>
  <si>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</si>
  <si>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</si>
  <si>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</si>
  <si>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</si>
  <si>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</si>
  <si>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</si>
  <si>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</si>
  <si>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</si>
  <si>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</si>
  <si>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</si>
  <si>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</si>
  <si>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</si>
  <si>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</si>
  <si>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</si>
  <si>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</si>
  <si>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</si>
  <si>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</si>
  <si>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</si>
  <si>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</si>
  <si>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</si>
  <si>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</si>
  <si>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</si>
  <si>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</si>
  <si>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</si>
  <si>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</si>
  <si>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</si>
  <si>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</si>
  <si>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</si>
  <si>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</si>
  <si>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</si>
  <si>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</si>
  <si>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</si>
  <si>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</si>
  <si>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</si>
  <si>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</si>
  <si>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</si>
  <si>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</si>
  <si>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</si>
  <si>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</si>
  <si>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</si>
  <si>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</si>
  <si>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</si>
  <si>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</si>
  <si>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</si>
  <si>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</si>
  <si>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</si>
  <si>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</si>
  <si>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</si>
  <si>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</si>
  <si>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</si>
  <si>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</si>
  <si>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</si>
  <si>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</si>
  <si>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</si>
  <si>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</si>
  <si>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</si>
  <si>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</si>
  <si>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</si>
  <si>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</si>
  <si>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</si>
  <si>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</si>
  <si>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</si>
  <si>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</si>
  <si>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</si>
  <si>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</si>
  <si>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</si>
  <si>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</si>
  <si>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</si>
  <si>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</si>
  <si>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</si>
  <si>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</si>
  <si>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</si>
  <si>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</si>
  <si>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</si>
  <si>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</si>
  <si>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</si>
  <si>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</si>
  <si>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</si>
  <si>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</si>
  <si>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</si>
  <si>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</si>
  <si>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</si>
  <si>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</si>
  <si>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</si>
  <si>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</si>
  <si>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</si>
  <si>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</si>
  <si>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</si>
  <si>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</si>
  <si>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</si>
  <si>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</si>
  <si>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</si>
  <si>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</si>
  <si>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</si>
  <si>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</si>
  <si>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</si>
  <si>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</si>
  <si>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</si>
  <si>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</si>
  <si>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</si>
  <si>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</si>
  <si>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</si>
  <si>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</si>
  <si>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</si>
  <si>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</si>
  <si>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</si>
  <si>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</si>
  <si>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</si>
  <si>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</si>
  <si>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</si>
  <si>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</si>
  <si>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</si>
  <si>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</si>
  <si>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</si>
  <si>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</si>
  <si>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</si>
  <si>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</si>
  <si>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</si>
  <si>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</si>
  <si>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</si>
  <si>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</si>
  <si>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</si>
  <si>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</si>
  <si>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</si>
  <si>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</si>
  <si>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</si>
  <si>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</si>
  <si>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</si>
  <si>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</si>
  <si>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</si>
  <si>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</si>
  <si>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</si>
  <si>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</si>
  <si>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</si>
  <si>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</si>
  <si>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</si>
  <si>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</si>
  <si>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</si>
  <si>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</si>
  <si>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</si>
  <si>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</si>
  <si>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</si>
  <si>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</si>
  <si>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</si>
  <si>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</si>
  <si>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</si>
  <si>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</si>
  <si>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</si>
  <si>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</si>
  <si>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</si>
  <si>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</si>
  <si>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</si>
  <si>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</si>
  <si>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</si>
  <si>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</si>
  <si>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</si>
  <si>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</si>
  <si>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</si>
  <si>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</si>
  <si>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</si>
  <si>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</si>
  <si>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</si>
  <si>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</si>
  <si>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</si>
  <si>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</si>
  <si>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</si>
  <si>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</si>
  <si>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</si>
  <si>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</si>
  <si>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</si>
  <si>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</si>
  <si>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</si>
  <si>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</si>
  <si>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</si>
  <si>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</si>
  <si>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</si>
  <si>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</si>
  <si>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</si>
  <si>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</si>
  <si>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</si>
  <si>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</si>
  <si>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</si>
  <si>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</si>
  <si>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</si>
  <si>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</si>
  <si>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</si>
  <si>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</si>
  <si>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</si>
  <si>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</si>
  <si>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</si>
  <si>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</si>
  <si>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</si>
  <si>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</si>
  <si>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</si>
  <si>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</si>
  <si>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</si>
  <si>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</si>
  <si>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</si>
  <si>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</si>
  <si>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</si>
  <si>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</si>
  <si>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</si>
  <si>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</si>
  <si>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</si>
  <si>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</si>
  <si>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</si>
  <si>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</si>
  <si>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</si>
  <si>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</si>
  <si>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</si>
  <si>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</si>
  <si>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</si>
  <si>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</si>
  <si>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</si>
  <si>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</si>
  <si>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</si>
  <si>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</si>
  <si>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</si>
  <si>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</si>
  <si>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</si>
  <si>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</si>
  <si>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</si>
  <si>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</si>
  <si>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</si>
  <si>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</si>
  <si>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</si>
  <si>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</si>
  <si>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</si>
  <si>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</si>
  <si>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</si>
  <si>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</si>
  <si>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</si>
  <si>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</si>
  <si>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</si>
  <si>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</si>
  <si>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</si>
  <si>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</si>
  <si>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</si>
  <si>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</si>
  <si>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</si>
  <si>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</si>
  <si>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</si>
  <si>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</si>
  <si>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</si>
  <si>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</si>
  <si>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</si>
  <si>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</si>
  <si>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</si>
  <si>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</si>
  <si>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</si>
  <si>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</si>
  <si>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</si>
  <si>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</si>
  <si>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</si>
  <si>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</si>
  <si>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</si>
  <si>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</si>
  <si>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</si>
  <si>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</si>
  <si>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</si>
  <si>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</si>
  <si>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</si>
  <si>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</si>
  <si>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</si>
  <si>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</si>
  <si>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</si>
  <si>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</si>
  <si>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</si>
  <si>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</si>
  <si>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</si>
  <si>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</si>
  <si>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</si>
  <si>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</si>
  <si>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</si>
  <si>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</si>
  <si>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</si>
  <si>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</si>
  <si>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</si>
  <si>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</si>
  <si>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</si>
  <si>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</si>
  <si>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</si>
  <si>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</si>
  <si>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</si>
  <si>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</si>
  <si>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</si>
  <si>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</si>
  <si>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</si>
  <si>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</si>
  <si>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</si>
  <si>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</si>
  <si>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</si>
  <si>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</si>
  <si>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</si>
  <si>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</si>
  <si>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</si>
  <si>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</si>
  <si>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</si>
  <si>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</si>
  <si>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</si>
  <si>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</si>
  <si>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</si>
  <si>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</si>
  <si>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</si>
  <si>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</si>
  <si>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</si>
  <si>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</si>
  <si>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</si>
  <si>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</si>
  <si>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</si>
  <si>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</si>
  <si>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</si>
  <si>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</si>
  <si>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</si>
  <si>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</si>
  <si>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</si>
  <si>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</si>
  <si>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</si>
  <si>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</si>
  <si>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</si>
  <si>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</si>
  <si>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</si>
  <si>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</si>
  <si>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</si>
  <si>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</si>
  <si>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</si>
  <si>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</si>
  <si>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</si>
  <si>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</si>
  <si>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</si>
  <si>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</si>
  <si>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</si>
  <si>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</si>
  <si>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</si>
  <si>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</si>
  <si>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</si>
  <si>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</si>
  <si>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</si>
  <si>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</si>
  <si>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</si>
  <si>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</si>
  <si>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</si>
  <si>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</si>
  <si>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</si>
  <si>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</si>
  <si>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</si>
  <si>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</si>
  <si>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</si>
  <si>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</si>
  <si>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</si>
  <si>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</si>
  <si>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</si>
  <si>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</si>
  <si>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</si>
  <si>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</si>
  <si>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</si>
  <si>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</si>
  <si>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</si>
  <si>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</si>
  <si>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</si>
  <si>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</si>
  <si>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</si>
  <si>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</si>
  <si>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</si>
  <si>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</si>
  <si>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</si>
  <si>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</si>
  <si>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</si>
  <si>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</si>
  <si>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</si>
  <si>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</si>
  <si>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</si>
  <si>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</si>
  <si>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</si>
  <si>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</si>
  <si>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</si>
  <si>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</si>
  <si>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</si>
  <si>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</si>
  <si>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</si>
  <si>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</si>
  <si>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</si>
  <si>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</si>
  <si>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</si>
  <si>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</si>
  <si>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</si>
  <si>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</si>
  <si>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</si>
  <si>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</si>
  <si>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</si>
  <si>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</si>
  <si>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</si>
  <si>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</si>
  <si>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</si>
  <si>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</si>
  <si>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</si>
  <si>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</si>
  <si>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</si>
  <si>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</si>
  <si>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</si>
  <si>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</si>
  <si>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</si>
  <si>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</si>
  <si>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</si>
  <si>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</si>
  <si>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</si>
  <si>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</si>
  <si>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</si>
  <si>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</si>
  <si>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</si>
  <si>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</si>
  <si>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</si>
  <si>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</si>
  <si>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</si>
  <si>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</si>
  <si>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</si>
  <si>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</si>
  <si>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</si>
  <si>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</si>
  <si>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</si>
  <si>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</si>
  <si>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</si>
  <si>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</si>
  <si>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</si>
  <si>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</si>
  <si>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</si>
  <si>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</si>
  <si>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</si>
  <si>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</si>
  <si>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</si>
  <si>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</si>
  <si>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</si>
  <si>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</si>
  <si>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</si>
  <si>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</si>
  <si>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</si>
  <si>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</si>
  <si>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</si>
  <si>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</si>
  <si>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</si>
  <si>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</si>
  <si>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</si>
  <si>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</si>
  <si>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</si>
  <si>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</si>
  <si>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</si>
  <si>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</si>
  <si>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</si>
  <si>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</si>
  <si>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</si>
  <si>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</si>
  <si>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</si>
  <si>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</si>
  <si>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</si>
  <si>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</si>
  <si>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</si>
  <si>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</si>
  <si>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</si>
  <si>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</si>
  <si>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</si>
  <si>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</si>
  <si>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</si>
  <si>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</si>
  <si>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</si>
  <si>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</si>
  <si>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</si>
  <si>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</si>
  <si>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</si>
  <si>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</si>
  <si>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</si>
  <si>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</si>
  <si>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</si>
  <si>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</si>
  <si>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</si>
  <si>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</si>
  <si>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</si>
  <si>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</si>
  <si>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</si>
  <si>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</si>
  <si>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</si>
  <si>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</si>
  <si>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</si>
  <si>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</si>
  <si>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</si>
  <si>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</si>
  <si>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</si>
  <si>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</si>
  <si>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</si>
  <si>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</si>
  <si>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</si>
  <si>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</si>
  <si>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</si>
  <si>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</si>
  <si>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</si>
  <si>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</si>
  <si>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</si>
  <si>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</si>
  <si>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</si>
  <si>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</si>
  <si>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</si>
  <si>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</si>
  <si>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</si>
  <si>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</si>
  <si>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</si>
  <si>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</si>
  <si>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</si>
  <si>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</si>
  <si>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</si>
  <si>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</si>
  <si>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</si>
  <si>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</si>
  <si>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</si>
  <si>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</si>
  <si>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</si>
  <si>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</si>
  <si>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</si>
  <si>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</si>
  <si>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</si>
  <si>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</si>
  <si>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</si>
  <si>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</si>
  <si>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</si>
  <si>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</si>
  <si>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</si>
  <si>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</si>
  <si>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</si>
  <si>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</si>
  <si>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</si>
  <si>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</si>
  <si>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</si>
  <si>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</si>
  <si>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</si>
  <si>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</si>
  <si>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</si>
  <si>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</si>
  <si>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</si>
  <si>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</si>
  <si>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</si>
  <si>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</si>
  <si>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</si>
  <si>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</si>
  <si>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</si>
  <si>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</si>
  <si>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</si>
  <si>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</si>
  <si>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</si>
  <si>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</si>
  <si>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</si>
  <si>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</si>
  <si>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</si>
  <si>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</si>
  <si>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</si>
  <si>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</si>
  <si>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</si>
  <si>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</si>
  <si>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</si>
  <si>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</si>
  <si>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</si>
  <si>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</si>
  <si>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</si>
  <si>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</si>
  <si>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</si>
  <si>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</si>
  <si>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</si>
  <si>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</si>
  <si>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</si>
  <si>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</si>
  <si>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</si>
  <si>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</si>
  <si>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</si>
  <si>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</si>
  <si>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</si>
  <si>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</si>
  <si>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</si>
  <si>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</si>
  <si>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</si>
  <si>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</si>
  <si>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</si>
  <si>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</si>
  <si>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</si>
  <si>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</si>
  <si>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</si>
  <si>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</si>
  <si>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</si>
  <si>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</si>
  <si>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</si>
  <si>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</si>
  <si>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</si>
  <si>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</si>
  <si>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</si>
  <si>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</si>
  <si>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</si>
  <si>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</si>
  <si>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</si>
  <si>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</si>
  <si>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</si>
  <si>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</si>
  <si>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</si>
  <si>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</si>
  <si>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</si>
  <si>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</si>
  <si>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</si>
  <si>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</si>
  <si>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</si>
  <si>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</si>
  <si>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</si>
  <si>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</si>
  <si>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</si>
  <si>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</si>
  <si>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</si>
  <si>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</si>
  <si>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</si>
  <si>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</si>
  <si>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</si>
  <si>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</si>
  <si>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</si>
  <si>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</si>
  <si>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</si>
  <si>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</si>
  <si>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</si>
  <si>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</si>
  <si>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</si>
  <si>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</si>
  <si>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</si>
  <si>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</si>
  <si>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</si>
  <si>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</si>
  <si>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</si>
  <si>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</si>
  <si>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</si>
  <si>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</si>
  <si>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</si>
  <si>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</si>
  <si>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</si>
  <si>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</si>
  <si>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</si>
  <si>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</si>
  <si>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</si>
  <si>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</si>
  <si>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</si>
  <si>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</si>
  <si>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</si>
  <si>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</si>
  <si>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</si>
  <si>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</si>
  <si>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</si>
  <si>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</si>
  <si>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</si>
  <si>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</si>
  <si>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</si>
  <si>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</si>
  <si>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</si>
  <si>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</si>
  <si>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</si>
  <si>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</si>
  <si>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</si>
  <si>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</si>
  <si>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</si>
  <si>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</si>
  <si>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</si>
  <si>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</si>
  <si>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</si>
  <si>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</si>
  <si>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</si>
  <si>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</si>
  <si>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</si>
  <si>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</si>
  <si>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</si>
  <si>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</si>
  <si>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</si>
  <si>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</si>
  <si>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</si>
  <si>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</si>
  <si>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</si>
  <si>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</si>
  <si>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</si>
  <si>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</si>
  <si>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</si>
  <si>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</si>
  <si>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</si>
  <si>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</si>
  <si>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</si>
  <si>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</si>
  <si>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</si>
  <si>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</si>
  <si>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</si>
  <si>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</si>
  <si>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</si>
  <si>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</si>
  <si>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</si>
  <si>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</si>
  <si>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</si>
  <si>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</si>
  <si>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</si>
  <si>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</si>
  <si>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</si>
  <si>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</si>
  <si>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</si>
  <si>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</si>
  <si>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</si>
  <si>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</si>
  <si>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</si>
  <si>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</si>
  <si>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</si>
  <si>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</si>
  <si>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</si>
  <si>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</si>
  <si>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</si>
  <si>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</si>
  <si>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</si>
  <si>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</si>
  <si>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</si>
  <si>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</si>
  <si>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</si>
  <si>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</si>
  <si>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</si>
  <si>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</si>
  <si>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</si>
  <si>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</si>
  <si>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</si>
  <si>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</si>
  <si>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</si>
  <si>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</si>
  <si>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</si>
  <si>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</si>
  <si>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</si>
  <si>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</si>
  <si>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</si>
  <si>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</si>
  <si>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</si>
  <si>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</si>
  <si>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</si>
  <si>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</si>
  <si>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</si>
  <si>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</si>
  <si>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</si>
  <si>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</si>
  <si>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</si>
  <si>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</si>
  <si>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</si>
  <si>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</si>
  <si>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</si>
  <si>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</si>
  <si>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</si>
  <si>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</si>
  <si>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</si>
  <si>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</si>
  <si>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</si>
  <si>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</si>
  <si>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</si>
  <si>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</si>
  <si>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</si>
  <si>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</si>
  <si>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</si>
  <si>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</si>
  <si>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</si>
  <si>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</si>
  <si>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</si>
  <si>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</si>
  <si>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</si>
  <si>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</si>
  <si>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</si>
  <si>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</si>
  <si>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</si>
  <si>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</si>
  <si>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</si>
  <si>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</si>
  <si>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</si>
  <si>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</si>
  <si>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</si>
  <si>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</si>
  <si>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</si>
  <si>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</si>
  <si>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</si>
  <si>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</si>
  <si>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</si>
  <si>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</si>
  <si>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</si>
  <si>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</si>
  <si>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</si>
  <si>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</si>
  <si>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</si>
  <si>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</si>
  <si>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</si>
  <si>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</si>
  <si>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</si>
  <si>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</si>
  <si>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</si>
  <si>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</si>
  <si>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</si>
  <si>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</si>
  <si>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</si>
  <si>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</si>
  <si>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</si>
  <si>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</si>
  <si>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</si>
  <si>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</si>
  <si>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</si>
  <si>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</si>
  <si>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</si>
  <si>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</si>
  <si>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</si>
  <si>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</si>
  <si>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</si>
  <si>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</si>
  <si>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</si>
  <si>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</si>
  <si>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</si>
  <si>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</si>
  <si>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</si>
  <si>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</si>
  <si>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</si>
  <si>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</si>
  <si>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</si>
  <si>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</si>
  <si>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</si>
  <si>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</si>
  <si>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</si>
  <si>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</si>
  <si>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</si>
  <si>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</si>
  <si>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</si>
  <si>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</si>
  <si>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</si>
  <si>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</si>
  <si>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</si>
  <si>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</si>
  <si>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</si>
  <si>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</si>
  <si>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</si>
  <si>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</si>
  <si>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</si>
  <si>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</si>
  <si>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</si>
  <si>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</si>
  <si>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</si>
  <si>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</si>
  <si>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</si>
  <si>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</si>
  <si>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</si>
  <si>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</si>
  <si>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</si>
  <si>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</si>
  <si>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</si>
  <si>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</si>
  <si>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</si>
  <si>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</si>
  <si>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</si>
  <si>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</si>
  <si>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</si>
  <si>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</si>
  <si>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</si>
  <si>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</si>
  <si>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</si>
  <si>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</si>
  <si>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</si>
  <si>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</si>
  <si>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</si>
  <si>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</si>
  <si>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</si>
  <si>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</si>
  <si>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</si>
  <si>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</si>
  <si>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</si>
  <si>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</si>
  <si>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</si>
  <si>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</si>
  <si>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</si>
  <si>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</si>
  <si>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</si>
  <si>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</si>
  <si>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</si>
  <si>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</si>
  <si>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</si>
  <si>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</si>
  <si>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</si>
  <si>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</si>
  <si>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</si>
  <si>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</si>
  <si>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</si>
  <si>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</si>
  <si>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</si>
  <si>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</si>
  <si>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</si>
  <si>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</si>
  <si>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</si>
  <si>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</si>
  <si>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</si>
  <si>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</si>
  <si>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</si>
  <si>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</si>
  <si>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</si>
  <si>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</si>
  <si>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</si>
  <si>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</si>
  <si>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</si>
  <si>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</si>
  <si>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</si>
  <si>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</si>
  <si>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</si>
  <si>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</si>
  <si>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</si>
  <si>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</si>
  <si>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</si>
  <si>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</si>
  <si>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</si>
  <si>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</si>
  <si>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</si>
  <si>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</si>
  <si>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</si>
  <si>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</si>
  <si>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</si>
  <si>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</si>
  <si>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</si>
  <si>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</si>
  <si>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</si>
  <si>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</si>
  <si>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</si>
  <si>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</si>
  <si>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</si>
  <si>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</si>
  <si>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</si>
  <si>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</si>
  <si>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</si>
  <si>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</si>
  <si>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</si>
  <si>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</si>
  <si>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</si>
  <si>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</si>
  <si>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</si>
  <si>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</si>
  <si>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</si>
  <si>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</si>
  <si>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</si>
  <si>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</si>
  <si>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</si>
  <si>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</si>
  <si>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</si>
  <si>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</si>
  <si>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</si>
  <si>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</si>
  <si>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</si>
  <si>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</si>
  <si>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</si>
  <si>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</si>
  <si>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</si>
  <si>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</si>
  <si>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</si>
  <si>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</si>
  <si>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</si>
  <si>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</si>
  <si>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</si>
  <si>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</si>
  <si>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</si>
  <si>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</si>
  <si>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</si>
  <si>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</si>
  <si>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</si>
  <si>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</si>
  <si>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</si>
  <si>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</si>
  <si>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</si>
  <si>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</si>
  <si>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</si>
  <si>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</si>
  <si>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</si>
  <si>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</si>
  <si>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</si>
  <si>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</si>
  <si>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</si>
  <si>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</si>
  <si>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</si>
  <si>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</si>
  <si>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</si>
  <si>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</si>
  <si>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</si>
  <si>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</si>
  <si>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</si>
  <si>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</si>
  <si>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</si>
  <si>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</si>
  <si>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</si>
  <si>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</si>
  <si>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</si>
  <si>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</si>
  <si>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</si>
  <si>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</si>
  <si>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</si>
  <si>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</si>
  <si>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</si>
  <si>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</si>
  <si>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</si>
  <si>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</si>
  <si>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</si>
  <si>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</si>
  <si>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</si>
  <si>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</si>
  <si>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</si>
  <si>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</si>
  <si>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</si>
  <si>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</si>
  <si>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</si>
  <si>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</si>
  <si>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</si>
  <si>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</si>
  <si>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</si>
  <si>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</si>
  <si>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</si>
  <si>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</si>
  <si>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</si>
  <si>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</si>
  <si>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</si>
  <si>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</si>
  <si>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</si>
  <si>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</si>
  <si>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</si>
  <si>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</si>
  <si>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</si>
  <si>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</si>
  <si>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</si>
  <si>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</si>
  <si>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</si>
  <si>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</si>
  <si>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</si>
  <si>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</si>
  <si>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</si>
  <si>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</si>
  <si>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</si>
  <si>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</si>
  <si>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</si>
  <si>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</si>
  <si>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</si>
  <si>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</si>
  <si>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</si>
  <si>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</si>
  <si>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</si>
  <si>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</si>
  <si>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</si>
  <si>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</si>
  <si>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</si>
  <si>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</si>
  <si>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</si>
  <si>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</si>
  <si>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</si>
  <si>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</si>
  <si>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</si>
  <si>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</si>
  <si>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</si>
  <si>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</si>
  <si>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</si>
  <si>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</si>
  <si>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</si>
  <si>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</si>
  <si>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</si>
  <si>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</si>
  <si>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</si>
  <si>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</si>
  <si>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</si>
  <si>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</si>
  <si>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</si>
  <si>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</si>
  <si>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</si>
  <si>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</si>
  <si>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</si>
  <si>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</si>
  <si>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</si>
  <si>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</si>
  <si>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</si>
  <si>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</si>
  <si>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</si>
  <si>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</si>
  <si>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</si>
  <si>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</si>
  <si>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</si>
  <si>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</si>
  <si>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</si>
  <si>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</si>
  <si>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</si>
  <si>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</si>
  <si>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</si>
  <si>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</si>
  <si>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</si>
  <si>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</si>
  <si>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</si>
  <si>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</si>
  <si>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</si>
  <si>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</si>
  <si>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</si>
  <si>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</si>
  <si>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</si>
  <si>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</si>
  <si>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</si>
  <si>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</si>
  <si>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</si>
  <si>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</si>
  <si>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</si>
  <si>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</si>
  <si>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</si>
  <si>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</si>
  <si>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</si>
  <si>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</si>
  <si>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</si>
  <si>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</si>
  <si>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</si>
  <si>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</si>
  <si>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</si>
  <si>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</si>
  <si>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</si>
  <si>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</si>
  <si>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</si>
  <si>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</si>
  <si>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</si>
  <si>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</si>
  <si>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</si>
  <si>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</si>
  <si>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</si>
  <si>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</si>
  <si>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</si>
  <si>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</si>
  <si>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</si>
  <si>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</si>
  <si>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</si>
  <si>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</si>
  <si>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</si>
  <si>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</si>
  <si>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</si>
  <si>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</si>
  <si>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</si>
  <si>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</si>
  <si>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</si>
  <si>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</si>
  <si>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</si>
  <si>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</si>
  <si>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</si>
  <si>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</si>
  <si>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</si>
  <si>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</si>
  <si>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</si>
  <si>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</si>
  <si>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</si>
  <si>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</si>
  <si>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</si>
  <si>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</si>
  <si>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</si>
  <si>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</si>
  <si>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</si>
  <si>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</si>
  <si>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</si>
  <si>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</si>
  <si>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</si>
  <si>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</si>
  <si>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</si>
  <si>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</si>
  <si>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</si>
  <si>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</si>
  <si>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</si>
  <si>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</si>
  <si>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</si>
  <si>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</si>
  <si>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</si>
  <si>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</si>
  <si>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</si>
  <si>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</si>
  <si>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</si>
  <si>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</si>
  <si>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</si>
  <si>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</si>
  <si>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</si>
  <si>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</si>
  <si>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</si>
  <si>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</si>
  <si>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</si>
  <si>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</si>
  <si>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</si>
  <si>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</si>
  <si>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</si>
  <si>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</si>
  <si>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</si>
  <si>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</si>
  <si>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</si>
  <si>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</si>
  <si>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</si>
  <si>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</si>
  <si>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</si>
  <si>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</si>
  <si>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</si>
  <si>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</si>
  <si>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</si>
  <si>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</si>
  <si>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</si>
  <si>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</si>
  <si>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</si>
  <si>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</si>
  <si>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</si>
  <si>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</si>
  <si>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</si>
  <si>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</si>
  <si>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</si>
  <si>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</si>
  <si>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</si>
  <si>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</si>
  <si>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</si>
  <si>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</si>
  <si>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</si>
  <si>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</si>
  <si>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</si>
  <si>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</si>
  <si>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</si>
  <si>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</si>
  <si>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</si>
  <si>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</si>
  <si>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</si>
  <si>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</si>
  <si>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</si>
  <si>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</si>
  <si>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</si>
  <si>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</si>
  <si>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</si>
  <si>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</si>
  <si>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</si>
  <si>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</si>
  <si>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</si>
  <si>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</si>
  <si>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</si>
  <si>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</si>
  <si>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</si>
  <si>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</si>
  <si>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</si>
  <si>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</si>
  <si>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</si>
  <si>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</si>
  <si>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</si>
  <si>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</si>
  <si>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</si>
  <si>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</si>
  <si>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</si>
  <si>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</si>
  <si>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</si>
  <si>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</si>
  <si>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</si>
  <si>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</si>
  <si>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</si>
  <si>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</si>
  <si>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</si>
  <si>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</si>
  <si>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</si>
  <si>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</si>
  <si>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</si>
  <si>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</si>
  <si>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</si>
  <si>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</si>
  <si>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</si>
  <si>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</si>
  <si>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</si>
  <si>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</si>
  <si>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</si>
  <si>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</si>
  <si>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</si>
  <si>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</si>
  <si>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</si>
  <si>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</si>
  <si>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</si>
  <si>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</si>
  <si>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</si>
  <si>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</si>
  <si>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</si>
  <si>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</si>
  <si>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</si>
  <si>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</si>
  <si>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</si>
  <si>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</si>
  <si>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</si>
  <si>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</si>
  <si>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</si>
  <si>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</si>
  <si>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</si>
  <si>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</si>
  <si>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</si>
  <si>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</si>
  <si>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</si>
  <si>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</si>
  <si>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</si>
  <si>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</si>
  <si>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</si>
  <si>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</si>
  <si>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</si>
  <si>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</si>
  <si>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</si>
  <si>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</si>
  <si>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</si>
  <si>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</si>
  <si>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</si>
  <si>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</si>
  <si>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</si>
  <si>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</si>
  <si>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</si>
  <si>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</si>
  <si>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</si>
  <si>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</si>
  <si>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</si>
  <si>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</si>
  <si>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</si>
  <si>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</si>
  <si>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</si>
  <si>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</si>
  <si>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</si>
  <si>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</si>
  <si>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</si>
  <si>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</si>
  <si>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</si>
  <si>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</si>
  <si>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</si>
  <si>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</si>
  <si>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</si>
  <si>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</si>
  <si>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</si>
  <si>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</si>
  <si>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</si>
  <si>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</si>
  <si>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</si>
  <si>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</si>
  <si>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</si>
  <si>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</si>
  <si>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</si>
  <si>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</si>
  <si>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</si>
  <si>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</si>
  <si>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</si>
  <si>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</si>
  <si>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</si>
  <si>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</si>
  <si>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</si>
  <si>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</si>
  <si>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</si>
  <si>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</si>
  <si>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</si>
  <si>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</si>
  <si>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</si>
  <si>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</si>
  <si>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</si>
  <si>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</si>
  <si>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</si>
  <si>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</si>
  <si>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</si>
  <si>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</si>
  <si>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</si>
  <si>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</si>
  <si>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</si>
  <si>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</si>
  <si>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</si>
  <si>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</si>
  <si>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</si>
  <si>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</si>
  <si>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</si>
  <si>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</si>
  <si>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</si>
  <si>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</si>
  <si>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</si>
  <si>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</si>
  <si>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</si>
  <si>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</si>
  <si>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</si>
  <si>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</si>
  <si>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</si>
  <si>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</si>
  <si>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</si>
  <si>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</si>
  <si>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</si>
  <si>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</si>
  <si>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</si>
  <si>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</si>
  <si>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</si>
  <si>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</si>
  <si>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</si>
  <si>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</si>
  <si>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</si>
  <si>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</si>
  <si>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</si>
  <si>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</si>
  <si>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</si>
  <si>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</si>
  <si>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</si>
  <si>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</si>
  <si>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</si>
  <si>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</si>
  <si>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</si>
  <si>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</si>
  <si>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</si>
  <si>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</si>
  <si>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</si>
  <si>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</si>
  <si>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</si>
  <si>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</si>
  <si>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</si>
  <si>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</si>
  <si>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</si>
  <si>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</si>
  <si>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</si>
  <si>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</si>
  <si>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</si>
  <si>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</si>
  <si>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</si>
  <si>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</si>
  <si>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</si>
  <si>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</si>
  <si>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</si>
  <si>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</si>
  <si>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</si>
  <si>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</si>
  <si>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</si>
  <si>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</si>
  <si>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</si>
  <si>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</si>
  <si>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</si>
  <si>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</si>
  <si>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</si>
  <si>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</si>
  <si>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</si>
  <si>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</si>
  <si>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</si>
  <si>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</si>
  <si>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</si>
  <si>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</si>
  <si>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</si>
  <si>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</si>
  <si>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</si>
  <si>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</si>
  <si>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</si>
  <si>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</si>
  <si>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</si>
  <si>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</si>
  <si>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</si>
  <si>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</si>
  <si>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</si>
  <si>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</si>
  <si>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</si>
  <si>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</si>
  <si>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</si>
  <si>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</si>
  <si>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</si>
  <si>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</si>
  <si>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</si>
  <si>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</si>
  <si>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</si>
  <si>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</si>
  <si>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</si>
  <si>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</si>
  <si>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</si>
  <si>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</si>
  <si>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</si>
  <si>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</si>
  <si>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</si>
  <si>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</si>
  <si>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</si>
  <si>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</si>
  <si>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</si>
  <si>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</si>
  <si>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</si>
  <si>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</si>
  <si>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</si>
  <si>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</si>
  <si>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</si>
  <si>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</si>
  <si>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</si>
  <si>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</si>
  <si>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</si>
  <si>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</si>
  <si>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</si>
  <si>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</si>
  <si>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</si>
  <si>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</si>
  <si>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</si>
  <si>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</si>
  <si>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</si>
  <si>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</si>
  <si>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</si>
  <si>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</si>
  <si>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</si>
  <si>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</si>
  <si>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</si>
  <si>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</si>
  <si>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</si>
  <si>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</si>
  <si>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</si>
  <si>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</si>
  <si>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</si>
  <si>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</si>
  <si>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</si>
  <si>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</si>
  <si>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</si>
  <si>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</si>
  <si>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</si>
  <si>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</si>
  <si>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</si>
  <si>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</si>
  <si>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</si>
  <si>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</si>
  <si>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</si>
  <si>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</si>
  <si>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</si>
  <si>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</si>
  <si>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</si>
  <si>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</si>
  <si>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</si>
  <si>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</si>
  <si>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</si>
  <si>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</si>
  <si>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</si>
  <si>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</si>
  <si>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</si>
  <si>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</si>
  <si>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</si>
  <si>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</si>
  <si>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</si>
  <si>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</si>
  <si>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</si>
  <si>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</si>
  <si>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</si>
  <si>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</si>
  <si>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</si>
  <si>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</si>
  <si>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</si>
  <si>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</si>
  <si>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</si>
  <si>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</si>
  <si>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</si>
  <si>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</si>
  <si>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</si>
  <si>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</si>
  <si>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</si>
  <si>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</si>
  <si>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</si>
  <si>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</si>
  <si>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</si>
  <si>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</si>
  <si>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</si>
  <si>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</si>
  <si>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</si>
  <si>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</si>
  <si>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</si>
  <si>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</si>
  <si>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</si>
  <si>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</si>
  <si>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</si>
  <si>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</si>
  <si>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</si>
  <si>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</si>
  <si>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</si>
  <si>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</si>
  <si>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</si>
  <si>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</si>
  <si>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</si>
  <si>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</si>
  <si>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</si>
  <si>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</si>
  <si>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</si>
  <si>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</si>
  <si>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</si>
  <si>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</si>
  <si>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</si>
  <si>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</si>
  <si>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</si>
  <si>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</si>
  <si>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</si>
  <si>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</si>
  <si>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</si>
  <si>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</si>
  <si>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</si>
  <si>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</si>
  <si>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</si>
  <si>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</si>
  <si>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</si>
  <si>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</si>
  <si>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</si>
  <si>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</si>
  <si>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</si>
  <si>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</si>
  <si>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</si>
  <si>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</si>
  <si>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</si>
  <si>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</si>
  <si>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</si>
  <si>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</si>
  <si>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</si>
  <si>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</si>
  <si>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</si>
  <si>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</si>
  <si>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</si>
  <si>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</si>
  <si>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</si>
  <si>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</si>
  <si>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</si>
  <si>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</si>
  <si>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</si>
  <si>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</si>
  <si>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</si>
  <si>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</si>
  <si>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</si>
  <si>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</si>
  <si>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</si>
  <si>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</si>
  <si>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</si>
  <si>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</si>
  <si>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</si>
  <si>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</si>
  <si>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</si>
  <si>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</si>
  <si>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</si>
  <si>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</si>
  <si>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</si>
  <si>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</si>
  <si>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</si>
  <si>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</si>
  <si>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</si>
  <si>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</si>
  <si>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</si>
  <si>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</si>
  <si>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</si>
  <si>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</si>
  <si>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</si>
  <si>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</si>
  <si>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</si>
  <si>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</si>
  <si>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</si>
  <si>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</si>
  <si>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</si>
  <si>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</si>
  <si>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</si>
  <si>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</si>
  <si>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</si>
  <si>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</si>
  <si>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</si>
  <si>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</si>
  <si>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</si>
  <si>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</si>
  <si>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</si>
  <si>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</si>
  <si>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</si>
  <si>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</si>
  <si>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</si>
  <si>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</si>
  <si>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</si>
  <si>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</si>
  <si>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</si>
  <si>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</si>
  <si>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</si>
  <si>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</si>
  <si>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</si>
  <si>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</si>
  <si>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</si>
  <si>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</si>
  <si>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</si>
  <si>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</si>
  <si>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</si>
  <si>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</si>
  <si>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</si>
  <si>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</si>
  <si>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</si>
  <si>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</si>
  <si>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</si>
  <si>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</si>
  <si>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</si>
  <si>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</si>
  <si>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</si>
  <si>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</si>
  <si>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</si>
  <si>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</si>
  <si>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</si>
  <si>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</si>
  <si>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</si>
  <si>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</si>
  <si>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</si>
  <si>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</si>
  <si>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</si>
  <si>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</si>
  <si>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</si>
  <si>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</si>
  <si>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</si>
  <si>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</si>
  <si>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</si>
  <si>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</si>
  <si>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</si>
  <si>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</si>
  <si>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</si>
  <si>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</si>
  <si>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</si>
  <si>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</si>
  <si>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</si>
  <si>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</si>
  <si>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</si>
  <si>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</si>
  <si>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</si>
  <si>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</si>
  <si>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</si>
  <si>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</si>
  <si>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</si>
  <si>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</si>
  <si>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</si>
  <si>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</si>
  <si>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</si>
  <si>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</si>
  <si>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</si>
  <si>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</si>
  <si>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</si>
  <si>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</si>
  <si>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</si>
  <si>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</si>
  <si>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</si>
  <si>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</si>
  <si>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</si>
  <si>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</si>
  <si>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</si>
  <si>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</si>
  <si>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</si>
  <si>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</si>
  <si>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</si>
  <si>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</si>
  <si>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</si>
  <si>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</si>
  <si>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</si>
  <si>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</si>
  <si>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</si>
  <si>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</si>
  <si>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</si>
  <si>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</si>
  <si>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</si>
  <si>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</si>
  <si>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</si>
  <si>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</si>
  <si>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</si>
  <si>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</si>
  <si>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</si>
  <si>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</si>
  <si>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</si>
  <si>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</si>
  <si>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</si>
  <si>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</si>
  <si>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</si>
  <si>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</si>
  <si>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</si>
  <si>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</si>
  <si>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</si>
  <si>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</si>
  <si>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</si>
  <si>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</si>
  <si>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</si>
  <si>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</si>
  <si>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</si>
  <si>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</si>
  <si>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</si>
  <si>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</si>
  <si>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</si>
  <si>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</si>
  <si>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</si>
  <si>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</si>
  <si>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</si>
  <si>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</si>
  <si>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</si>
  <si>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</si>
  <si>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</si>
  <si>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</si>
  <si>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</si>
  <si>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</si>
  <si>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</si>
  <si>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</si>
  <si>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</si>
  <si>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</si>
  <si>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</si>
  <si>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</si>
  <si>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</si>
  <si>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</si>
  <si>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</si>
  <si>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</si>
  <si>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</si>
  <si>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</si>
  <si>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</si>
  <si>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</si>
  <si>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</si>
  <si>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</si>
  <si>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</si>
  <si>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</si>
  <si>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</si>
  <si>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</si>
  <si>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</si>
  <si>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</si>
  <si>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</si>
  <si>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</si>
  <si>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</si>
  <si>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</si>
  <si>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</si>
  <si>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</si>
  <si>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</si>
  <si>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</si>
  <si>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</si>
  <si>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</si>
  <si>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</si>
  <si>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</si>
  <si>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</si>
  <si>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</si>
  <si>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</si>
  <si>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</si>
  <si>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</si>
  <si>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</si>
  <si>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</si>
  <si>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</si>
  <si>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</si>
  <si>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</si>
  <si>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</si>
  <si>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</si>
  <si>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</si>
  <si>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</si>
  <si>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</si>
  <si>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</si>
  <si>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</si>
  <si>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</si>
  <si>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</si>
  <si>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</si>
  <si>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</si>
  <si>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</si>
  <si>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</si>
  <si>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</si>
  <si>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</si>
  <si>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</si>
  <si>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</si>
  <si>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</si>
  <si>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</si>
  <si>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</si>
  <si>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</si>
  <si>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</si>
  <si>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</si>
  <si>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</si>
  <si>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</si>
  <si>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</si>
  <si>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</si>
  <si>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</si>
  <si>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</si>
  <si>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</si>
  <si>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</si>
  <si>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</si>
  <si>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</si>
  <si>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</si>
  <si>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</si>
  <si>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</si>
  <si>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</si>
  <si>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</si>
  <si>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</si>
  <si>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</si>
  <si>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</si>
  <si>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</si>
  <si>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</si>
  <si>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</si>
  <si>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</si>
  <si>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</si>
  <si>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</si>
  <si>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</si>
  <si>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</si>
  <si>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</si>
  <si>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</si>
  <si>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</si>
  <si>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</si>
  <si>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</si>
  <si>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</si>
  <si>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</si>
  <si>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</si>
  <si>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</si>
  <si>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</si>
  <si>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</si>
  <si>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</si>
  <si>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</si>
  <si>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</si>
  <si>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</si>
  <si>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</si>
  <si>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</si>
  <si>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</si>
  <si>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</si>
  <si>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</si>
  <si>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</si>
  <si>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</si>
  <si>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</si>
  <si>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</si>
  <si>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</si>
  <si>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</si>
  <si>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</si>
  <si>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</si>
  <si>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</si>
  <si>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</si>
  <si>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梁津</t>
  </si>
  <si>
    <t>王鹏</t>
  </si>
  <si>
    <t>中诚信托有限责任公司</t>
    <phoneticPr fontId="6" type="noConversion"/>
  </si>
  <si>
    <t>核定资产</t>
  </si>
  <si>
    <t>市场价格</t>
  </si>
  <si>
    <t>其他：</t>
  </si>
  <si>
    <t>广东省汕头市</t>
    <phoneticPr fontId="6" type="noConversion"/>
  </si>
  <si>
    <t>企业</t>
  </si>
  <si>
    <t>商业</t>
  </si>
  <si>
    <t>出让</t>
  </si>
  <si>
    <t>一致</t>
  </si>
  <si>
    <t>符合</t>
  </si>
  <si>
    <t>否</t>
  </si>
  <si>
    <t>《国有土地使用证》</t>
  </si>
  <si>
    <t>商业项目</t>
  </si>
  <si>
    <t>无</t>
  </si>
  <si>
    <t>场地平整</t>
  </si>
  <si>
    <t>平整</t>
  </si>
  <si>
    <t>通路</t>
  </si>
  <si>
    <t>通电</t>
  </si>
  <si>
    <t>通讯</t>
  </si>
  <si>
    <t>通上水</t>
  </si>
  <si>
    <t>通下水</t>
  </si>
  <si>
    <t>燃气</t>
  </si>
  <si>
    <t>地上</t>
  </si>
  <si>
    <t>不动产收益法</t>
  </si>
  <si>
    <t>临海情况</t>
    <phoneticPr fontId="26" type="noConversion"/>
  </si>
  <si>
    <t>楼面地价</t>
  </si>
  <si>
    <t>正常</t>
  </si>
  <si>
    <t>住宅、商业</t>
  </si>
  <si>
    <t>住宅、商业</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</si>
  <si>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</si>
  <si>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</si>
  <si>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</si>
  <si>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</si>
  <si>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</si>
  <si>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</si>
  <si>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</si>
  <si>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</si>
  <si>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</si>
  <si>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</si>
  <si>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</si>
  <si>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</si>
  <si>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</si>
  <si>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</si>
  <si>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</si>
  <si>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</si>
  <si>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</si>
  <si>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</si>
  <si>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</si>
  <si>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</si>
  <si>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</si>
  <si>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一线临海</t>
    <phoneticPr fontId="26" type="noConversion"/>
  </si>
  <si>
    <t>临近</t>
    <phoneticPr fontId="26" type="noConversion"/>
  </si>
  <si>
    <t>较远</t>
    <phoneticPr fontId="26" type="noConversion"/>
  </si>
  <si>
    <t>远</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</si>
  <si>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</si>
  <si>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汕头监测指标情况一览表</t>
  </si>
  <si>
    <t>时间</t>
  </si>
  <si>
    <t>水平值</t>
  </si>
  <si>
    <t>环比增长率</t>
  </si>
  <si>
    <t>指数</t>
  </si>
  <si>
    <t>汕头市东海岸新城</t>
    <phoneticPr fontId="3" type="noConversion"/>
  </si>
  <si>
    <t>临近</t>
    <phoneticPr fontId="26" type="noConversion"/>
  </si>
  <si>
    <t>土地（套用方法）</t>
  </si>
  <si>
    <t>钢混</t>
  </si>
  <si>
    <t>按租金收入计税</t>
  </si>
  <si>
    <t>项目全部</t>
  </si>
  <si>
    <t>土地</t>
  </si>
  <si>
    <t>比较法-住宅、综合</t>
  </si>
  <si>
    <t>剩余法-待开发</t>
  </si>
  <si>
    <t>双面临街</t>
  </si>
  <si>
    <t>《国有土地使用证》[汕国用（2013）第10700250]</t>
  </si>
  <si>
    <t>《国有土地使用证》[汕国用（2013）第10700250]</t>
    <phoneticPr fontId="6" type="noConversion"/>
  </si>
  <si>
    <t>龙湖区海湾公园片区（335-00-02-096）</t>
    <phoneticPr fontId="6" type="noConversion"/>
  </si>
  <si>
    <t>住宅</t>
    <phoneticPr fontId="6" type="noConversion"/>
  </si>
  <si>
    <t>住宅、商业、地下车库</t>
    <phoneticPr fontId="6" type="noConversion"/>
  </si>
  <si>
    <t>广东锦峰地产投资有限公司</t>
    <phoneticPr fontId="6" type="noConversion"/>
  </si>
  <si>
    <t>《建设工程规划许可证》[[2014]汕规建字第015号]</t>
    <phoneticPr fontId="3" type="noConversion"/>
  </si>
  <si>
    <t>D地块</t>
    <phoneticPr fontId="3" type="noConversion"/>
  </si>
  <si>
    <t>平层住宅</t>
  </si>
  <si>
    <t>底商</t>
  </si>
  <si>
    <t>地下</t>
  </si>
  <si>
    <t>车库</t>
  </si>
  <si>
    <t>住宅</t>
    <phoneticPr fontId="7" type="noConversion"/>
  </si>
  <si>
    <t>商业</t>
    <phoneticPr fontId="7" type="noConversion"/>
  </si>
  <si>
    <t>车库</t>
    <phoneticPr fontId="7" type="noConversion"/>
  </si>
  <si>
    <t>住宅</t>
    <phoneticPr fontId="21" type="noConversion"/>
  </si>
  <si>
    <t>50-60（含）</t>
  </si>
  <si>
    <t>60-70（含）</t>
  </si>
  <si>
    <t>独栋别墅</t>
    <phoneticPr fontId="21" type="noConversion"/>
  </si>
  <si>
    <t>联排别墅</t>
    <phoneticPr fontId="21" type="noConversion"/>
  </si>
  <si>
    <t>叠拼别墅</t>
    <phoneticPr fontId="21" type="noConversion"/>
  </si>
  <si>
    <t>花园洋房</t>
    <phoneticPr fontId="21" type="noConversion"/>
  </si>
  <si>
    <t>普通住宅</t>
  </si>
  <si>
    <t>普通住宅</t>
    <phoneticPr fontId="21" type="noConversion"/>
  </si>
  <si>
    <t>钢</t>
    <phoneticPr fontId="21" type="noConversion"/>
  </si>
  <si>
    <t>钢混</t>
    <phoneticPr fontId="21" type="noConversion"/>
  </si>
  <si>
    <t>混合</t>
    <phoneticPr fontId="21" type="noConversion"/>
  </si>
  <si>
    <t>木</t>
    <phoneticPr fontId="21" type="noConversion"/>
  </si>
  <si>
    <t>高档</t>
  </si>
  <si>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</si>
  <si>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</si>
  <si>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</si>
  <si>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</si>
  <si>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</si>
  <si>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</si>
  <si>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</si>
  <si>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毛坯</t>
  </si>
  <si>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</si>
  <si>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</si>
  <si>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</si>
  <si>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</si>
  <si>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</si>
  <si>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</si>
  <si>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</si>
  <si>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</si>
  <si>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</si>
  <si>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</si>
  <si>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140-180</t>
    <phoneticPr fontId="21" type="noConversion"/>
  </si>
  <si>
    <t>180-240</t>
    <phoneticPr fontId="21" type="noConversion"/>
  </si>
  <si>
    <t>一线临海</t>
    <phoneticPr fontId="21" type="noConversion"/>
  </si>
  <si>
    <t>临近</t>
    <phoneticPr fontId="21" type="noConversion"/>
  </si>
  <si>
    <t>较远</t>
    <phoneticPr fontId="21" type="noConversion"/>
  </si>
  <si>
    <t>远</t>
    <phoneticPr fontId="21" type="noConversion"/>
  </si>
  <si>
    <t>豪华装修</t>
  </si>
  <si>
    <t>豪华装修</t>
    <phoneticPr fontId="21" type="noConversion"/>
  </si>
  <si>
    <t>毛坯</t>
    <phoneticPr fontId="21" type="noConversion"/>
  </si>
  <si>
    <t>临近</t>
    <phoneticPr fontId="21" type="noConversion"/>
  </si>
  <si>
    <t>售价</t>
  </si>
  <si>
    <t>120-140</t>
    <phoneticPr fontId="21" type="noConversion"/>
  </si>
  <si>
    <t>汕头市东海岸新城津河路与望洋山路交界处</t>
    <phoneticPr fontId="3" type="noConversion"/>
  </si>
  <si>
    <t>商业</t>
    <phoneticPr fontId="26" type="noConversion"/>
  </si>
  <si>
    <t>20-30（含）</t>
  </si>
  <si>
    <t>30-40（含）</t>
  </si>
  <si>
    <t>一般</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</si>
  <si>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</si>
  <si>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</si>
  <si>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</si>
  <si>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</si>
  <si>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t>
    </r>
    <phoneticPr fontId="26" type="noConversion"/>
  </si>
  <si>
    <t>综合体商业</t>
    <phoneticPr fontId="26" type="noConversion"/>
  </si>
  <si>
    <t>商业街商业</t>
    <phoneticPr fontId="26" type="noConversion"/>
  </si>
  <si>
    <t>钢</t>
    <phoneticPr fontId="26" type="noConversion"/>
  </si>
  <si>
    <t>钢混</t>
    <phoneticPr fontId="26" type="noConversion"/>
  </si>
  <si>
    <t>混合</t>
    <phoneticPr fontId="26" type="noConversion"/>
  </si>
  <si>
    <t>木</t>
    <phoneticPr fontId="26" type="noConversion"/>
  </si>
  <si>
    <t>豪华装修</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</si>
  <si>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</si>
  <si>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</si>
  <si>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</si>
  <si>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</si>
  <si>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</si>
  <si>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</si>
  <si>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</si>
  <si>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</si>
  <si>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住宅底商</t>
  </si>
  <si>
    <t>住宅底商</t>
    <phoneticPr fontId="26" type="noConversion"/>
  </si>
  <si>
    <t>挑高层高</t>
    <phoneticPr fontId="26" type="noConversion"/>
  </si>
  <si>
    <t>普通层高</t>
  </si>
  <si>
    <t>普通层高</t>
    <phoneticPr fontId="26" type="noConversion"/>
  </si>
  <si>
    <t>1层</t>
  </si>
  <si>
    <t>一般</t>
    <phoneticPr fontId="26" type="noConversion"/>
  </si>
  <si>
    <t>华润.九里</t>
    <phoneticPr fontId="3" type="noConversion"/>
  </si>
  <si>
    <t>君悦海湾</t>
    <phoneticPr fontId="3" type="noConversion"/>
  </si>
  <si>
    <t>汕头市东海岸新城滨海大道与津泰路交界北侧</t>
    <phoneticPr fontId="3" type="noConversion"/>
  </si>
  <si>
    <t>汕头市东海岸新城华侨大道</t>
    <phoneticPr fontId="3" type="noConversion"/>
  </si>
  <si>
    <t>不规则</t>
  </si>
  <si>
    <t>一线临海</t>
    <phoneticPr fontId="3" type="noConversion"/>
  </si>
  <si>
    <t>押一</t>
  </si>
  <si>
    <t>非个人房产</t>
  </si>
  <si>
    <t>比较因素</t>
  </si>
  <si>
    <t>估价对象</t>
  </si>
  <si>
    <r>
      <t>案例：</t>
    </r>
    <r>
      <rPr>
        <sz val="10.5"/>
        <color rgb="FFE36C0A"/>
        <rFont val="Arial"/>
        <family val="2"/>
      </rPr>
      <t>A</t>
    </r>
  </si>
  <si>
    <r>
      <t>案例：</t>
    </r>
    <r>
      <rPr>
        <sz val="10.5"/>
        <color rgb="FFE36C0A"/>
        <rFont val="Arial"/>
        <family val="2"/>
      </rPr>
      <t>B</t>
    </r>
  </si>
  <si>
    <r>
      <t>案例：</t>
    </r>
    <r>
      <rPr>
        <sz val="10.5"/>
        <color rgb="FFE36C0A"/>
        <rFont val="Arial"/>
        <family val="2"/>
      </rPr>
      <t>C</t>
    </r>
  </si>
  <si>
    <t>用途</t>
  </si>
  <si>
    <t>土地使用年限（年）</t>
  </si>
  <si>
    <t>区域因素</t>
  </si>
  <si>
    <t>个别因素</t>
  </si>
  <si>
    <t>锦峰项目D地块</t>
    <phoneticPr fontId="233" type="noConversion"/>
  </si>
  <si>
    <t>汕头市东海岸新区</t>
    <phoneticPr fontId="233" type="noConversion"/>
  </si>
  <si>
    <r>
      <rPr>
        <sz val="10.5"/>
        <color rgb="FF000000"/>
        <rFont val="宋体"/>
        <family val="3"/>
        <charset val="134"/>
      </rPr>
      <t>东海岸新城新津片区</t>
    </r>
    <r>
      <rPr>
        <sz val="10.5"/>
        <color rgb="FF000000"/>
        <rFont val="Arial"/>
        <family val="2"/>
      </rPr>
      <t>E</t>
    </r>
    <r>
      <rPr>
        <sz val="10.5"/>
        <color rgb="FF000000"/>
        <rFont val="宋体"/>
        <family val="3"/>
        <charset val="134"/>
      </rPr>
      <t>组团</t>
    </r>
    <phoneticPr fontId="233" type="noConversion"/>
  </si>
  <si>
    <t>汕头市东海岸新城</t>
    <phoneticPr fontId="3" type="noConversion"/>
  </si>
  <si>
    <t>汕头市东海岸新城</t>
    <phoneticPr fontId="233" type="noConversion"/>
  </si>
  <si>
    <r>
      <t>案例：</t>
    </r>
    <r>
      <rPr>
        <sz val="10.5"/>
        <color theme="1"/>
        <rFont val="Arial"/>
        <family val="2"/>
      </rPr>
      <t>A</t>
    </r>
  </si>
  <si>
    <r>
      <t>案例：</t>
    </r>
    <r>
      <rPr>
        <sz val="10.5"/>
        <color theme="1"/>
        <rFont val="Arial"/>
        <family val="2"/>
      </rPr>
      <t>B</t>
    </r>
  </si>
  <si>
    <r>
      <t>案例：</t>
    </r>
    <r>
      <rPr>
        <sz val="10.5"/>
        <color theme="1"/>
        <rFont val="Arial"/>
        <family val="2"/>
      </rPr>
      <t>C</t>
    </r>
  </si>
  <si>
    <t>100/</t>
  </si>
  <si>
    <r>
      <t>成交价格（元</t>
    </r>
    <r>
      <rPr>
        <sz val="10.5"/>
        <color theme="1"/>
        <rFont val="Arial"/>
        <family val="2"/>
      </rPr>
      <t>/</t>
    </r>
    <r>
      <rPr>
        <sz val="10.5"/>
        <color theme="1"/>
        <rFont val="仿宋"/>
        <family val="3"/>
        <charset val="134"/>
      </rPr>
      <t>平方米）</t>
    </r>
  </si>
  <si>
    <r>
      <t>比较价格（元</t>
    </r>
    <r>
      <rPr>
        <sz val="10.5"/>
        <color theme="1"/>
        <rFont val="Arial"/>
        <family val="2"/>
      </rPr>
      <t>/</t>
    </r>
    <r>
      <rPr>
        <sz val="10.5"/>
        <color theme="1"/>
        <rFont val="仿宋"/>
        <family val="3"/>
        <charset val="134"/>
      </rPr>
      <t>平方米）</t>
    </r>
  </si>
  <si>
    <r>
      <t>案例：</t>
    </r>
    <r>
      <rPr>
        <sz val="9"/>
        <color rgb="FF000000"/>
        <rFont val="Arial"/>
        <family val="2"/>
      </rPr>
      <t>A</t>
    </r>
  </si>
  <si>
    <r>
      <t>案例：</t>
    </r>
    <r>
      <rPr>
        <sz val="9"/>
        <color rgb="FF000000"/>
        <rFont val="Arial"/>
        <family val="2"/>
      </rPr>
      <t>B</t>
    </r>
  </si>
  <si>
    <r>
      <t>案例：</t>
    </r>
    <r>
      <rPr>
        <sz val="9"/>
        <color rgb="FF000000"/>
        <rFont val="Arial"/>
        <family val="2"/>
      </rPr>
      <t>C</t>
    </r>
  </si>
  <si>
    <t>系数</t>
  </si>
  <si>
    <t>主力户型面积</t>
    <phoneticPr fontId="233" type="noConversion"/>
  </si>
  <si>
    <t>合群.天合名门</t>
    <phoneticPr fontId="233" type="noConversion"/>
  </si>
  <si>
    <t>汕头市东海岸大道中段</t>
    <phoneticPr fontId="3" type="noConversion"/>
  </si>
  <si>
    <t>汕头市东海岸大道中段</t>
    <phoneticPr fontId="233" type="noConversion"/>
  </si>
  <si>
    <t>保利.和府</t>
    <phoneticPr fontId="233" type="noConversion"/>
  </si>
  <si>
    <t>汕头市东海岸大道</t>
    <phoneticPr fontId="3" type="noConversion"/>
  </si>
  <si>
    <t>汕头市东海岸大道</t>
    <phoneticPr fontId="233" type="noConversion"/>
  </si>
  <si>
    <t>龙光.御海天辰</t>
    <phoneticPr fontId="233" type="noConversion"/>
  </si>
  <si>
    <r>
      <t>案例：</t>
    </r>
    <r>
      <rPr>
        <sz val="10"/>
        <color theme="1"/>
        <rFont val="Arial"/>
        <family val="2"/>
      </rPr>
      <t>A</t>
    </r>
  </si>
  <si>
    <r>
      <t>案例：</t>
    </r>
    <r>
      <rPr>
        <sz val="10"/>
        <color theme="1"/>
        <rFont val="Arial"/>
        <family val="2"/>
      </rPr>
      <t>B</t>
    </r>
  </si>
  <si>
    <r>
      <t>案例：</t>
    </r>
    <r>
      <rPr>
        <sz val="10"/>
        <color theme="1"/>
        <rFont val="Arial"/>
        <family val="2"/>
      </rPr>
      <t>C</t>
    </r>
  </si>
  <si>
    <r>
      <t>销售价格（元</t>
    </r>
    <r>
      <rPr>
        <sz val="10"/>
        <color theme="1"/>
        <rFont val="Arial"/>
        <family val="2"/>
      </rPr>
      <t>/</t>
    </r>
    <r>
      <rPr>
        <sz val="10"/>
        <color theme="1"/>
        <rFont val="仿宋_GB2312"/>
        <family val="3"/>
        <charset val="134"/>
      </rPr>
      <t>平方米）</t>
    </r>
  </si>
  <si>
    <r>
      <t>比较价值（元</t>
    </r>
    <r>
      <rPr>
        <sz val="10"/>
        <color theme="1"/>
        <rFont val="Arial"/>
        <family val="2"/>
      </rPr>
      <t>/</t>
    </r>
    <r>
      <rPr>
        <sz val="10"/>
        <color theme="1"/>
        <rFont val="仿宋_GB2312"/>
        <family val="3"/>
        <charset val="134"/>
      </rPr>
      <t>平方米）格</t>
    </r>
  </si>
  <si>
    <r>
      <t>楼面单价（元</t>
    </r>
    <r>
      <rPr>
        <sz val="10"/>
        <color theme="1"/>
        <rFont val="Arial"/>
        <family val="2"/>
      </rPr>
      <t>/</t>
    </r>
    <r>
      <rPr>
        <sz val="10"/>
        <color theme="1"/>
        <rFont val="仿宋_GB2312"/>
        <family val="3"/>
        <charset val="134"/>
      </rPr>
      <t>平方米）</t>
    </r>
  </si>
  <si>
    <r>
      <rPr>
        <sz val="10"/>
        <color theme="1"/>
        <rFont val="宋体"/>
        <family val="3"/>
        <charset val="134"/>
      </rPr>
      <t>合群</t>
    </r>
    <r>
      <rPr>
        <sz val="10"/>
        <color theme="1"/>
        <rFont val="Arial"/>
        <family val="2"/>
      </rPr>
      <t>.</t>
    </r>
    <r>
      <rPr>
        <sz val="10"/>
        <color theme="1"/>
        <rFont val="宋体"/>
        <family val="3"/>
        <charset val="134"/>
      </rPr>
      <t>天合名门</t>
    </r>
    <phoneticPr fontId="233" type="noConversion"/>
  </si>
  <si>
    <r>
      <rPr>
        <sz val="10"/>
        <color theme="1"/>
        <rFont val="宋体"/>
        <family val="3"/>
        <charset val="134"/>
      </rPr>
      <t>保利</t>
    </r>
    <r>
      <rPr>
        <sz val="10"/>
        <color theme="1"/>
        <rFont val="Arial"/>
        <family val="2"/>
      </rPr>
      <t>.</t>
    </r>
    <r>
      <rPr>
        <sz val="10"/>
        <color theme="1"/>
        <rFont val="宋体"/>
        <family val="3"/>
        <charset val="134"/>
      </rPr>
      <t>和府</t>
    </r>
    <phoneticPr fontId="233" type="noConversion"/>
  </si>
  <si>
    <t>龙光.御海天辰</t>
    <phoneticPr fontId="3" type="noConversion"/>
  </si>
  <si>
    <r>
      <rPr>
        <sz val="10"/>
        <color theme="1"/>
        <rFont val="宋体"/>
        <family val="3"/>
        <charset val="134"/>
      </rPr>
      <t>龙光</t>
    </r>
    <r>
      <rPr>
        <sz val="10"/>
        <color theme="1"/>
        <rFont val="Arial"/>
        <family val="2"/>
      </rPr>
      <t>.</t>
    </r>
    <r>
      <rPr>
        <sz val="10"/>
        <color theme="1"/>
        <rFont val="宋体"/>
        <family val="3"/>
        <charset val="134"/>
      </rPr>
      <t>御海天辰</t>
    </r>
    <phoneticPr fontId="233" type="noConversion"/>
  </si>
  <si>
    <t>龙光.御海尚品</t>
    <phoneticPr fontId="3" type="noConversion"/>
  </si>
  <si>
    <t>可视性</t>
    <phoneticPr fontId="233" type="noConversion"/>
  </si>
  <si>
    <t>龙光.御海尚品</t>
    <phoneticPr fontId="233" type="noConversion"/>
  </si>
  <si>
    <t>汕头市东海岸新城津河路与望洋山路交界处</t>
    <phoneticPr fontId="233" type="noConversion"/>
  </si>
  <si>
    <t>华润.九里</t>
    <phoneticPr fontId="233" type="noConversion"/>
  </si>
  <si>
    <t>汕头市东海岸新城华侨大道</t>
    <phoneticPr fontId="233" type="noConversion"/>
  </si>
  <si>
    <t>君悦海湾</t>
    <phoneticPr fontId="233" type="noConversion"/>
  </si>
  <si>
    <t>汕头市东海岸新城滨海大道与津泰路交界北侧</t>
    <phoneticPr fontId="233" type="noConversion"/>
  </si>
  <si>
    <t>案例：G</t>
    <phoneticPr fontId="233" type="noConversion"/>
  </si>
  <si>
    <t>案例：H</t>
    <phoneticPr fontId="233" type="noConversion"/>
  </si>
  <si>
    <t>案例：I</t>
    <phoneticPr fontId="233" type="noConversion"/>
  </si>
  <si>
    <r>
      <rPr>
        <sz val="10"/>
        <color theme="1"/>
        <rFont val="宋体"/>
        <family val="3"/>
        <charset val="134"/>
      </rPr>
      <t>龙光</t>
    </r>
    <r>
      <rPr>
        <sz val="10"/>
        <color theme="1"/>
        <rFont val="Arial"/>
        <family val="2"/>
      </rPr>
      <t>.</t>
    </r>
    <r>
      <rPr>
        <sz val="10"/>
        <color theme="1"/>
        <rFont val="宋体"/>
        <family val="3"/>
        <charset val="134"/>
      </rPr>
      <t>御海尚品</t>
    </r>
    <phoneticPr fontId="233" type="noConversion"/>
  </si>
  <si>
    <r>
      <rPr>
        <sz val="10"/>
        <color theme="1"/>
        <rFont val="宋体"/>
        <family val="3"/>
        <charset val="134"/>
      </rPr>
      <t>华润</t>
    </r>
    <r>
      <rPr>
        <sz val="10"/>
        <color theme="1"/>
        <rFont val="Arial"/>
        <family val="2"/>
      </rPr>
      <t>.</t>
    </r>
    <r>
      <rPr>
        <sz val="10"/>
        <color theme="1"/>
        <rFont val="宋体"/>
        <family val="3"/>
        <charset val="134"/>
      </rPr>
      <t>九里</t>
    </r>
    <phoneticPr fontId="233" type="noConversion"/>
  </si>
  <si>
    <t>保利.和府</t>
    <phoneticPr fontId="3" type="noConversion"/>
  </si>
  <si>
    <t>住宅55.5年、商业25.5年</t>
    <phoneticPr fontId="6" type="noConversion"/>
  </si>
  <si>
    <t>东海岸新城新津片区E组团</t>
    <phoneticPr fontId="3" type="noConversion"/>
  </si>
  <si>
    <t>合群.天合名门</t>
    <phoneticPr fontId="3" type="noConversion"/>
  </si>
  <si>
    <t>汕头市东海岸新城新津片区A组团A01-08</t>
    <phoneticPr fontId="3" type="noConversion"/>
  </si>
  <si>
    <r>
      <t>估价对象</t>
    </r>
    <r>
      <rPr>
        <sz val="10.5"/>
        <color theme="1"/>
        <rFont val="Arial"/>
        <family val="2"/>
      </rPr>
      <t>1</t>
    </r>
  </si>
  <si>
    <r>
      <t>案例</t>
    </r>
    <r>
      <rPr>
        <sz val="10.5"/>
        <color theme="1"/>
        <rFont val="Arial"/>
        <family val="2"/>
      </rPr>
      <t>A</t>
    </r>
  </si>
  <si>
    <r>
      <t>案例</t>
    </r>
    <r>
      <rPr>
        <sz val="10.5"/>
        <color theme="1"/>
        <rFont val="Arial"/>
        <family val="2"/>
      </rPr>
      <t>B</t>
    </r>
  </si>
  <si>
    <r>
      <t>案例</t>
    </r>
    <r>
      <rPr>
        <sz val="10.5"/>
        <color theme="1"/>
        <rFont val="Arial"/>
        <family val="2"/>
      </rPr>
      <t>C</t>
    </r>
  </si>
  <si>
    <t>交易时间</t>
  </si>
  <si>
    <t>交易情况</t>
  </si>
  <si>
    <t>土地用途</t>
  </si>
  <si>
    <t>土地使用年限</t>
  </si>
  <si>
    <t>周边分布有合群.天合名门、保利.和府、龙光•御海天宸、锦峰新城、柏嘉半岛一期等多个成熟社区，入住率较好，居住社区成熟度较好;</t>
    <phoneticPr fontId="233" type="noConversion"/>
  </si>
  <si>
    <t>估价对象周边商业项目有旺家福购物、佳缘百货商场等，商服繁华程度一般;</t>
    <phoneticPr fontId="233" type="noConversion"/>
  </si>
  <si>
    <t>估价对象位于龙湖区东南角，西距汕汾高速路约1000米，东距新津港约800米，路网密集度一般。周边有15路、19路、20路、31路等公交线路，整体交通便捷度一般</t>
    <phoneticPr fontId="233" type="noConversion"/>
  </si>
  <si>
    <t>区域内有方特欢乐世界蓝水星、锦峰•柏嘉运动公园、将军宫、新津河，估价对象紧邻汕头海海岸线，自然及人文环境好;</t>
    <phoneticPr fontId="233" type="noConversion"/>
  </si>
  <si>
    <t>区域内有购物场所（旺家福购物、佳缘百货商场等）、银行（中国信合、广东农村信用社等）、学校（永安幼儿园、永安小学、汕头金中华侨实验区学校、汕头职业技术学院等）、餐饮等公共服务配套设施，公共配套设施状况一般；</t>
    <phoneticPr fontId="233" type="noConversion"/>
  </si>
  <si>
    <t>龙湖区目前已拥有完善的基础设施配套保障，区内大部分区域基础设施配套目前可达到“六通”；</t>
    <phoneticPr fontId="233" type="noConversion"/>
  </si>
  <si>
    <t>多面临街</t>
    <phoneticPr fontId="233" type="noConversion"/>
  </si>
  <si>
    <t>双面临街</t>
    <phoneticPr fontId="233" type="noConversion"/>
  </si>
  <si>
    <t>六通</t>
    <phoneticPr fontId="233" type="noConversion"/>
  </si>
  <si>
    <t>一线临海</t>
    <phoneticPr fontId="233" type="noConversion"/>
  </si>
  <si>
    <t>临近</t>
    <phoneticPr fontId="233" type="noConversion"/>
  </si>
  <si>
    <t>周边1公里范围内分布有保利.和府、龙光.御海天宸、合群.天合名门等在建住宅项目，居住社区成熟度一般；</t>
    <phoneticPr fontId="233" type="noConversion"/>
  </si>
  <si>
    <t>周边无已建成大型商业，多以社区底商为主，商服繁华程度较差；</t>
    <phoneticPr fontId="233" type="noConversion"/>
  </si>
  <si>
    <t>周边有15路、19路等公交线路，整体交通便捷度一般；</t>
    <phoneticPr fontId="233" type="noConversion"/>
  </si>
  <si>
    <t>所处区域土地以住宅、商业用地为主，区域土地利用方向一致性较好；</t>
    <phoneticPr fontId="233" type="noConversion"/>
  </si>
  <si>
    <t>所处区域土地以住宅、商业用地为主，区域土地利用方向一致性较好；</t>
    <phoneticPr fontId="233" type="noConversion"/>
  </si>
  <si>
    <t>区域南部为汕头海湾，自然环境好；区域内无高等院校，人文环境一般；综合自然及人文环境好；</t>
    <phoneticPr fontId="233" type="noConversion"/>
  </si>
  <si>
    <t>区域内有购物场所、学校（汕头金中华侨实验区学校）、餐饮等公共服务配套设施，公共配套设施状况较差；</t>
    <phoneticPr fontId="233" type="noConversion"/>
  </si>
  <si>
    <t>锦峰项目D地块</t>
    <phoneticPr fontId="233" type="noConversion"/>
  </si>
  <si>
    <t>汕头市东海岸新区</t>
    <phoneticPr fontId="233" type="noConversion"/>
  </si>
  <si>
    <t>住宅、商业</t>
    <phoneticPr fontId="233" type="noConversion"/>
  </si>
  <si>
    <r>
      <rPr>
        <sz val="10.5"/>
        <color rgb="FF000000"/>
        <rFont val="宋体"/>
        <family val="3"/>
        <charset val="134"/>
      </rPr>
      <t>东海岸新城新津片区</t>
    </r>
    <r>
      <rPr>
        <sz val="10.5"/>
        <color rgb="FF000000"/>
        <rFont val="Arial"/>
        <family val="2"/>
      </rPr>
      <t>E</t>
    </r>
    <r>
      <rPr>
        <sz val="10.5"/>
        <color rgb="FF000000"/>
        <rFont val="宋体"/>
        <family val="3"/>
        <charset val="134"/>
      </rPr>
      <t>组团</t>
    </r>
    <phoneticPr fontId="233" type="noConversion"/>
  </si>
  <si>
    <t>汕头市龙湖区东海岸新城新津片区E组团</t>
    <phoneticPr fontId="233" type="noConversion"/>
  </si>
  <si>
    <t>汕头市东海岸新城新津片区A组团A01-08</t>
    <phoneticPr fontId="233" type="noConversion"/>
  </si>
  <si>
    <t>汕头市龙湖区东海岸新城新津片区A组团A01-08号地块</t>
    <phoneticPr fontId="233" type="noConversion"/>
  </si>
  <si>
    <t>周边1公里范围内分布有保利.和府、龙光.御海天宸、合群.天合名门等在建住宅项目，居住社区成熟度一般；</t>
    <phoneticPr fontId="233" type="noConversion"/>
  </si>
  <si>
    <t>周边无已建成大型商业，多以社区底商为主，商服繁华程度较差；</t>
    <phoneticPr fontId="233" type="noConversion"/>
  </si>
  <si>
    <t>周边有15路、19路等公交线路，整体交通便捷度一般；</t>
    <phoneticPr fontId="233" type="noConversion"/>
  </si>
  <si>
    <t>区域南部为汕头海湾，自然环境好；区域内无高等院校，人文环境一般；综合自然及人文环境好；</t>
    <phoneticPr fontId="233" type="noConversion"/>
  </si>
  <si>
    <t>区域内有购物场所、学校（汕头金中华侨实验区学校）、餐饮等公共服务配套设施，公共配套设施状况较差；</t>
    <phoneticPr fontId="233" type="noConversion"/>
  </si>
  <si>
    <t>周边1公里范围内分布有锦峰珑玺、怡轩.壹品湾、君悦海湾等住宅项目，居住社区成熟度较好；</t>
    <phoneticPr fontId="233" type="noConversion"/>
  </si>
  <si>
    <t>周边商业项目有旺家福购物、佳缘百货商场等，商服繁华程度一般；</t>
    <phoneticPr fontId="233" type="noConversion"/>
  </si>
  <si>
    <t>周边有15路、19路、20路、31路等公交线路，整体交通便捷度一般；</t>
    <phoneticPr fontId="233" type="noConversion"/>
  </si>
  <si>
    <t>锦峰项目D地块</t>
    <phoneticPr fontId="233" type="noConversion"/>
  </si>
  <si>
    <t>等  级  划  分</t>
  </si>
  <si>
    <t>每等级向下修正幅度</t>
  </si>
  <si>
    <t>好</t>
    <phoneticPr fontId="233" type="noConversion"/>
  </si>
  <si>
    <t>较好</t>
    <phoneticPr fontId="233" type="noConversion"/>
  </si>
  <si>
    <t>一般</t>
    <phoneticPr fontId="233" type="noConversion"/>
  </si>
  <si>
    <t>较差</t>
    <phoneticPr fontId="233" type="noConversion"/>
  </si>
  <si>
    <t>差</t>
    <phoneticPr fontId="233" type="noConversion"/>
  </si>
  <si>
    <t>一致</t>
    <phoneticPr fontId="233" type="noConversion"/>
  </si>
  <si>
    <t>较一致</t>
    <phoneticPr fontId="233" type="noConversion"/>
  </si>
  <si>
    <t>较不一致</t>
    <phoneticPr fontId="233" type="noConversion"/>
  </si>
  <si>
    <t>不一致</t>
    <phoneticPr fontId="233" type="noConversion"/>
  </si>
  <si>
    <t>极不一致</t>
    <phoneticPr fontId="233" type="noConversion"/>
  </si>
  <si>
    <t>七通</t>
    <phoneticPr fontId="233" type="noConversion"/>
  </si>
  <si>
    <t>五通</t>
    <phoneticPr fontId="233" type="noConversion"/>
  </si>
  <si>
    <t>四通</t>
    <phoneticPr fontId="233" type="noConversion"/>
  </si>
  <si>
    <t>三通</t>
    <phoneticPr fontId="233" type="noConversion"/>
  </si>
  <si>
    <t>多面临街</t>
    <phoneticPr fontId="233" type="noConversion"/>
  </si>
  <si>
    <t>双面临街</t>
    <phoneticPr fontId="233" type="noConversion"/>
  </si>
  <si>
    <t>单面临街</t>
    <phoneticPr fontId="233" type="noConversion"/>
  </si>
  <si>
    <t>不临街</t>
    <phoneticPr fontId="233" type="noConversion"/>
  </si>
  <si>
    <t>120000以上</t>
    <phoneticPr fontId="233" type="noConversion"/>
  </si>
  <si>
    <t>120000（含）-90000</t>
    <phoneticPr fontId="233" type="noConversion"/>
  </si>
  <si>
    <t>90000（含）-60000</t>
    <phoneticPr fontId="233" type="noConversion"/>
  </si>
  <si>
    <t>60000（含）-30000</t>
    <phoneticPr fontId="233" type="noConversion"/>
  </si>
  <si>
    <t>30000（含）以下</t>
    <phoneticPr fontId="233" type="noConversion"/>
  </si>
  <si>
    <t>规则</t>
    <phoneticPr fontId="233" type="noConversion"/>
  </si>
  <si>
    <t>较规则</t>
    <phoneticPr fontId="233" type="noConversion"/>
  </si>
  <si>
    <t>较不规则</t>
    <phoneticPr fontId="233" type="noConversion"/>
  </si>
  <si>
    <t>不规则</t>
    <phoneticPr fontId="233" type="noConversion"/>
  </si>
  <si>
    <t>极不规则</t>
    <phoneticPr fontId="233" type="noConversion"/>
  </si>
  <si>
    <t>一线临海</t>
    <phoneticPr fontId="233" type="noConversion"/>
  </si>
  <si>
    <t>临近</t>
    <phoneticPr fontId="233" type="noConversion"/>
  </si>
  <si>
    <t>远离</t>
    <phoneticPr fontId="233" type="noConversion"/>
  </si>
  <si>
    <t>2（含）-4</t>
    <phoneticPr fontId="233" type="noConversion"/>
  </si>
  <si>
    <t>4（含）-6</t>
    <phoneticPr fontId="233" type="noConversion"/>
  </si>
  <si>
    <t>6（含）-8</t>
    <phoneticPr fontId="233" type="noConversion"/>
  </si>
  <si>
    <t>2以下</t>
    <phoneticPr fontId="233" type="noConversion"/>
  </si>
  <si>
    <t>8以上</t>
    <phoneticPr fontId="233" type="noConversion"/>
  </si>
  <si>
    <t>待估宗地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</si>
</sst>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
      <sz val="10.5"/>
      <color rgb="FF000000"/>
      <name val="仿宋"/>
      <family val="3"/>
      <charset val="134"/>
    </font>
    <font>
      <sz val="10.5"/>
      <color rgb="FF000000"/>
      <name val="Arial"/>
      <family val="2"/>
    </font>
    <font>
      <sz val="10.5"/>
      <color rgb="FFE36C0A"/>
      <name val="仿宋"/>
      <family val="3"/>
      <charset val="134"/>
    </font>
    <font>
      <sz val="10.5"/>
      <color rgb="FFE36C0A"/>
      <name val="Arial"/>
      <family val="2"/>
    </font>
    <font>
      <sz val="10.5"/>
      <color rgb="FF000000"/>
      <name val="宋体"/>
      <family val="3"/>
      <charset val="134"/>
    </font>
    <font>
      <sz val="10.5"/>
      <color theme="1"/>
      <name val="仿宋"/>
      <family val="3"/>
      <charset val="134"/>
    </font>
    <font>
      <sz val="10.5"/>
      <color theme="1"/>
      <name val="Arial"/>
      <family val="2"/>
    </font>
    <font>
      <sz val="9"/>
      <color rgb="FF000000"/>
      <name val="仿宋_GB2312"/>
      <family val="3"/>
      <charset val="134"/>
    </font>
    <font>
      <sz val="9"/>
      <color rgb="FF000000"/>
      <name val="Arial"/>
      <family val="2"/>
    </font>
    <font>
      <sz val="9"/>
      <color rgb="FFE36C0A"/>
      <name val="仿宋_GB2312"/>
      <family val="3"/>
      <charset val="134"/>
    </font>
    <font>
      <sz val="9"/>
      <color rgb="FF000000"/>
      <name val="宋体"/>
      <family val="3"/>
      <charset val="134"/>
    </font>
    <font>
      <sz val="10"/>
      <color theme="1"/>
      <name val="Calibri"/>
      <family val="2"/>
    </font>
    <font>
      <sz val="12"/>
      <color theme="1"/>
      <name val="Times New Roman"/>
      <family val="1"/>
    </font>
    <font>
      <sz val="10.5"/>
      <color rgb="FF00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8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indexed="64"/>
      </left>
      <right/>
      <top style="medium">
        <color indexed="64"/>
      </top>
      <bottom style="medium">
        <color rgb="FF000000"/>
      </bottom>
      <diagonal/>
    </border>
    <border>
      <left style="medium">
        <color rgb="FF000000"/>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0" fontId="144" fillId="0" borderId="5"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279" fillId="0" borderId="0" xfId="0" applyFont="1" applyAlignment="1">
      <alignment horizontal="left" vertical="center" wrapText="1"/>
    </xf>
    <xf numFmtId="0" fontId="279" fillId="0" borderId="155"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84" fillId="19" borderId="50" xfId="0" applyNumberFormat="1" applyFont="1" applyFill="1" applyBorder="1" applyAlignment="1" applyProtection="1">
      <alignment horizontal="center" vertical="center" wrapText="1"/>
      <protection locked="0"/>
    </xf>
    <xf numFmtId="181" fontId="85" fillId="19" borderId="25" xfId="0" applyNumberFormat="1"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181" fontId="152" fillId="19" borderId="2" xfId="0" applyNumberFormat="1" applyFont="1" applyFill="1" applyBorder="1" applyAlignment="1" applyProtection="1">
      <alignment horizontal="center" vertical="center"/>
      <protection locked="0"/>
    </xf>
    <xf numFmtId="177" fontId="71" fillId="19" borderId="2" xfId="2" applyNumberFormat="1" applyFont="1" applyFill="1" applyBorder="1" applyAlignment="1" applyProtection="1">
      <alignment horizontal="center" vertical="center"/>
      <protection locked="0"/>
    </xf>
    <xf numFmtId="181" fontId="71" fillId="19" borderId="12" xfId="0" applyNumberFormat="1" applyFont="1" applyFill="1" applyBorder="1" applyAlignment="1" applyProtection="1">
      <alignment vertical="center"/>
      <protection locked="0"/>
    </xf>
    <xf numFmtId="0" fontId="106" fillId="19" borderId="16" xfId="0" applyNumberFormat="1" applyFont="1" applyFill="1" applyBorder="1" applyAlignment="1" applyProtection="1">
      <alignment horizontal="center" vertical="center" wrapText="1"/>
      <protection locked="0"/>
    </xf>
    <xf numFmtId="49" fontId="84" fillId="19" borderId="11" xfId="0" applyNumberFormat="1" applyFont="1" applyFill="1" applyBorder="1" applyAlignment="1" applyProtection="1">
      <alignment horizontal="center" vertical="center" wrapText="1"/>
      <protection locked="0"/>
    </xf>
    <xf numFmtId="0" fontId="71" fillId="19" borderId="64" xfId="0" applyNumberFormat="1" applyFont="1" applyFill="1" applyBorder="1" applyAlignment="1" applyProtection="1">
      <alignment horizontal="center" vertical="center" wrapText="1"/>
      <protection locked="0"/>
    </xf>
    <xf numFmtId="0" fontId="84" fillId="19" borderId="1" xfId="0" applyNumberFormat="1" applyFont="1" applyFill="1" applyBorder="1" applyAlignment="1" applyProtection="1">
      <alignment horizontal="center" vertical="center" wrapText="1"/>
      <protection locked="0"/>
    </xf>
    <xf numFmtId="0" fontId="281" fillId="0" borderId="161" xfId="0" applyFont="1" applyBorder="1" applyAlignment="1">
      <alignment vertical="center" wrapText="1"/>
    </xf>
    <xf numFmtId="14" fontId="281" fillId="0" borderId="161" xfId="0" applyNumberFormat="1" applyFont="1" applyBorder="1" applyAlignment="1">
      <alignment vertical="center" wrapText="1"/>
    </xf>
    <xf numFmtId="49" fontId="281" fillId="0" borderId="161" xfId="0" applyNumberFormat="1" applyFont="1" applyBorder="1" applyAlignment="1">
      <alignment vertical="center" wrapText="1"/>
    </xf>
    <xf numFmtId="9" fontId="281" fillId="0" borderId="161" xfId="0" applyNumberFormat="1" applyFont="1" applyBorder="1" applyAlignment="1">
      <alignment vertical="center" wrapText="1"/>
    </xf>
    <xf numFmtId="0" fontId="281" fillId="0" borderId="161" xfId="0" applyNumberFormat="1" applyFont="1" applyBorder="1" applyAlignment="1">
      <alignment vertical="center" wrapText="1"/>
    </xf>
    <xf numFmtId="0" fontId="289" fillId="0" borderId="66" xfId="0" applyFont="1" applyBorder="1" applyAlignment="1">
      <alignment horizontal="center" vertical="center" wrapText="1"/>
    </xf>
    <xf numFmtId="0" fontId="288" fillId="0" borderId="66" xfId="0" applyFont="1" applyBorder="1" applyAlignment="1">
      <alignment horizontal="center" vertical="center" wrapText="1"/>
    </xf>
    <xf numFmtId="0" fontId="287" fillId="0" borderId="66" xfId="0" applyFont="1" applyBorder="1" applyAlignment="1">
      <alignment horizontal="center" vertical="center" wrapText="1"/>
    </xf>
    <xf numFmtId="0" fontId="288" fillId="0" borderId="66" xfId="0" applyFont="1" applyBorder="1" applyAlignment="1">
      <alignment horizontal="center" vertical="center"/>
    </xf>
    <xf numFmtId="0" fontId="288" fillId="0" borderId="66" xfId="0" applyFont="1" applyBorder="1">
      <alignment vertical="center"/>
    </xf>
    <xf numFmtId="0" fontId="288" fillId="0" borderId="66" xfId="0" applyNumberFormat="1" applyFont="1" applyBorder="1" applyAlignment="1">
      <alignment horizontal="center" vertical="center" wrapText="1"/>
    </xf>
    <xf numFmtId="188" fontId="288" fillId="0" borderId="66" xfId="0" applyNumberFormat="1" applyFont="1" applyBorder="1" applyAlignment="1">
      <alignment horizontal="center" vertical="center" wrapText="1"/>
    </xf>
    <xf numFmtId="0" fontId="290" fillId="0" borderId="66" xfId="0" applyFont="1" applyBorder="1">
      <alignment vertical="center"/>
    </xf>
    <xf numFmtId="49" fontId="288" fillId="0" borderId="66" xfId="0" applyNumberFormat="1" applyFont="1" applyBorder="1" applyAlignment="1">
      <alignment horizontal="center" vertical="center" wrapText="1"/>
    </xf>
    <xf numFmtId="49" fontId="287" fillId="0" borderId="66" xfId="0" applyNumberFormat="1" applyFont="1" applyBorder="1" applyAlignment="1">
      <alignment horizontal="center" vertical="center" wrapText="1"/>
    </xf>
    <xf numFmtId="0" fontId="152" fillId="0" borderId="61" xfId="0" applyFont="1" applyBorder="1" applyAlignment="1">
      <alignment vertical="center" wrapText="1"/>
    </xf>
    <xf numFmtId="0" fontId="152" fillId="0" borderId="66" xfId="0" applyFont="1" applyBorder="1" applyAlignment="1">
      <alignment vertical="top" wrapText="1"/>
    </xf>
    <xf numFmtId="0" fontId="152" fillId="0" borderId="66" xfId="0" applyFont="1" applyBorder="1" applyAlignment="1"/>
    <xf numFmtId="0" fontId="285" fillId="0" borderId="2" xfId="0" applyFont="1" applyBorder="1">
      <alignment vertical="center"/>
    </xf>
    <xf numFmtId="0" fontId="285" fillId="0" borderId="2" xfId="0" applyFont="1" applyBorder="1" applyAlignment="1">
      <alignment vertical="center" wrapText="1"/>
    </xf>
    <xf numFmtId="14" fontId="286" fillId="0" borderId="2" xfId="0" applyNumberFormat="1" applyFont="1" applyBorder="1" applyAlignment="1">
      <alignment vertical="center" wrapText="1"/>
    </xf>
    <xf numFmtId="0" fontId="286" fillId="0" borderId="2" xfId="0" applyFont="1" applyBorder="1" applyAlignment="1">
      <alignment vertical="center" wrapText="1"/>
    </xf>
    <xf numFmtId="0" fontId="0" fillId="0" borderId="2" xfId="0" applyBorder="1">
      <alignment vertical="center"/>
    </xf>
    <xf numFmtId="0" fontId="285" fillId="0" borderId="2" xfId="0" applyFont="1" applyFill="1" applyBorder="1" applyAlignment="1">
      <alignment vertical="center" wrapText="1"/>
    </xf>
    <xf numFmtId="0" fontId="292" fillId="0" borderId="0" xfId="0" applyFont="1" applyAlignment="1">
      <alignment vertical="center" wrapText="1"/>
    </xf>
    <xf numFmtId="0" fontId="293" fillId="0" borderId="2" xfId="0" applyFont="1" applyBorder="1" applyAlignment="1">
      <alignment vertical="center" wrapText="1"/>
    </xf>
    <xf numFmtId="0" fontId="198" fillId="0" borderId="2" xfId="0" applyFont="1" applyBorder="1" applyAlignment="1">
      <alignment vertical="center" wrapText="1"/>
    </xf>
    <xf numFmtId="9" fontId="198" fillId="0" borderId="2" xfId="0" applyNumberFormat="1" applyFont="1" applyBorder="1" applyAlignment="1">
      <alignment vertical="center" wrapText="1"/>
    </xf>
    <xf numFmtId="0" fontId="198" fillId="0" borderId="2" xfId="0" applyFont="1" applyFill="1" applyBorder="1" applyAlignment="1">
      <alignment vertical="center" wrapText="1"/>
    </xf>
    <xf numFmtId="0" fontId="145" fillId="0" borderId="2" xfId="0" applyFont="1" applyBorder="1" applyAlignment="1">
      <alignment vertical="center"/>
    </xf>
    <xf numFmtId="9" fontId="0" fillId="0" borderId="2" xfId="0" applyNumberFormat="1" applyBorder="1">
      <alignment vertical="center"/>
    </xf>
    <xf numFmtId="0" fontId="291" fillId="0" borderId="0" xfId="0" applyFont="1" applyAlignment="1">
      <alignment vertical="center" wrapText="1"/>
    </xf>
    <xf numFmtId="0" fontId="286" fillId="0" borderId="66" xfId="0" applyFont="1" applyBorder="1" applyAlignment="1">
      <alignment horizontal="center" vertical="center" wrapText="1"/>
    </xf>
    <xf numFmtId="0" fontId="283" fillId="0" borderId="66" xfId="0" applyFont="1" applyBorder="1" applyAlignment="1">
      <alignment horizontal="center" vertical="center" wrapText="1"/>
    </xf>
    <xf numFmtId="0" fontId="293" fillId="0" borderId="66" xfId="0" applyFont="1" applyBorder="1" applyAlignment="1">
      <alignment vertical="center" wrapText="1"/>
    </xf>
    <xf numFmtId="0" fontId="281" fillId="0" borderId="66" xfId="0" applyFont="1" applyBorder="1" applyAlignment="1">
      <alignment horizontal="center" vertical="center" wrapText="1"/>
    </xf>
    <xf numFmtId="0" fontId="286" fillId="0" borderId="166" xfId="0" applyFont="1" applyBorder="1" applyAlignment="1">
      <alignment horizontal="left" vertical="center" wrapText="1"/>
    </xf>
    <xf numFmtId="0" fontId="283" fillId="0" borderId="161" xfId="0" applyFont="1" applyBorder="1" applyAlignment="1">
      <alignment horizontal="left" vertical="center" wrapText="1"/>
    </xf>
    <xf numFmtId="0" fontId="281" fillId="0" borderId="161" xfId="0" applyFont="1" applyBorder="1" applyAlignment="1">
      <alignment horizontal="left"/>
    </xf>
    <xf numFmtId="0" fontId="262" fillId="5" borderId="10" xfId="14"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93" fillId="0" borderId="35" xfId="0" applyFont="1" applyBorder="1" applyAlignment="1">
      <alignment horizontal="center" vertical="center" wrapText="1"/>
    </xf>
    <xf numFmtId="0" fontId="293" fillId="0" borderId="79" xfId="0" applyFont="1" applyBorder="1" applyAlignment="1">
      <alignment horizontal="center" vertical="center" wrapText="1"/>
    </xf>
    <xf numFmtId="0" fontId="293" fillId="0" borderId="80" xfId="0" applyFont="1" applyBorder="1" applyAlignment="1">
      <alignment horizontal="center" vertical="center" wrapText="1"/>
    </xf>
    <xf numFmtId="0" fontId="196" fillId="0" borderId="79" xfId="0" applyFont="1" applyBorder="1" applyAlignment="1">
      <alignment horizontal="center" vertical="center" wrapText="1"/>
    </xf>
    <xf numFmtId="0" fontId="196" fillId="0" borderId="178" xfId="0" applyFont="1" applyBorder="1" applyAlignment="1">
      <alignment horizontal="center" vertical="center" wrapText="1"/>
    </xf>
    <xf numFmtId="0" fontId="196" fillId="0" borderId="26" xfId="0" applyFont="1" applyBorder="1" applyAlignment="1">
      <alignment horizontal="center" vertical="center" wrapText="1"/>
    </xf>
    <xf numFmtId="0" fontId="196" fillId="0" borderId="39" xfId="0" applyFont="1" applyBorder="1" applyAlignment="1">
      <alignment horizontal="center" vertical="center" wrapText="1"/>
    </xf>
    <xf numFmtId="0" fontId="196" fillId="0" borderId="54" xfId="0" applyFont="1" applyBorder="1" applyAlignment="1">
      <alignment horizontal="center" vertical="center" wrapText="1"/>
    </xf>
    <xf numFmtId="0" fontId="196" fillId="0" borderId="66" xfId="0" applyFont="1" applyBorder="1" applyAlignment="1">
      <alignment horizontal="center" vertical="center" wrapText="1"/>
    </xf>
    <xf numFmtId="0" fontId="196" fillId="0" borderId="35" xfId="0" applyFont="1" applyBorder="1" applyAlignment="1">
      <alignment horizontal="center" vertical="center" wrapText="1"/>
    </xf>
    <xf numFmtId="0" fontId="196" fillId="0" borderId="80" xfId="0" applyFont="1" applyBorder="1" applyAlignment="1">
      <alignment horizontal="center" vertical="center" wrapText="1"/>
    </xf>
    <xf numFmtId="0" fontId="196" fillId="0" borderId="36" xfId="0" applyFont="1" applyBorder="1" applyAlignment="1">
      <alignment horizontal="center" vertical="center" wrapText="1"/>
    </xf>
    <xf numFmtId="0" fontId="196" fillId="0" borderId="38" xfId="0" applyFont="1" applyBorder="1" applyAlignment="1">
      <alignment horizontal="center" vertical="center" wrapText="1"/>
    </xf>
    <xf numFmtId="0" fontId="198" fillId="0" borderId="2" xfId="0" applyFont="1" applyFill="1" applyBorder="1" applyAlignment="1">
      <alignment horizontal="center" vertical="center" wrapText="1"/>
    </xf>
    <xf numFmtId="0" fontId="293" fillId="0" borderId="2" xfId="0" applyFont="1" applyBorder="1" applyAlignment="1">
      <alignment vertical="center" wrapText="1"/>
    </xf>
    <xf numFmtId="0" fontId="198" fillId="0" borderId="5" xfId="0" applyFont="1" applyBorder="1" applyAlignment="1">
      <alignment horizontal="center" vertical="center" wrapText="1"/>
    </xf>
    <xf numFmtId="0" fontId="198" fillId="0" borderId="9" xfId="0" applyFont="1" applyBorder="1" applyAlignment="1">
      <alignment horizontal="center" vertical="center" wrapText="1"/>
    </xf>
    <xf numFmtId="0" fontId="285" fillId="0" borderId="2" xfId="0" applyFont="1" applyBorder="1">
      <alignment vertical="center"/>
    </xf>
    <xf numFmtId="0" fontId="285" fillId="0" borderId="2" xfId="0" applyFont="1" applyBorder="1" applyAlignment="1">
      <alignment horizontal="center" vertical="center" wrapText="1"/>
    </xf>
    <xf numFmtId="0" fontId="282" fillId="0" borderId="164" xfId="0" applyFont="1" applyBorder="1" applyAlignment="1">
      <alignment vertical="center" wrapText="1"/>
    </xf>
    <xf numFmtId="0" fontId="282" fillId="0" borderId="162" xfId="0" applyFont="1" applyBorder="1" applyAlignment="1">
      <alignment vertical="center" wrapText="1"/>
    </xf>
    <xf numFmtId="0" fontId="280" fillId="0" borderId="164" xfId="0" applyFont="1" applyBorder="1">
      <alignment vertical="center"/>
    </xf>
    <xf numFmtId="0" fontId="280" fillId="0" borderId="162" xfId="0" applyFont="1" applyBorder="1">
      <alignment vertical="center"/>
    </xf>
    <xf numFmtId="0" fontId="281" fillId="0" borderId="164" xfId="0" applyFont="1" applyBorder="1" applyAlignment="1">
      <alignment horizontal="center" vertical="center" wrapText="1"/>
    </xf>
    <xf numFmtId="0" fontId="281" fillId="0" borderId="162" xfId="0" applyFont="1" applyBorder="1" applyAlignment="1">
      <alignment horizontal="center" vertical="center" wrapText="1"/>
    </xf>
    <xf numFmtId="0" fontId="284" fillId="0" borderId="164" xfId="0" applyFont="1" applyBorder="1" applyAlignment="1">
      <alignment horizontal="center" vertical="center" wrapText="1"/>
    </xf>
    <xf numFmtId="0" fontId="285" fillId="0" borderId="164" xfId="0" applyFont="1" applyBorder="1" applyAlignment="1">
      <alignment horizontal="left" vertical="top" wrapText="1"/>
    </xf>
    <xf numFmtId="0" fontId="285" fillId="0" borderId="162" xfId="0" applyFont="1" applyBorder="1" applyAlignment="1">
      <alignment horizontal="left" vertical="top" wrapText="1"/>
    </xf>
    <xf numFmtId="0" fontId="285" fillId="0" borderId="164" xfId="0" applyFont="1" applyBorder="1" applyAlignment="1">
      <alignment horizontal="left"/>
    </xf>
    <xf numFmtId="0" fontId="285" fillId="0" borderId="162" xfId="0" applyFont="1" applyBorder="1" applyAlignment="1">
      <alignment horizontal="left"/>
    </xf>
    <xf numFmtId="0" fontId="196" fillId="0" borderId="165" xfId="0" applyFont="1" applyBorder="1">
      <alignment vertical="center"/>
    </xf>
    <xf numFmtId="0" fontId="196" fillId="0" borderId="163" xfId="0" applyFont="1" applyBorder="1">
      <alignment vertical="center"/>
    </xf>
    <xf numFmtId="0" fontId="196" fillId="0" borderId="35" xfId="0" applyFont="1" applyBorder="1">
      <alignment vertical="center"/>
    </xf>
    <xf numFmtId="0" fontId="196" fillId="0" borderId="79" xfId="0" applyFont="1" applyBorder="1">
      <alignment vertical="center"/>
    </xf>
    <xf numFmtId="0" fontId="196" fillId="0" borderId="80" xfId="0" applyFont="1" applyBorder="1">
      <alignment vertical="center"/>
    </xf>
    <xf numFmtId="0" fontId="282" fillId="0" borderId="164" xfId="0" applyFont="1" applyBorder="1" applyAlignment="1">
      <alignment horizontal="center" vertical="top" wrapText="1"/>
    </xf>
    <xf numFmtId="0" fontId="282" fillId="0" borderId="162" xfId="0" applyFont="1" applyBorder="1" applyAlignment="1">
      <alignment horizontal="center" vertical="top" wrapText="1"/>
    </xf>
    <xf numFmtId="0" fontId="277" fillId="0" borderId="0" xfId="0" applyFont="1" applyAlignment="1">
      <alignment horizontal="center" vertical="center" wrapText="1"/>
    </xf>
    <xf numFmtId="0" fontId="280" fillId="0" borderId="156" xfId="0" applyFont="1" applyBorder="1">
      <alignment vertical="center"/>
    </xf>
    <xf numFmtId="0" fontId="280" fillId="0" borderId="157" xfId="0" applyFont="1" applyBorder="1">
      <alignment vertical="center"/>
    </xf>
    <xf numFmtId="0" fontId="280" fillId="0" borderId="158" xfId="0" applyFont="1" applyBorder="1">
      <alignment vertical="center"/>
    </xf>
    <xf numFmtId="0" fontId="280" fillId="0" borderId="159" xfId="0" applyFont="1" applyBorder="1">
      <alignment vertical="center"/>
    </xf>
    <xf numFmtId="0" fontId="280" fillId="0" borderId="160" xfId="0" applyFont="1" applyBorder="1">
      <alignment vertical="center"/>
    </xf>
    <xf numFmtId="0" fontId="280" fillId="0" borderId="161" xfId="0" applyFont="1" applyBorder="1">
      <alignment vertical="center"/>
    </xf>
    <xf numFmtId="0" fontId="280" fillId="0" borderId="164" xfId="0" applyFont="1" applyBorder="1" applyAlignment="1">
      <alignment vertical="center" wrapText="1"/>
    </xf>
    <xf numFmtId="0" fontId="280" fillId="0" borderId="162" xfId="0" applyFont="1" applyBorder="1" applyAlignment="1">
      <alignment vertical="center" wrapText="1"/>
    </xf>
    <xf numFmtId="0" fontId="285" fillId="0" borderId="156" xfId="0" applyFont="1" applyBorder="1" applyAlignment="1">
      <alignment horizontal="left"/>
    </xf>
    <xf numFmtId="0" fontId="285" fillId="0" borderId="35" xfId="0" applyFont="1" applyBorder="1" applyAlignment="1">
      <alignment horizontal="left" vertical="center" wrapText="1"/>
    </xf>
    <xf numFmtId="0" fontId="285" fillId="0" borderId="79" xfId="0" applyFont="1" applyBorder="1" applyAlignment="1">
      <alignment horizontal="left" vertical="center" wrapText="1"/>
    </xf>
    <xf numFmtId="0" fontId="285" fillId="0" borderId="80" xfId="0" applyFont="1" applyBorder="1" applyAlignment="1">
      <alignment horizontal="left" vertical="center" wrapText="1"/>
    </xf>
    <xf numFmtId="0" fontId="285" fillId="0" borderId="164" xfId="0" applyFont="1" applyBorder="1" applyAlignment="1">
      <alignment horizontal="left" vertical="center" wrapText="1"/>
    </xf>
    <xf numFmtId="0" fontId="285" fillId="0" borderId="162" xfId="0" applyFont="1" applyBorder="1" applyAlignment="1">
      <alignment horizontal="left" vertical="center" wrapText="1"/>
    </xf>
    <xf numFmtId="0" fontId="286" fillId="0" borderId="164" xfId="0" applyFont="1" applyBorder="1" applyAlignment="1">
      <alignment horizontal="left" vertical="center"/>
    </xf>
    <xf numFmtId="0" fontId="286" fillId="0" borderId="162" xfId="0" applyFont="1" applyBorder="1" applyAlignment="1">
      <alignment horizontal="left" vertical="center"/>
    </xf>
    <xf numFmtId="0" fontId="285" fillId="0" borderId="164" xfId="0" applyFont="1" applyBorder="1" applyAlignment="1">
      <alignment horizontal="left" vertical="center"/>
    </xf>
    <xf numFmtId="0" fontId="285" fillId="0" borderId="162" xfId="0" applyFont="1" applyBorder="1" applyAlignment="1">
      <alignment horizontal="left" vertical="center"/>
    </xf>
    <xf numFmtId="0" fontId="285" fillId="0" borderId="163" xfId="0" applyFont="1" applyBorder="1" applyAlignment="1">
      <alignment horizontal="left" vertical="center" wrapText="1"/>
    </xf>
    <xf numFmtId="0" fontId="287" fillId="0" borderId="36" xfId="0" applyFont="1" applyBorder="1" applyAlignment="1">
      <alignment horizontal="center" vertical="center"/>
    </xf>
    <xf numFmtId="0" fontId="287" fillId="0" borderId="38" xfId="0" applyFont="1" applyBorder="1" applyAlignment="1">
      <alignment horizontal="center" vertical="center"/>
    </xf>
    <xf numFmtId="0" fontId="287" fillId="0" borderId="36" xfId="0" applyFont="1" applyBorder="1" applyAlignment="1">
      <alignment horizontal="center" vertical="center" wrapText="1"/>
    </xf>
    <xf numFmtId="0" fontId="287" fillId="0" borderId="38" xfId="0" applyFont="1" applyBorder="1" applyAlignment="1">
      <alignment horizontal="center" vertical="center" wrapText="1"/>
    </xf>
    <xf numFmtId="0" fontId="289" fillId="0" borderId="35" xfId="0" applyFont="1" applyBorder="1" applyAlignment="1">
      <alignment horizontal="center" vertical="center" wrapText="1"/>
    </xf>
    <xf numFmtId="0" fontId="289" fillId="0" borderId="80" xfId="0" applyFont="1" applyBorder="1" applyAlignment="1">
      <alignment horizontal="center" vertical="center" wrapText="1"/>
    </xf>
    <xf numFmtId="0" fontId="287" fillId="0" borderId="26" xfId="0" applyFont="1" applyBorder="1" applyAlignment="1">
      <alignment horizontal="center" vertical="center"/>
    </xf>
    <xf numFmtId="0" fontId="287" fillId="0" borderId="39" xfId="0" applyFont="1" applyBorder="1" applyAlignment="1">
      <alignment horizontal="center" vertical="center"/>
    </xf>
    <xf numFmtId="0" fontId="287" fillId="0" borderId="31" xfId="0" applyFont="1" applyBorder="1" applyAlignment="1">
      <alignment horizontal="center" vertical="center"/>
    </xf>
    <xf numFmtId="0" fontId="287" fillId="0" borderId="65" xfId="0" applyFont="1" applyBorder="1" applyAlignment="1">
      <alignment horizontal="center" vertical="center"/>
    </xf>
    <xf numFmtId="0" fontId="287" fillId="0" borderId="54" xfId="0" applyFont="1" applyBorder="1" applyAlignment="1">
      <alignment horizontal="center" vertical="center"/>
    </xf>
    <xf numFmtId="0" fontId="287" fillId="0" borderId="66" xfId="0" applyFont="1" applyBorder="1" applyAlignment="1">
      <alignment horizontal="center" vertical="center"/>
    </xf>
    <xf numFmtId="0" fontId="165" fillId="0" borderId="173" xfId="0" applyFont="1" applyBorder="1" applyAlignment="1">
      <alignment vertical="top" wrapText="1"/>
    </xf>
    <xf numFmtId="0" fontId="165" fillId="0" borderId="171" xfId="0" applyFont="1" applyBorder="1" applyAlignment="1">
      <alignment vertical="top" wrapText="1"/>
    </xf>
    <xf numFmtId="0" fontId="152" fillId="0" borderId="174" xfId="0" applyFont="1" applyBorder="1" applyAlignment="1">
      <alignment vertical="top" wrapText="1"/>
    </xf>
    <xf numFmtId="0" fontId="152" fillId="0" borderId="175" xfId="0" applyFont="1" applyBorder="1" applyAlignment="1">
      <alignment vertical="top" wrapText="1"/>
    </xf>
    <xf numFmtId="0" fontId="152" fillId="0" borderId="176" xfId="0" applyFont="1" applyBorder="1" applyAlignment="1">
      <alignment vertical="top" wrapText="1"/>
    </xf>
    <xf numFmtId="0" fontId="152" fillId="0" borderId="177" xfId="0" applyFont="1" applyBorder="1" applyAlignment="1">
      <alignment vertical="top" wrapText="1"/>
    </xf>
    <xf numFmtId="0" fontId="165" fillId="0" borderId="176" xfId="0" applyFont="1" applyBorder="1" applyAlignment="1"/>
    <xf numFmtId="0" fontId="165" fillId="0" borderId="175" xfId="0" applyFont="1" applyBorder="1" applyAlignment="1"/>
    <xf numFmtId="0" fontId="287" fillId="0" borderId="35" xfId="0" applyFont="1" applyBorder="1" applyAlignment="1">
      <alignment horizontal="center" vertical="center" wrapText="1"/>
    </xf>
    <xf numFmtId="0" fontId="287" fillId="0" borderId="79" xfId="0" applyFont="1" applyBorder="1" applyAlignment="1">
      <alignment horizontal="center" vertical="center" wrapText="1"/>
    </xf>
    <xf numFmtId="0" fontId="287" fillId="0" borderId="35" xfId="0" applyFont="1" applyBorder="1" applyAlignment="1">
      <alignment vertical="center" wrapText="1"/>
    </xf>
    <xf numFmtId="0" fontId="287" fillId="0" borderId="79" xfId="0" applyFont="1" applyBorder="1" applyAlignment="1">
      <alignment vertical="center" wrapText="1"/>
    </xf>
    <xf numFmtId="0" fontId="287" fillId="0" borderId="80" xfId="0" applyFont="1" applyBorder="1" applyAlignment="1">
      <alignment vertical="center" wrapText="1"/>
    </xf>
    <xf numFmtId="0" fontId="165" fillId="0" borderId="26" xfId="0" applyFont="1" applyBorder="1">
      <alignment vertical="center"/>
    </xf>
    <xf numFmtId="0" fontId="165" fillId="0" borderId="167" xfId="0" applyFont="1" applyBorder="1">
      <alignment vertical="center"/>
    </xf>
    <xf numFmtId="0" fontId="165" fillId="0" borderId="168" xfId="0" applyFont="1" applyBorder="1">
      <alignment vertical="center"/>
    </xf>
    <xf numFmtId="0" fontId="165" fillId="0" borderId="169" xfId="0" applyFont="1" applyBorder="1">
      <alignment vertical="center"/>
    </xf>
    <xf numFmtId="0" fontId="165" fillId="0" borderId="172" xfId="0" applyFont="1" applyBorder="1" applyAlignment="1">
      <alignment vertical="top" wrapText="1"/>
    </xf>
    <xf numFmtId="0" fontId="165" fillId="0" borderId="170" xfId="0" applyFont="1" applyBorder="1" applyAlignment="1">
      <alignment vertical="top" wrapText="1"/>
    </xf>
    <xf numFmtId="0" fontId="165" fillId="0" borderId="36" xfId="0" applyFont="1" applyBorder="1" applyAlignment="1">
      <alignment vertical="center" wrapText="1"/>
    </xf>
    <xf numFmtId="0" fontId="165" fillId="0" borderId="38" xfId="0" applyFont="1" applyBorder="1" applyAlignment="1">
      <alignment vertical="center" wrapText="1"/>
    </xf>
    <xf numFmtId="0" fontId="152" fillId="0" borderId="36" xfId="0" applyFont="1" applyBorder="1" applyAlignment="1">
      <alignment vertical="top" wrapText="1"/>
    </xf>
    <xf numFmtId="0" fontId="152" fillId="0" borderId="38" xfId="0" applyFont="1" applyBorder="1" applyAlignment="1">
      <alignment vertical="top" wrapText="1"/>
    </xf>
    <xf numFmtId="0" fontId="165" fillId="0" borderId="79" xfId="0" applyFont="1" applyBorder="1" applyAlignment="1">
      <alignment horizontal="center" vertical="center" wrapText="1"/>
    </xf>
    <xf numFmtId="0" fontId="165" fillId="0" borderId="80" xfId="0" applyFont="1" applyBorder="1" applyAlignment="1">
      <alignment horizontal="center" vertical="center" wrapText="1"/>
    </xf>
    <xf numFmtId="0" fontId="165" fillId="0" borderId="35" xfId="0" applyFont="1" applyBorder="1" applyAlignment="1">
      <alignment horizontal="center" vertical="center" wrapText="1"/>
    </xf>
    <xf numFmtId="0" fontId="152" fillId="0" borderId="37" xfId="0" applyFont="1" applyBorder="1" applyAlignment="1">
      <alignment vertical="top" wrapText="1"/>
    </xf>
    <xf numFmtId="0" fontId="201" fillId="0" borderId="176" xfId="0" applyFont="1" applyBorder="1" applyAlignment="1">
      <alignment vertical="top" wrapText="1"/>
    </xf>
    <xf numFmtId="0" fontId="165" fillId="0" borderId="35" xfId="0" applyFont="1" applyBorder="1" applyAlignment="1">
      <alignment vertical="center" wrapText="1"/>
    </xf>
    <xf numFmtId="0" fontId="165" fillId="0" borderId="79" xfId="0" applyFont="1" applyBorder="1" applyAlignment="1">
      <alignment vertical="center" wrapText="1"/>
    </xf>
    <xf numFmtId="0" fontId="165" fillId="0" borderId="178" xfId="0" applyFont="1" applyBorder="1" applyAlignment="1">
      <alignment vertical="center" wrapText="1"/>
    </xf>
    <xf numFmtId="0" fontId="165" fillId="0" borderId="179" xfId="0" applyFont="1" applyBorder="1" applyAlignment="1">
      <alignment vertical="center" wrapText="1"/>
    </xf>
    <xf numFmtId="0" fontId="165" fillId="0" borderId="80" xfId="0" applyFont="1" applyBorder="1" applyAlignment="1">
      <alignment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5">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2656</v>
      </c>
      <c r="B1" s="2915" t="s">
        <v>2753</v>
      </c>
    </row>
    <row r="2" spans="1:55" s="2919" customFormat="1" ht="15" thickTop="1">
      <c r="A2" s="2917" t="s">
        <v>2660</v>
      </c>
      <c r="B2" s="2918" t="str">
        <f>'预评函-封皮'!B37</f>
        <v>广东省汕头市龙湖区海湾公园片区（335-00-02-096）出让国有建设用地使用权市场价格预评估</v>
      </c>
      <c r="AX2" s="2920"/>
      <c r="AZ2" s="2920"/>
      <c r="BA2" s="2921"/>
      <c r="BC2" s="2921"/>
    </row>
    <row r="3" spans="1:55" s="2922" customFormat="1">
      <c r="A3" s="2901" t="s">
        <v>2661</v>
      </c>
      <c r="B3" s="2904" t="str">
        <f>'预评函-封皮'!B40</f>
        <v>广东锦峰地产投资有限公司</v>
      </c>
    </row>
    <row r="4" spans="1:55" s="2903" customFormat="1">
      <c r="A4" s="2901" t="s">
        <v>2662</v>
      </c>
      <c r="B4" s="2902" t="str">
        <f>'预评函-封皮'!B46</f>
        <v>梁津、王鹏</v>
      </c>
      <c r="N4" s="2903" t="str">
        <f>'预评函-1'!A28</f>
        <v>——</v>
      </c>
    </row>
    <row r="5" spans="1:55" s="2916" customFormat="1" ht="15" thickBot="1">
      <c r="A5" s="2923" t="s">
        <v>2663</v>
      </c>
      <c r="B5" s="2924" t="str">
        <f>'预评函-封皮'!B49</f>
        <v>康正预评字号</v>
      </c>
    </row>
    <row r="6" spans="1:55" s="2925" customFormat="1" ht="15" thickTop="1">
      <c r="A6" s="2917" t="s">
        <v>2705</v>
      </c>
      <c r="B6" s="2918" t="str">
        <f>'预评函-1'!A4</f>
        <v>受贵公司委托，我公司对广东省汕头市龙湖区海湾公园片区（335-00-02-096）出让国有建设用地使用权市场价格进行了预评估。</v>
      </c>
      <c r="AM6" s="2926"/>
    </row>
    <row r="7" spans="1:55" s="2900" customFormat="1">
      <c r="A7" s="2901" t="s">
        <v>2657</v>
      </c>
      <c r="B7" s="2902" t="str">
        <f>'预评函-1'!A6</f>
        <v>估价对象为使用的、位于广东省汕头市龙湖区海湾公园片区（335-00-02-096）出让国有建设用地使用权。根据《国有土地使用证》[汕国用（2013）第10700250]，估价对象（分摊）出让国有建设用地使用权面积为15168.4平方米。根据《建设工程规划许可证》[[2014]汕规建字第015号]，估价对象规划建筑面积为67516.63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本次评估为委托估价方了解标的物之市场价格提供参考依据而评估出让国有建设用地使用权市场价格。</v>
      </c>
    </row>
    <row r="10" spans="1:55" s="2900" customFormat="1">
      <c r="A10" s="2901" t="s">
        <v>2659</v>
      </c>
      <c r="B10" s="2902" t="str">
        <f>'预评函-1'!A11</f>
        <v>2018年5月24日（评估专业人员勘察现场之日）</v>
      </c>
    </row>
    <row r="11" spans="1:55" s="2900" customFormat="1">
      <c r="A11" s="2901" t="s">
        <v>2665</v>
      </c>
      <c r="B11" s="2902" t="str">
        <f>'预评函-1'!A14</f>
        <v>根据《国有土地使用证》[汕国用（2013）第10700250]，本次评估估价对象证载（地类）用途为住宅。</v>
      </c>
    </row>
    <row r="12" spans="1:55" s="2900" customFormat="1">
      <c r="A12" s="2901" t="s">
        <v>2666</v>
      </c>
      <c r="B12" s="2902" t="str">
        <f>'预评函-1'!A15</f>
        <v>本次评估设定用途即为证载用途住宅、商业、地下车库。</v>
      </c>
    </row>
    <row r="13" spans="1:55" s="2900" customFormat="1">
      <c r="A13" s="2901" t="s">
        <v>2667</v>
      </c>
      <c r="B13" s="2902" t="str">
        <f>'预评函-1'!A17</f>
        <v>根据委托估价方介绍及评估专业人员现场勘查，本次评估估价对象实际土地开发程度为红线外市政基础设施达“七通”（即通路、通电、通讯、通上水、通下水、燃气、）、宗地红线内场地平整。</v>
      </c>
    </row>
    <row r="14" spans="1:55" s="2900" customFormat="1">
      <c r="A14" s="2901" t="s">
        <v>2668</v>
      </c>
      <c r="B14" s="2902" t="str">
        <f>'预评函-1'!A18</f>
        <v>本次评估设定土地开发程度为红线外市政基础设施达“七通”、宗地红线内场地平整。</v>
      </c>
    </row>
    <row r="15" spans="1:55" s="2900" customFormat="1">
      <c r="A15" s="2901" t="s">
        <v>2664</v>
      </c>
      <c r="B15" s="2902" t="str">
        <f>'预评函-1'!A20</f>
        <v>根据《国有土地使用证》[汕国用（2013）第10700250]，估价对象（分摊）出让国有建设用地使用权面积为15168.4平方米。根据《建设工程规划许可证》[[2014]汕规建字第015号]，估价对象规划建筑面积为67516.63平方米。</v>
      </c>
    </row>
    <row r="16" spans="1:55" s="2900" customFormat="1">
      <c r="A16" s="2901" t="s">
        <v>2669</v>
      </c>
      <c r="B16" s="2902" t="str">
        <f>'预评函-1'!A22</f>
        <v>本次估价对象为出让国有建设用地使用权，《国有土地使用证》[汕国用（2013）第10700250]证载土地终止日期为住宅2073年11月30日、商业2043年11月30日地下车库2053年11月30日。截至估价期日，出让国有建设用地使用权剩余土地使用年限为住宅55.5年、商业25.5年。</v>
      </c>
    </row>
    <row r="17" spans="1:48" s="2900" customFormat="1">
      <c r="A17" s="2901" t="s">
        <v>2670</v>
      </c>
      <c r="B17" s="2902" t="str">
        <f>'预评函-1'!A23</f>
        <v>本次评估设定估价对象剩余土地使用年限为住宅55.5年、商业25.5年。</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row>
    <row r="19" spans="1:48" s="2900" customFormat="1">
      <c r="A19" s="2901" t="s">
        <v>2672</v>
      </c>
      <c r="B19" s="2902" t="str">
        <f>'预评函-1'!A26</f>
        <v>——</v>
      </c>
    </row>
    <row r="20" spans="1:48" s="2900" customFormat="1">
      <c r="A20" s="2901" t="s">
        <v>2673</v>
      </c>
      <c r="B20" s="2902" t="str">
        <f>'预评函-1'!A27</f>
        <v>——</v>
      </c>
    </row>
    <row r="21" spans="1:48" s="2916" customFormat="1" ht="15" thickBot="1">
      <c r="A21" s="2923" t="s">
        <v>2674</v>
      </c>
      <c r="B21" s="2924" t="str">
        <f>'预评函-1'!A28</f>
        <v>——</v>
      </c>
    </row>
    <row r="22" spans="1:48" ht="15" thickTop="1">
      <c r="A22" s="2912" t="s">
        <v>2675</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估价期日：2018年5月24日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住宅</v>
      </c>
      <c r="AV32" s="2906"/>
    </row>
    <row r="33" spans="1:2">
      <c r="A33" s="2901" t="s">
        <v>2713</v>
      </c>
      <c r="B33" s="2902">
        <f>'预评函-2'!F5</f>
        <v>258</v>
      </c>
    </row>
    <row r="34" spans="1:2">
      <c r="A34" s="2901" t="s">
        <v>2714</v>
      </c>
      <c r="B34" s="2902" t="str">
        <f>'预评函-2'!G5</f>
        <v>住宅、商业、地下车库</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红线外七通、宗地红线内场地平整</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t="str">
        <f>'预评函-2'!M5</f>
        <v>住宅55.5年、商业25.5年</v>
      </c>
    </row>
    <row r="42" spans="1:2">
      <c r="A42" s="2901" t="s">
        <v>2739</v>
      </c>
      <c r="B42" s="2902" t="str">
        <f>'预评函-2'!N3</f>
        <v>（分摊）出让国有建设用地使用权面积/㎡</v>
      </c>
    </row>
    <row r="43" spans="1:2">
      <c r="A43" s="2901" t="s">
        <v>2721</v>
      </c>
      <c r="B43" s="2902">
        <f>'预评函-2'!N5</f>
        <v>15168.4</v>
      </c>
    </row>
    <row r="44" spans="1:2">
      <c r="A44" s="2901" t="s">
        <v>2740</v>
      </c>
      <c r="B44" s="2902" t="str">
        <f>'预评函-2'!O3</f>
        <v>规划建筑面积/㎡</v>
      </c>
    </row>
    <row r="45" spans="1:2">
      <c r="A45" s="2901" t="s">
        <v>2722</v>
      </c>
      <c r="B45" s="2902">
        <f>'预评函-2'!O5</f>
        <v>67516.63</v>
      </c>
    </row>
    <row r="46" spans="1:2">
      <c r="A46" s="2901" t="s">
        <v>2723</v>
      </c>
      <c r="B46" s="2902">
        <f ca="1">'预评函-2'!P5</f>
        <v>42960</v>
      </c>
    </row>
    <row r="47" spans="1:2">
      <c r="A47" s="2901" t="s">
        <v>2724</v>
      </c>
      <c r="B47" s="2902">
        <f ca="1">'预评函-2'!Q5</f>
        <v>9652</v>
      </c>
    </row>
    <row r="48" spans="1:2">
      <c r="A48" s="2901" t="s">
        <v>2725</v>
      </c>
      <c r="B48" s="2902">
        <f ca="1">'预评函-2'!R5</f>
        <v>65164</v>
      </c>
    </row>
    <row r="49" spans="1:2">
      <c r="A49" s="2901" t="s">
        <v>2741</v>
      </c>
      <c r="B49" s="2902" t="str">
        <f>'预评函-2'!A6</f>
        <v>——</v>
      </c>
    </row>
    <row r="50" spans="1:2">
      <c r="A50" s="2901" t="s">
        <v>2726</v>
      </c>
      <c r="B50" s="2902" t="str">
        <f>'预评函-2'!R6</f>
        <v>——</v>
      </c>
    </row>
    <row r="51" spans="1:2">
      <c r="A51" s="2901" t="s">
        <v>2742</v>
      </c>
      <c r="B51" s="2902" t="str">
        <f>'预评函-2'!A7</f>
        <v>——</v>
      </c>
    </row>
    <row r="52" spans="1:2">
      <c r="A52" s="2901" t="s">
        <v>2727</v>
      </c>
      <c r="B52" s="2902" t="str">
        <f>'预评函-2'!R7</f>
        <v>——</v>
      </c>
    </row>
    <row r="53" spans="1:2">
      <c r="A53" s="2901" t="s">
        <v>2743</v>
      </c>
      <c r="B53" s="2902" t="str">
        <f>'预评函-2'!A8</f>
        <v>——</v>
      </c>
    </row>
    <row r="54" spans="1:2" s="2916" customFormat="1" ht="15" thickBot="1">
      <c r="A54" s="2923" t="s">
        <v>2728</v>
      </c>
      <c r="B54" s="2924" t="str">
        <f>'预评函-2'!R8</f>
        <v>——</v>
      </c>
    </row>
    <row r="55" spans="1:2" ht="15" thickTop="1">
      <c r="A55" s="2912" t="s">
        <v>2678</v>
      </c>
      <c r="B55" s="2913" t="str">
        <f>'预评函-3'!A2</f>
        <v>1.权利限制：根据估价对象《国有土地使用证》复印件，截至估价期日，估价对象已设定抵押。未设定租赁等其他他项权利。</v>
      </c>
    </row>
    <row r="56" spans="1:2">
      <c r="A56" s="2901" t="s">
        <v>2679</v>
      </c>
      <c r="B56" s="2902" t="str">
        <f>'预评函-3'!A3</f>
        <v>2.基础设施条件：估价对象实际开发程度为红线外七通、宗地红线内场地平整；本次评估设定开发程度为红线外七通、宗地红线内场地平整。</v>
      </c>
    </row>
    <row r="57" spans="1:2">
      <c r="A57" s="2901" t="s">
        <v>2680</v>
      </c>
      <c r="B57" s="2902" t="str">
        <f>'预评函-3'!A4</f>
        <v>3.估价规划限制条件：详见《建设工程规划许可证》[[2014]汕规建字第015号]。</v>
      </c>
    </row>
    <row r="58" spans="1:2" s="2916" customFormat="1" ht="15" thickBot="1">
      <c r="A58" s="2923" t="s">
        <v>2729</v>
      </c>
      <c r="B58" s="2924" t="str">
        <f>'预评函-3'!A5</f>
        <v>4.影响价格的其他限定条件：无。</v>
      </c>
    </row>
    <row r="59" spans="1:2" ht="15" thickTop="1">
      <c r="A59" s="2912" t="s">
        <v>2681</v>
      </c>
      <c r="B59" s="2913" t="str">
        <f>'预评函-3'!A8</f>
        <v>2.本次评估设定估价对象宗地权属无争议，未被查封或者以其他形式限制其房地产权利，未设定抵押权等他项权利，不涉及第三方权利义务。</v>
      </c>
    </row>
    <row r="60" spans="1:2">
      <c r="A60" s="2901" t="s">
        <v>2682</v>
      </c>
      <c r="B60" s="2902" t="str">
        <f>'预评函-3'!A9</f>
        <v>——</v>
      </c>
    </row>
    <row r="61" spans="1:2">
      <c r="A61" s="2901" t="s">
        <v>2684</v>
      </c>
      <c r="B61" s="2902" t="str">
        <f>'预评函-3'!A10</f>
        <v>——</v>
      </c>
    </row>
    <row r="62" spans="1:2">
      <c r="A62" s="2901" t="s">
        <v>2683</v>
      </c>
      <c r="B62" s="2902" t="str">
        <f>'预评函-3'!A11</f>
        <v>——</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v>
      </c>
    </row>
    <row r="66" spans="1:2">
      <c r="A66" s="2901" t="s">
        <v>2688</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2692</v>
      </c>
      <c r="B68" s="2927">
        <f>'预评函-3'!D30</f>
        <v>42558</v>
      </c>
    </row>
    <row r="69" spans="1:2" ht="15" thickTop="1">
      <c r="A69" s="2912" t="s">
        <v>2690</v>
      </c>
      <c r="B69" s="2913" t="str">
        <f>'预评函-3'!A20</f>
        <v>梁津</v>
      </c>
    </row>
    <row r="70" spans="1:2">
      <c r="A70" s="2901" t="s">
        <v>2690</v>
      </c>
      <c r="B70" s="2908">
        <f ca="1">'预评函-3'!B20</f>
        <v>96010014</v>
      </c>
    </row>
    <row r="71" spans="1:2">
      <c r="A71" s="2901" t="s">
        <v>2691</v>
      </c>
      <c r="B71" s="2902" t="str">
        <f>'预评函-3'!A21</f>
        <v>王鹏</v>
      </c>
    </row>
    <row r="72" spans="1:2" s="2916" customFormat="1" ht="15" thickBot="1">
      <c r="A72" s="2923" t="s">
        <v>2691</v>
      </c>
      <c r="B72" s="2929">
        <f ca="1">'预评函-3'!B21</f>
        <v>2002110030</v>
      </c>
    </row>
    <row r="73" spans="1:2" ht="15"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20" sqref="D20:I2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76" t="str">
        <f>IF(B10="北京市","北京市",C10)&amp;F10&amp;B16&amp;"国有建设用地使用权"&amp;B9&amp;"预评估"</f>
        <v>广东省汕头市龙湖区海湾公园片区（335-00-02-096）出让国有建设用地使用权市场价格预评估</v>
      </c>
      <c r="C1" s="3277"/>
      <c r="D1" s="3277"/>
      <c r="E1" s="3277"/>
      <c r="F1" s="3277"/>
      <c r="G1" s="3277"/>
      <c r="H1" s="3277"/>
      <c r="I1" s="3278"/>
      <c r="J1" s="1694"/>
      <c r="K1" s="2478" t="str">
        <f>IF(B10="北京市","北京市",C10)&amp;F10&amp;B16&amp;"国有建设用地使用权"&amp;B9</f>
        <v>广东省汕头市龙湖区海湾公园片区（335-00-02-096）出让国有建设用地使用权市场价格</v>
      </c>
      <c r="L1" s="1722"/>
      <c r="M1" s="1722"/>
      <c r="N1" s="1694"/>
      <c r="O1" s="1695"/>
      <c r="P1" s="1694"/>
      <c r="Q1" s="1694"/>
      <c r="R1" s="1694"/>
      <c r="S1" s="1694"/>
      <c r="T1" s="1694"/>
      <c r="U1" s="1694"/>
    </row>
    <row r="2" spans="1:21">
      <c r="A2" s="1660" t="s">
        <v>1941</v>
      </c>
      <c r="B2" s="1841"/>
      <c r="D2" s="1694"/>
      <c r="E2" s="1694"/>
      <c r="F2" s="1694"/>
      <c r="G2" s="1694"/>
      <c r="H2" s="1660"/>
      <c r="I2" s="1695"/>
      <c r="J2" s="1694"/>
      <c r="K2" s="2478" t="str">
        <f>IF(B10="北京市","北京市",C10)&amp;F10&amp;B16&amp;"国有建设用地使用权"</f>
        <v>广东省汕头市龙湖区海湾公园片区（335-00-02-096）出让国有建设用地使用权</v>
      </c>
      <c r="L2" s="1722"/>
      <c r="M2" s="1722"/>
      <c r="N2" s="1694"/>
      <c r="O2" s="1695"/>
      <c r="P2" s="1694"/>
      <c r="Q2" s="1694"/>
      <c r="R2" s="1694"/>
      <c r="S2" s="1694"/>
      <c r="T2" s="1694"/>
      <c r="U2" s="1694"/>
    </row>
    <row r="3" spans="1:21">
      <c r="A3" s="1661" t="s">
        <v>1942</v>
      </c>
      <c r="B3" s="1662">
        <v>43244</v>
      </c>
      <c r="C3" s="1663" t="s">
        <v>1996</v>
      </c>
      <c r="D3" s="1662">
        <f>B3</f>
        <v>43244</v>
      </c>
      <c r="E3" s="1694"/>
      <c r="F3" s="1694"/>
      <c r="G3" s="1694"/>
      <c r="H3" s="1660"/>
      <c r="I3" s="1695"/>
      <c r="J3" s="1694"/>
      <c r="K3" s="1773"/>
      <c r="L3" s="1722"/>
      <c r="M3" s="1722"/>
      <c r="N3" s="1694"/>
      <c r="O3" s="1695"/>
      <c r="P3" s="1694"/>
      <c r="Q3" s="1694"/>
      <c r="R3" s="1694"/>
      <c r="S3" s="1694"/>
      <c r="T3" s="1694"/>
      <c r="U3" s="1694"/>
    </row>
    <row r="4" spans="1:21" ht="15" thickBot="1">
      <c r="A4" s="1664" t="s">
        <v>1943</v>
      </c>
      <c r="B4" s="1842" t="s">
        <v>2979</v>
      </c>
      <c r="C4" s="1845">
        <f ca="1">SUMIF(土地估价师,B4,估价师及机构信息!E3:E24)</f>
        <v>96010014</v>
      </c>
      <c r="D4" s="1842" t="s">
        <v>2980</v>
      </c>
      <c r="E4" s="1845">
        <f ca="1">SUMIF(土地估价师,D4,估价师及机构信息!E3:E24)</f>
        <v>2002110030</v>
      </c>
      <c r="F4" s="1842" t="s">
        <v>952</v>
      </c>
      <c r="G4" s="1845">
        <f>SUMIF(土地估价师,F4,估价师及机构信息!E3:E24)</f>
        <v>0</v>
      </c>
      <c r="H4" s="1842" t="s">
        <v>952</v>
      </c>
      <c r="I4" s="1845">
        <f>SUMIF(土地估价师,H4,估价师及机构信息!E3:E24)</f>
        <v>0</v>
      </c>
      <c r="J4" s="1694"/>
      <c r="K4" s="2478" t="str">
        <f>IF(AND(F4="——",H4="——"),B4&amp;"、"&amp;D4,IF(AND(F4&lt;&gt;"——",H4="——"),B4&amp;"、"&amp;D4&amp;"、"&amp;F4,B4&amp;"、"&amp;D4&amp;"、"&amp;F4&amp;"、"&amp;H4))</f>
        <v>梁津、王鹏</v>
      </c>
      <c r="L4" s="1722"/>
      <c r="M4" s="1722"/>
      <c r="N4" s="1694"/>
      <c r="O4" s="1695"/>
      <c r="P4" s="1694"/>
      <c r="Q4" s="1694"/>
      <c r="R4" s="1694"/>
      <c r="S4" s="1694"/>
      <c r="T4" s="1694"/>
      <c r="U4" s="1694"/>
    </row>
    <row r="5" spans="1:21" ht="15" thickTop="1">
      <c r="A5" s="1665" t="s">
        <v>1944</v>
      </c>
      <c r="B5" s="1788" t="s">
        <v>3056</v>
      </c>
      <c r="C5" s="1666"/>
      <c r="D5" s="1667"/>
      <c r="E5" s="1694"/>
      <c r="F5" s="1694"/>
      <c r="G5" s="1694"/>
      <c r="H5" s="1660"/>
      <c r="I5" s="1695"/>
      <c r="J5" s="1694"/>
      <c r="K5" s="1773"/>
      <c r="L5" s="1722"/>
      <c r="M5" s="1722"/>
      <c r="N5" s="1694"/>
      <c r="O5" s="1695"/>
      <c r="P5" s="1694"/>
      <c r="Q5" s="1694"/>
      <c r="R5" s="1694"/>
      <c r="S5" s="1694"/>
      <c r="T5" s="1694"/>
      <c r="U5" s="1694"/>
    </row>
    <row r="6" spans="1:21" ht="26.25">
      <c r="A6" s="1663" t="s">
        <v>2706</v>
      </c>
      <c r="B6" s="1788" t="s">
        <v>2981</v>
      </c>
      <c r="C6" s="1760"/>
      <c r="D6" s="1668"/>
      <c r="E6" s="1694"/>
      <c r="F6" s="1694"/>
      <c r="G6" s="1694"/>
      <c r="H6" s="1660"/>
      <c r="I6" s="1695"/>
      <c r="J6" s="1694"/>
      <c r="K6" s="3078" t="str">
        <f>IF(COUNTIF(B6,"*上海银行*"),"上海银行","")</f>
        <v/>
      </c>
      <c r="L6" s="1722"/>
      <c r="M6" s="1722"/>
      <c r="N6" s="1694"/>
      <c r="O6" s="1695"/>
      <c r="P6" s="1694"/>
      <c r="Q6" s="1694"/>
      <c r="R6" s="1694"/>
      <c r="S6" s="1694"/>
      <c r="T6" s="1694"/>
      <c r="U6" s="1694"/>
    </row>
    <row r="7" spans="1:21">
      <c r="A7" s="1669" t="s">
        <v>2707</v>
      </c>
      <c r="B7" s="1788" t="s">
        <v>3056</v>
      </c>
      <c r="C7" s="1760"/>
      <c r="D7" s="1668"/>
      <c r="E7" s="1694"/>
      <c r="F7" s="1694"/>
      <c r="G7" s="1694"/>
      <c r="H7" s="1660"/>
      <c r="I7" s="1695"/>
      <c r="J7" s="1694"/>
      <c r="K7" s="1773"/>
      <c r="L7" s="1722"/>
      <c r="M7" s="1722"/>
      <c r="N7" s="1694"/>
      <c r="O7" s="1695"/>
      <c r="P7" s="1694"/>
      <c r="Q7" s="1694"/>
      <c r="R7" s="1694"/>
      <c r="S7" s="1694"/>
      <c r="T7" s="1694"/>
      <c r="U7" s="1694"/>
    </row>
    <row r="8" spans="1:21">
      <c r="A8" s="1669" t="s">
        <v>1945</v>
      </c>
      <c r="B8" s="1670" t="s">
        <v>2982</v>
      </c>
      <c r="C8" s="1671"/>
      <c r="D8" s="3282" t="s">
        <v>1947</v>
      </c>
      <c r="E8" s="1843"/>
      <c r="F8" s="1672"/>
      <c r="G8" s="1660"/>
      <c r="H8" s="1660"/>
      <c r="I8" s="1707"/>
      <c r="J8" s="1694"/>
      <c r="K8" s="1773"/>
      <c r="L8" s="1722"/>
      <c r="M8" s="1722"/>
      <c r="N8" s="1694"/>
      <c r="O8" s="1695"/>
      <c r="P8" s="1694"/>
      <c r="Q8" s="1694"/>
      <c r="R8" s="1694"/>
      <c r="S8" s="1694"/>
      <c r="T8" s="1694"/>
      <c r="U8" s="1694"/>
    </row>
    <row r="9" spans="1:21" ht="15" thickBot="1">
      <c r="A9" s="1673" t="s">
        <v>1946</v>
      </c>
      <c r="B9" s="1674" t="s">
        <v>2983</v>
      </c>
      <c r="C9" s="1675"/>
      <c r="D9" s="3283"/>
      <c r="E9" s="1674"/>
      <c r="F9" s="1746"/>
      <c r="G9" s="1741"/>
      <c r="H9" s="1741"/>
      <c r="I9" s="1742"/>
      <c r="J9" s="1694"/>
      <c r="K9" s="1773"/>
      <c r="L9" s="1722"/>
      <c r="M9" s="1722"/>
      <c r="N9" s="1694"/>
      <c r="O9" s="1695"/>
      <c r="P9" s="1694"/>
      <c r="Q9" s="1694"/>
      <c r="R9" s="1694"/>
      <c r="S9" s="1694"/>
      <c r="T9" s="1694"/>
      <c r="U9" s="1694"/>
    </row>
    <row r="10" spans="1:21" ht="15" thickTop="1">
      <c r="A10" s="1743" t="s">
        <v>1999</v>
      </c>
      <c r="B10" s="3180" t="s">
        <v>2984</v>
      </c>
      <c r="C10" s="1676" t="s">
        <v>2985</v>
      </c>
      <c r="D10" s="1667"/>
      <c r="E10" s="1677" t="s">
        <v>1949</v>
      </c>
      <c r="F10" s="1678" t="s">
        <v>3053</v>
      </c>
      <c r="G10" s="1744"/>
      <c r="H10" s="1745"/>
      <c r="I10" s="1667"/>
      <c r="J10" s="1694"/>
      <c r="K10" s="1773"/>
      <c r="L10" s="1722"/>
      <c r="M10" s="1722"/>
      <c r="N10" s="1694"/>
      <c r="O10" s="1695"/>
      <c r="P10" s="1694"/>
      <c r="Q10" s="1694"/>
      <c r="R10" s="1694"/>
      <c r="S10" s="1694"/>
      <c r="T10" s="1694"/>
      <c r="U10" s="1694"/>
    </row>
    <row r="11" spans="1:21">
      <c r="A11" s="1697" t="s">
        <v>2000</v>
      </c>
      <c r="B11" s="1698" t="s">
        <v>2986</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2058</v>
      </c>
      <c r="B12" s="3279" t="s">
        <v>3054</v>
      </c>
      <c r="C12" s="3280"/>
      <c r="D12" s="3281"/>
      <c r="E12" s="1699" t="s">
        <v>2061</v>
      </c>
      <c r="F12" s="3297" t="s">
        <v>3052</v>
      </c>
      <c r="G12" s="3298"/>
      <c r="H12" s="3298"/>
      <c r="I12" s="3299"/>
      <c r="J12" s="1694"/>
      <c r="K12" s="1773"/>
      <c r="L12" s="1722"/>
      <c r="M12" s="1722"/>
      <c r="N12" s="1694"/>
      <c r="O12" s="1695"/>
      <c r="P12" s="1694"/>
      <c r="Q12" s="1694"/>
      <c r="R12" s="1694"/>
      <c r="S12" s="1694"/>
      <c r="T12" s="1694"/>
      <c r="U12" s="1694"/>
    </row>
    <row r="13" spans="1:21">
      <c r="A13" s="1687" t="s">
        <v>2059</v>
      </c>
      <c r="B13" s="3279" t="s">
        <v>3055</v>
      </c>
      <c r="C13" s="3280"/>
      <c r="D13" s="3281"/>
      <c r="E13" s="1699" t="s">
        <v>2061</v>
      </c>
      <c r="F13" s="3297" t="s">
        <v>3052</v>
      </c>
      <c r="G13" s="3298"/>
      <c r="H13" s="3298"/>
      <c r="I13" s="3299"/>
      <c r="J13" s="1694"/>
      <c r="K13" s="1773"/>
      <c r="L13" s="1722"/>
      <c r="M13" s="1722"/>
      <c r="N13" s="1694"/>
      <c r="O13" s="1695"/>
      <c r="P13" s="1694"/>
      <c r="Q13" s="1694"/>
      <c r="R13" s="1694"/>
      <c r="S13" s="1694"/>
      <c r="T13" s="1694"/>
      <c r="U13" s="1694"/>
    </row>
    <row r="14" spans="1:21">
      <c r="A14" s="1661" t="s">
        <v>2062</v>
      </c>
      <c r="B14" s="1699"/>
      <c r="C14" s="1844" t="s">
        <v>2989</v>
      </c>
      <c r="D14" s="1732" t="str">
        <f>IF(C14="不一致","是否符合证载地类范围","")</f>
        <v/>
      </c>
      <c r="E14" s="1699"/>
      <c r="F14" s="1789" t="s">
        <v>2990</v>
      </c>
      <c r="G14" s="1727"/>
      <c r="H14" s="1727"/>
      <c r="I14" s="1836"/>
      <c r="J14" s="1694"/>
      <c r="K14" s="1773"/>
      <c r="L14" s="1722"/>
      <c r="M14" s="1722"/>
      <c r="N14" s="1694"/>
      <c r="O14" s="1695"/>
      <c r="P14" s="1694"/>
      <c r="Q14" s="1694"/>
      <c r="R14" s="1694"/>
      <c r="S14" s="1694"/>
      <c r="T14" s="1694"/>
      <c r="U14" s="1694"/>
    </row>
    <row r="15" spans="1:21" hidden="1">
      <c r="A15" s="2668"/>
      <c r="B15" s="1663"/>
      <c r="C15" s="1663"/>
      <c r="D15" s="1765" t="s">
        <v>1952</v>
      </c>
      <c r="E15" s="1765" t="s">
        <v>1953</v>
      </c>
      <c r="F15" s="1765" t="s">
        <v>1954</v>
      </c>
      <c r="G15" s="1686" t="s">
        <v>1955</v>
      </c>
      <c r="H15" s="1686" t="s">
        <v>1956</v>
      </c>
      <c r="I15" s="1686" t="s">
        <v>1957</v>
      </c>
      <c r="J15" s="1694"/>
      <c r="K15" s="1773"/>
      <c r="L15" s="1722"/>
      <c r="M15" s="1722"/>
      <c r="N15" s="1694"/>
      <c r="O15" s="1695"/>
      <c r="P15" s="1694"/>
      <c r="Q15" s="1694"/>
      <c r="R15" s="1694"/>
      <c r="S15" s="1694"/>
      <c r="T15" s="1694"/>
      <c r="U15" s="1694"/>
    </row>
    <row r="16" spans="1:21" ht="42.75">
      <c r="A16" s="1680" t="s">
        <v>1950</v>
      </c>
      <c r="B16" s="1681" t="s">
        <v>2988</v>
      </c>
      <c r="C16" s="1699" t="s">
        <v>1951</v>
      </c>
      <c r="D16" s="2669" t="s">
        <v>1952</v>
      </c>
      <c r="E16" s="1721" t="s">
        <v>2987</v>
      </c>
      <c r="F16" s="1721"/>
      <c r="G16" s="1721" t="s">
        <v>35</v>
      </c>
      <c r="H16" s="1721"/>
      <c r="I16" s="1686" t="s">
        <v>1957</v>
      </c>
      <c r="J16" s="1694"/>
      <c r="K16" s="2479" t="str">
        <f>IF(D17="","",D16&amp;TEXT(D17,"yyyy年m月d日;;"))</f>
        <v>住宅2073年11月30日</v>
      </c>
      <c r="L16" s="1699" t="str">
        <f>IF(OR(K16="",M16=""),"","、")</f>
        <v>、</v>
      </c>
      <c r="M16" s="2479" t="str">
        <f>IF(E17="","",E16&amp;TEXT(E17,"yyyy年m月d日;;"))</f>
        <v>商业2043年11月30日</v>
      </c>
      <c r="N16" s="1699" t="str">
        <f>IF(OR(M16="",O16=""),"","、")</f>
        <v/>
      </c>
      <c r="O16" s="2479" t="str">
        <f>IF(F17="","",F16&amp;TEXT(F17,"yyyy年m月d日;;"))</f>
        <v/>
      </c>
      <c r="P16" s="1699" t="str">
        <f>IF(OR(O16="",Q16=""),"","、")</f>
        <v/>
      </c>
      <c r="Q16" s="2479" t="str">
        <f>IF(G17="","",G16&amp;TEXT(G17,"yyyy年m月d日;;"))</f>
        <v>地下车库2053年11月30日</v>
      </c>
      <c r="R16" s="1699" t="str">
        <f>IF(OR(Q16="",S16=""),"","、")</f>
        <v/>
      </c>
      <c r="S16" s="2479" t="str">
        <f>IF(H17="","",H16&amp;TEXT(H17,"yyyy年m月d日;;"))</f>
        <v/>
      </c>
      <c r="T16" s="1699" t="str">
        <f>IF(OR(S16="",U16=""),"","、")</f>
        <v/>
      </c>
      <c r="U16" s="2479" t="str">
        <f>IF(I17="","",I16&amp;TEXT(I17,"yyyy年m月d日;;"))</f>
        <v/>
      </c>
    </row>
    <row r="17" spans="1:21">
      <c r="A17" s="1762"/>
      <c r="B17" s="1682"/>
      <c r="C17" s="1683" t="s">
        <v>1958</v>
      </c>
      <c r="D17" s="1700">
        <v>63523</v>
      </c>
      <c r="E17" s="1700">
        <v>52565</v>
      </c>
      <c r="F17" s="1700"/>
      <c r="G17" s="1700">
        <v>56218</v>
      </c>
      <c r="H17" s="1700"/>
      <c r="I17" s="1700"/>
      <c r="J17" s="1694"/>
      <c r="K17" s="2478" t="str">
        <f>CONCATENATE(K16,L16,M16,N16,O16,P16,Q16,R16,S16,T16,,U16)</f>
        <v>住宅2073年11月30日、商业2043年11月30日地下车库2053年11月30日</v>
      </c>
      <c r="L17" s="1722"/>
      <c r="M17" s="1722"/>
      <c r="N17" s="1694"/>
      <c r="O17" s="1695"/>
      <c r="P17" s="1694"/>
      <c r="Q17" s="1694"/>
      <c r="R17" s="1694"/>
      <c r="S17" s="1694"/>
      <c r="T17" s="1694"/>
      <c r="U17" s="1694"/>
    </row>
    <row r="18" spans="1:21">
      <c r="A18" s="1762"/>
      <c r="B18" s="1682"/>
      <c r="C18" s="1683" t="s">
        <v>1959</v>
      </c>
      <c r="D18" s="1684">
        <v>70</v>
      </c>
      <c r="E18" s="1684">
        <v>40</v>
      </c>
      <c r="F18" s="1684"/>
      <c r="G18" s="1684">
        <v>50</v>
      </c>
      <c r="H18" s="1684"/>
      <c r="I18" s="1684"/>
      <c r="J18" s="1694"/>
      <c r="K18" s="1773"/>
      <c r="L18" s="1722"/>
      <c r="M18" s="1722"/>
      <c r="N18" s="1694"/>
      <c r="O18" s="1695"/>
      <c r="P18" s="1694"/>
      <c r="Q18" s="1694"/>
      <c r="R18" s="1694"/>
      <c r="S18" s="1694"/>
      <c r="T18" s="1694"/>
      <c r="U18" s="1694"/>
    </row>
    <row r="19" spans="1:21">
      <c r="A19" s="1762"/>
      <c r="B19" s="1682"/>
      <c r="C19" s="1660" t="s">
        <v>1960</v>
      </c>
      <c r="D19" s="1757">
        <f>IF(B16="出让",IF(D17="","",ROUNDDOWN(MIN((D17-$D$3)/365,D18),2)),D18)</f>
        <v>55.55</v>
      </c>
      <c r="E19" s="1685">
        <f>IF(B16="出让",IF(E17="","",ROUNDDOWN(MIN((E17-$D$3)/365,E18),2)),E18)</f>
        <v>25.53</v>
      </c>
      <c r="F19" s="1685" t="str">
        <f>IF(B16="出让",IF(F17="","",ROUNDDOWN(MIN((F17-$D$3)/365,F18),2)),F18)</f>
        <v/>
      </c>
      <c r="G19" s="1685">
        <f>IF(B16="出让",IF(G17="","",ROUNDDOWN(MIN((G17-$D$3)/365,G18),2)),G18)</f>
        <v>35.54</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2060</v>
      </c>
      <c r="D20" s="3294" t="s">
        <v>3206</v>
      </c>
      <c r="E20" s="3295"/>
      <c r="F20" s="3295"/>
      <c r="G20" s="3295"/>
      <c r="H20" s="3295"/>
      <c r="I20" s="3296"/>
      <c r="J20" s="1694"/>
      <c r="K20" s="1773"/>
      <c r="L20" s="1722"/>
      <c r="M20" s="1722"/>
      <c r="N20" s="1694"/>
      <c r="O20" s="1695"/>
      <c r="P20" s="1694"/>
      <c r="Q20" s="1694"/>
      <c r="R20" s="1694"/>
      <c r="S20" s="1694"/>
      <c r="T20" s="1694"/>
      <c r="U20" s="1694"/>
    </row>
    <row r="21" spans="1:21">
      <c r="A21" s="1762" t="s">
        <v>1961</v>
      </c>
      <c r="B21" s="1763" t="s">
        <v>1962</v>
      </c>
      <c r="C21" s="1758">
        <f>'数据-汇总表'!E3</f>
        <v>67516.63</v>
      </c>
      <c r="D21" s="1759" t="s">
        <v>1963</v>
      </c>
      <c r="E21" s="3284" t="s">
        <v>3057</v>
      </c>
      <c r="F21" s="3285"/>
      <c r="G21" s="3285"/>
      <c r="H21" s="3285"/>
      <c r="I21" s="3286"/>
      <c r="J21" s="1694"/>
      <c r="K21" s="1773"/>
      <c r="L21" s="1722"/>
      <c r="M21" s="1722"/>
      <c r="N21" s="1694"/>
      <c r="O21" s="1695"/>
      <c r="P21" s="1694"/>
      <c r="Q21" s="1694"/>
      <c r="R21" s="1694"/>
      <c r="S21" s="1694"/>
      <c r="T21" s="1694"/>
      <c r="U21" s="1694"/>
    </row>
    <row r="22" spans="1:21">
      <c r="A22" s="3177" t="s">
        <v>952</v>
      </c>
      <c r="B22" s="1661" t="s">
        <v>1964</v>
      </c>
      <c r="C22" s="1686">
        <f>'数据-汇总表'!D3</f>
        <v>15168.4</v>
      </c>
      <c r="D22" s="1687" t="s">
        <v>1963</v>
      </c>
      <c r="E22" s="3284" t="s">
        <v>3051</v>
      </c>
      <c r="F22" s="3285"/>
      <c r="G22" s="3285"/>
      <c r="H22" s="3285"/>
      <c r="I22" s="3286"/>
      <c r="J22" s="1694"/>
      <c r="K22" s="1773"/>
      <c r="L22" s="1722"/>
      <c r="M22" s="1722"/>
      <c r="N22" s="1694"/>
      <c r="O22" s="1695"/>
      <c r="P22" s="1694"/>
      <c r="Q22" s="1694"/>
      <c r="R22" s="1694"/>
      <c r="S22" s="1694"/>
      <c r="T22" s="1694"/>
      <c r="U22" s="1694"/>
    </row>
    <row r="23" spans="1:21" ht="43.5" thickBot="1">
      <c r="A23" s="1764" t="s">
        <v>1965</v>
      </c>
      <c r="B23" s="1701" t="s">
        <v>1966</v>
      </c>
      <c r="C23" s="1702" t="s">
        <v>1679</v>
      </c>
      <c r="D23" s="1703" t="s">
        <v>1967</v>
      </c>
      <c r="E23" s="1704" t="s">
        <v>2991</v>
      </c>
      <c r="F23" s="1705" t="str">
        <f>IF(AND(C23="是",E23="否"),"是否提供他项权证或相关说明","")</f>
        <v>是否提供他项权证或相关说明</v>
      </c>
      <c r="G23" s="1706" t="s">
        <v>2991</v>
      </c>
      <c r="H23" s="1694"/>
      <c r="I23" s="1707"/>
      <c r="J23" s="1694"/>
      <c r="K23" s="1773"/>
      <c r="L23" s="1722"/>
      <c r="M23" s="1722"/>
      <c r="N23" s="1694"/>
      <c r="O23" s="1695"/>
      <c r="P23" s="1694"/>
      <c r="Q23" s="1694"/>
      <c r="R23" s="1694"/>
      <c r="S23" s="1694"/>
      <c r="T23" s="1694"/>
      <c r="U23" s="1694"/>
    </row>
    <row r="24" spans="1:21">
      <c r="A24" s="1749" t="s">
        <v>1968</v>
      </c>
      <c r="B24" s="3287" t="s">
        <v>1969</v>
      </c>
      <c r="C24" s="3288"/>
      <c r="D24" s="3289" t="s">
        <v>1970</v>
      </c>
      <c r="E24" s="3290"/>
      <c r="F24" s="1708" t="s">
        <v>1971</v>
      </c>
      <c r="G24" s="1694"/>
      <c r="H24" s="1694"/>
      <c r="I24" s="1707"/>
      <c r="J24" s="1694"/>
      <c r="K24" s="3275" t="s">
        <v>1972</v>
      </c>
      <c r="L24" s="2480"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2"/>
      <c r="N24" s="1694"/>
      <c r="O24" s="1695"/>
      <c r="P24" s="1694"/>
      <c r="Q24" s="1694"/>
      <c r="R24" s="1694"/>
      <c r="S24" s="1694"/>
      <c r="T24" s="1694"/>
      <c r="U24" s="1694"/>
    </row>
    <row r="25" spans="1:21" ht="28.5">
      <c r="A25" s="1750"/>
      <c r="B25" s="1747" t="s">
        <v>2992</v>
      </c>
      <c r="C25" s="1709" t="s">
        <v>2325</v>
      </c>
      <c r="D25" s="1710"/>
      <c r="E25" s="1711" t="s">
        <v>952</v>
      </c>
      <c r="F25" s="1712"/>
      <c r="G25" s="1694"/>
      <c r="H25" s="1694"/>
      <c r="I25" s="1707"/>
      <c r="J25" s="1694"/>
      <c r="K25" s="327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4"/>
      <c r="O25" s="1695"/>
      <c r="P25" s="1694"/>
      <c r="Q25" s="1694"/>
      <c r="R25" s="1694"/>
      <c r="S25" s="1694"/>
      <c r="T25" s="1694"/>
      <c r="U25" s="1694"/>
    </row>
    <row r="26" spans="1:21" ht="15" thickBot="1">
      <c r="A26" s="1751"/>
      <c r="B26" s="1748" t="s">
        <v>952</v>
      </c>
      <c r="C26" s="1709" t="s">
        <v>952</v>
      </c>
      <c r="D26" s="1660"/>
      <c r="E26" s="1660"/>
      <c r="F26" s="1688"/>
      <c r="G26" s="1694"/>
      <c r="H26" s="1694"/>
      <c r="I26" s="1707"/>
      <c r="J26" s="1694"/>
      <c r="K26" s="327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1973</v>
      </c>
      <c r="B27" s="1752" t="s">
        <v>1974</v>
      </c>
      <c r="C27" s="1713"/>
      <c r="D27" s="2674" t="s">
        <v>1974</v>
      </c>
      <c r="E27" s="1714"/>
      <c r="F27" s="1688"/>
      <c r="G27" s="1694"/>
      <c r="H27" s="1694"/>
      <c r="I27" s="1707"/>
      <c r="J27" s="1694"/>
      <c r="K27" s="1773"/>
      <c r="L27" s="1722"/>
      <c r="M27" s="1722"/>
      <c r="N27" s="1694"/>
      <c r="O27" s="1695"/>
      <c r="P27" s="1694"/>
      <c r="Q27" s="1694"/>
      <c r="R27" s="1694"/>
      <c r="S27" s="1694"/>
      <c r="T27" s="1694"/>
      <c r="U27" s="1694"/>
    </row>
    <row r="28" spans="1:21">
      <c r="A28" s="1755"/>
      <c r="B28" s="1752" t="s">
        <v>1975</v>
      </c>
      <c r="C28" s="1715"/>
      <c r="D28" s="2675" t="s">
        <v>1975</v>
      </c>
      <c r="E28" s="1716"/>
      <c r="F28" s="1688"/>
      <c r="G28" s="1694"/>
      <c r="H28" s="1694"/>
      <c r="I28" s="1707"/>
      <c r="J28" s="1694"/>
      <c r="K28" s="1773"/>
      <c r="L28" s="1722"/>
      <c r="M28" s="1722"/>
      <c r="N28" s="1694"/>
      <c r="O28" s="1695"/>
      <c r="P28" s="1694"/>
      <c r="Q28" s="1694"/>
      <c r="R28" s="1694"/>
      <c r="S28" s="1694"/>
      <c r="T28" s="1694"/>
      <c r="U28" s="1694"/>
    </row>
    <row r="29" spans="1:21">
      <c r="A29" s="1755"/>
      <c r="B29" s="1752" t="s">
        <v>1976</v>
      </c>
      <c r="C29" s="1715"/>
      <c r="D29" s="2675" t="s">
        <v>1976</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1977</v>
      </c>
      <c r="C30" s="1717"/>
      <c r="D30" s="2676" t="s">
        <v>1977</v>
      </c>
      <c r="E30" s="1718"/>
      <c r="F30" s="1689"/>
      <c r="G30" s="1741"/>
      <c r="H30" s="1741"/>
      <c r="I30" s="1742"/>
      <c r="J30" s="1694"/>
      <c r="K30" s="1773"/>
      <c r="L30" s="1722"/>
      <c r="M30" s="1722"/>
      <c r="N30" s="1694"/>
      <c r="O30" s="1695"/>
      <c r="P30" s="1694"/>
      <c r="Q30" s="1694"/>
      <c r="R30" s="1694"/>
      <c r="S30" s="1694"/>
      <c r="T30" s="1694"/>
      <c r="U30" s="1694"/>
    </row>
    <row r="31" spans="1:21" ht="15" thickTop="1">
      <c r="A31" s="3302" t="s">
        <v>2001</v>
      </c>
      <c r="B31" s="1763" t="s">
        <v>2002</v>
      </c>
      <c r="C31" s="3300" t="s">
        <v>2993</v>
      </c>
      <c r="D31" s="3301"/>
      <c r="E31" s="1694"/>
      <c r="F31" s="1694"/>
      <c r="G31" s="1694"/>
      <c r="H31" s="1694"/>
      <c r="I31" s="1707"/>
      <c r="J31" s="1694"/>
      <c r="K31" s="2481"/>
      <c r="L31" s="1694"/>
      <c r="M31" s="1694"/>
      <c r="N31" s="1694"/>
      <c r="O31" s="1694"/>
      <c r="P31" s="1694"/>
      <c r="Q31" s="1694"/>
      <c r="R31" s="1694"/>
      <c r="S31" s="1694"/>
      <c r="T31" s="1694"/>
      <c r="U31" s="1694"/>
    </row>
    <row r="32" spans="1:21">
      <c r="A32" s="3302"/>
      <c r="B32" s="1661" t="s">
        <v>2003</v>
      </c>
      <c r="C32" s="3180" t="s">
        <v>2994</v>
      </c>
      <c r="D32" s="1719"/>
      <c r="E32" s="1694"/>
      <c r="F32" s="1694"/>
      <c r="G32" s="1694"/>
      <c r="H32" s="1694"/>
      <c r="I32" s="1707"/>
      <c r="J32" s="1694"/>
      <c r="K32" s="2481"/>
      <c r="L32" s="1694"/>
      <c r="M32" s="1694"/>
      <c r="N32" s="1694"/>
      <c r="O32" s="1694"/>
      <c r="P32" s="1694"/>
      <c r="Q32" s="1694"/>
      <c r="R32" s="1694"/>
      <c r="S32" s="1694"/>
      <c r="T32" s="1694"/>
      <c r="U32" s="1694"/>
    </row>
    <row r="33" spans="1:21">
      <c r="A33" s="3302"/>
      <c r="B33" s="1661" t="s">
        <v>2004</v>
      </c>
      <c r="C33" s="1720" t="s">
        <v>2991</v>
      </c>
      <c r="D33" s="1837"/>
      <c r="E33" s="1694"/>
      <c r="F33" s="1694"/>
      <c r="G33" s="1694"/>
      <c r="H33" s="1694"/>
      <c r="I33" s="1707"/>
      <c r="J33" s="1694"/>
      <c r="K33" s="2481"/>
      <c r="L33" s="1694"/>
      <c r="M33" s="1694"/>
      <c r="N33" s="1694"/>
      <c r="O33" s="1694"/>
      <c r="P33" s="1694"/>
      <c r="Q33" s="1694"/>
      <c r="R33" s="1694"/>
      <c r="S33" s="1694"/>
      <c r="T33" s="1694"/>
      <c r="U33" s="1694"/>
    </row>
    <row r="34" spans="1:21">
      <c r="A34" s="3303"/>
      <c r="B34" s="1661" t="s">
        <v>2005</v>
      </c>
      <c r="C34" s="3304"/>
      <c r="D34" s="3305"/>
      <c r="E34" s="1694"/>
      <c r="F34" s="1694"/>
      <c r="G34" s="1694"/>
      <c r="H34" s="1694"/>
      <c r="I34" s="1707"/>
      <c r="J34" s="1694"/>
      <c r="K34" s="2481"/>
      <c r="L34" s="1694"/>
      <c r="M34" s="1694"/>
      <c r="N34" s="1694"/>
      <c r="O34" s="1694"/>
      <c r="P34" s="1694"/>
      <c r="Q34" s="1694"/>
      <c r="R34" s="1694"/>
      <c r="S34" s="1694"/>
      <c r="T34" s="1694"/>
      <c r="U34" s="1694"/>
    </row>
    <row r="35" spans="1:21">
      <c r="A35" s="3306" t="s">
        <v>847</v>
      </c>
      <c r="B35" s="1721" t="s">
        <v>2995</v>
      </c>
      <c r="C35" s="1775" t="str">
        <f>IF(B35="场地平整","——","具体情况：")</f>
        <v>——</v>
      </c>
      <c r="D35" s="3308"/>
      <c r="E35" s="3309"/>
      <c r="F35" s="3309"/>
      <c r="G35" s="3309"/>
      <c r="H35" s="3309"/>
      <c r="I35" s="3310"/>
      <c r="J35" s="1694"/>
      <c r="K35" s="1774"/>
      <c r="L35" s="1722"/>
      <c r="M35" s="1722"/>
      <c r="N35" s="1694"/>
      <c r="O35" s="1695"/>
      <c r="P35" s="1694"/>
      <c r="Q35" s="1694"/>
      <c r="R35" s="1694"/>
      <c r="S35" s="1694"/>
      <c r="T35" s="1694"/>
      <c r="U35" s="1694"/>
    </row>
    <row r="36" spans="1:21">
      <c r="A36" s="3302"/>
      <c r="B36" s="3311" t="s">
        <v>2054</v>
      </c>
      <c r="C36" s="3312"/>
      <c r="D36" s="1791" t="s">
        <v>2996</v>
      </c>
      <c r="E36" s="3313"/>
      <c r="F36" s="3313"/>
      <c r="G36" s="1687" t="str">
        <f>IF(B35="场地未平整","估价结果处理","")</f>
        <v/>
      </c>
      <c r="H36" s="3314"/>
      <c r="I36" s="3314"/>
      <c r="J36" s="1694"/>
      <c r="K36" s="1774"/>
      <c r="L36" s="1722"/>
      <c r="M36" s="1722"/>
      <c r="N36" s="1694"/>
      <c r="O36" s="1695"/>
      <c r="P36" s="1694"/>
      <c r="Q36" s="1694"/>
      <c r="R36" s="1694"/>
      <c r="S36" s="1694"/>
      <c r="T36" s="1694"/>
      <c r="U36" s="1694"/>
    </row>
    <row r="37" spans="1:21" ht="28.5">
      <c r="A37" s="3302"/>
      <c r="B37" s="3291" t="s">
        <v>848</v>
      </c>
      <c r="C37" s="1723" t="s">
        <v>849</v>
      </c>
      <c r="D37" s="1724"/>
      <c r="E37" s="1725"/>
      <c r="F37" s="1694"/>
      <c r="G37" s="1694"/>
      <c r="H37" s="1694"/>
      <c r="I37" s="1707"/>
      <c r="J37" s="1694"/>
      <c r="K37" s="1774"/>
      <c r="L37" s="1694"/>
      <c r="M37" s="1694"/>
      <c r="N37" s="1694"/>
      <c r="O37" s="1694"/>
      <c r="P37" s="1694"/>
      <c r="Q37" s="1694"/>
      <c r="R37" s="1694"/>
      <c r="S37" s="1694"/>
      <c r="T37" s="1694"/>
      <c r="U37" s="1694"/>
    </row>
    <row r="38" spans="1:21">
      <c r="A38" s="3302"/>
      <c r="B38" s="3292"/>
      <c r="C38" s="1669" t="s">
        <v>850</v>
      </c>
      <c r="D38" s="1790">
        <f>ROUNDDOWN(MIN(('数据-取费表'!$B$2-D37)/365,D34),1)</f>
        <v>118.4</v>
      </c>
      <c r="E38" s="1726" t="s">
        <v>851</v>
      </c>
      <c r="F38" s="1694"/>
      <c r="G38" s="1694"/>
      <c r="H38" s="1694"/>
      <c r="I38" s="1707"/>
      <c r="J38" s="1694"/>
      <c r="K38" s="1774"/>
      <c r="L38" s="1694"/>
      <c r="M38" s="1694"/>
      <c r="N38" s="1694"/>
      <c r="O38" s="1694"/>
      <c r="P38" s="1694"/>
      <c r="Q38" s="1694"/>
      <c r="R38" s="1694"/>
      <c r="S38" s="1694"/>
      <c r="T38" s="1694"/>
      <c r="U38" s="1694"/>
    </row>
    <row r="39" spans="1:21">
      <c r="A39" s="3303"/>
      <c r="B39" s="3293"/>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1978</v>
      </c>
      <c r="B40" s="1690" t="s">
        <v>2997</v>
      </c>
      <c r="C40" s="1690" t="s">
        <v>2998</v>
      </c>
      <c r="D40" s="1690" t="s">
        <v>2999</v>
      </c>
      <c r="E40" s="1690" t="s">
        <v>3000</v>
      </c>
      <c r="F40" s="1690" t="s">
        <v>3001</v>
      </c>
      <c r="G40" s="1690" t="s">
        <v>3002</v>
      </c>
      <c r="H40" s="1690"/>
      <c r="I40" s="1707"/>
      <c r="J40" s="1694"/>
      <c r="K40" s="1729">
        <f>COUNTIF(B40:H40,"——")</f>
        <v>0</v>
      </c>
      <c r="L40" s="1699" t="s">
        <v>1979</v>
      </c>
      <c r="M40" s="1696" t="s">
        <v>1980</v>
      </c>
      <c r="N40" s="1696" t="s">
        <v>1981</v>
      </c>
      <c r="O40" s="1696" t="s">
        <v>1982</v>
      </c>
      <c r="P40" s="1696" t="s">
        <v>1983</v>
      </c>
      <c r="Q40" s="1696" t="s">
        <v>1984</v>
      </c>
      <c r="R40" s="1696" t="s">
        <v>1985</v>
      </c>
      <c r="S40" s="3274" t="s">
        <v>1986</v>
      </c>
      <c r="T40" s="1730" t="str">
        <f>NUMBERSTRING(7-K40,1)&amp;"通"</f>
        <v>七通</v>
      </c>
      <c r="U40" s="1694"/>
    </row>
    <row r="41" spans="1:21" ht="28.5">
      <c r="A41" s="1663"/>
      <c r="B41" s="3307" t="s">
        <v>1722</v>
      </c>
      <c r="C41" s="3307"/>
      <c r="D41" s="3307"/>
      <c r="E41" s="3307"/>
      <c r="F41" s="1731" t="str">
        <f>C10</f>
        <v>广东省汕头市</v>
      </c>
      <c r="G41" s="1694"/>
      <c r="H41" s="1694"/>
      <c r="I41" s="1707"/>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74"/>
      <c r="T41" s="1732" t="str">
        <f>IF(T40="一通",L41,IF(T40="二通",M41,IF(T40="三通",N41,IF(T40="四通",O41,IF(T40="五通",P41,IF(T40="六通",Q41,R41))))))</f>
        <v>通路、通电、通讯、通上水、通下水、燃气、</v>
      </c>
      <c r="U41" s="1694"/>
    </row>
    <row r="42" spans="1:21">
      <c r="A42" s="1734"/>
      <c r="B42" s="1765" t="s">
        <v>1898</v>
      </c>
      <c r="C42" s="1765" t="s">
        <v>1899</v>
      </c>
      <c r="D42" s="1765" t="s">
        <v>1900</v>
      </c>
      <c r="E42" s="1699" t="s">
        <v>1901</v>
      </c>
      <c r="F42" s="1735"/>
      <c r="G42" s="1694"/>
      <c r="H42" s="1694"/>
      <c r="I42" s="1707"/>
      <c r="J42" s="1694"/>
      <c r="K42" s="1773"/>
      <c r="L42" s="1722"/>
      <c r="M42" s="1722"/>
      <c r="N42" s="1694"/>
      <c r="O42" s="1695"/>
      <c r="P42" s="1694"/>
      <c r="Q42" s="1694"/>
      <c r="R42" s="1694"/>
      <c r="S42" s="1694"/>
      <c r="T42" s="1694"/>
      <c r="U42" s="1694"/>
    </row>
    <row r="43" spans="1:21">
      <c r="A43" s="1736" t="s">
        <v>1707</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1708</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95" customFormat="1" ht="21" thickBot="1">
      <c r="A45" s="3096" t="s">
        <v>2888</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2006</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1" t="s">
        <v>2016</v>
      </c>
      <c r="K48" s="1765" t="s">
        <v>2017</v>
      </c>
      <c r="L48" s="1765" t="s">
        <v>2018</v>
      </c>
      <c r="M48" s="1765" t="s">
        <v>2019</v>
      </c>
      <c r="N48" s="1686" t="s">
        <v>2020</v>
      </c>
      <c r="O48" s="1686" t="s">
        <v>2021</v>
      </c>
      <c r="P48" s="1686" t="s">
        <v>2022</v>
      </c>
      <c r="Q48" s="1699" t="s">
        <v>2023</v>
      </c>
      <c r="R48" s="1699" t="s">
        <v>2024</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2332</v>
      </c>
      <c r="BA2" s="2360"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15168.4</v>
      </c>
      <c r="B3" s="22">
        <f>IF(C3="否",G5-AT5,G5)</f>
        <v>67516.63</v>
      </c>
      <c r="C3" s="23" t="s">
        <v>2991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84904.48000000001</v>
      </c>
      <c r="H5" s="27">
        <f t="shared" ref="H5:AT5" si="0">SUM(H13:H641)</f>
        <v>66711.66</v>
      </c>
      <c r="I5" s="27">
        <f t="shared" si="0"/>
        <v>57055.89</v>
      </c>
      <c r="J5" s="27">
        <f t="shared" si="0"/>
        <v>0</v>
      </c>
      <c r="K5" s="27">
        <f t="shared" si="0"/>
        <v>3790.85</v>
      </c>
      <c r="L5" s="27">
        <f t="shared" si="0"/>
        <v>0</v>
      </c>
      <c r="M5" s="27">
        <f t="shared" si="0"/>
        <v>5864.9200000000019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804.97</v>
      </c>
      <c r="AD5" s="27">
        <f t="shared" si="0"/>
        <v>0</v>
      </c>
      <c r="AE5" s="27">
        <f t="shared" si="0"/>
        <v>0</v>
      </c>
      <c r="AF5" s="27">
        <f t="shared" si="0"/>
        <v>0</v>
      </c>
      <c r="AG5" s="27">
        <f t="shared" si="0"/>
        <v>0</v>
      </c>
      <c r="AH5" s="27">
        <f t="shared" si="0"/>
        <v>0</v>
      </c>
      <c r="AI5" s="27">
        <f t="shared" si="0"/>
        <v>0</v>
      </c>
      <c r="AJ5" s="27">
        <f t="shared" si="0"/>
        <v>0</v>
      </c>
      <c r="AK5" s="27">
        <f t="shared" si="0"/>
        <v>0</v>
      </c>
      <c r="AL5" s="27">
        <f t="shared" si="0"/>
        <v>804.97</v>
      </c>
      <c r="AM5" s="27">
        <f t="shared" si="0"/>
        <v>0</v>
      </c>
      <c r="AN5" s="27">
        <f t="shared" si="0"/>
        <v>0</v>
      </c>
      <c r="AO5" s="27">
        <f t="shared" si="0"/>
        <v>0</v>
      </c>
      <c r="AP5" s="27">
        <f t="shared" si="0"/>
        <v>0</v>
      </c>
      <c r="AQ5" s="27">
        <f t="shared" si="0"/>
        <v>0</v>
      </c>
      <c r="AR5" s="27">
        <f t="shared" si="0"/>
        <v>0</v>
      </c>
      <c r="AS5" s="27">
        <f t="shared" si="0"/>
        <v>0</v>
      </c>
      <c r="AT5" s="27">
        <f t="shared" si="0"/>
        <v>17387.849999999999</v>
      </c>
      <c r="AU5" s="988"/>
      <c r="AV5" s="26" t="s">
        <v>168</v>
      </c>
      <c r="AW5" s="989"/>
      <c r="AX5" s="989"/>
      <c r="AY5" s="28" t="s">
        <v>3</v>
      </c>
      <c r="AZ5" s="29">
        <f t="shared" ref="AZ5:BT5" si="1">SUM(AZ13:AZ641)</f>
        <v>67516.63</v>
      </c>
      <c r="BA5" s="29">
        <f t="shared" si="1"/>
        <v>66711.66</v>
      </c>
      <c r="BB5" s="29">
        <f t="shared" si="1"/>
        <v>57055.89</v>
      </c>
      <c r="BC5" s="29">
        <f t="shared" si="1"/>
        <v>3790.85</v>
      </c>
      <c r="BD5" s="29">
        <f t="shared" si="1"/>
        <v>5864.9200000000019</v>
      </c>
      <c r="BE5" s="29">
        <f t="shared" si="1"/>
        <v>0</v>
      </c>
      <c r="BF5" s="29">
        <f t="shared" si="1"/>
        <v>0</v>
      </c>
      <c r="BG5" s="29">
        <f t="shared" si="1"/>
        <v>0</v>
      </c>
      <c r="BH5" s="29">
        <f t="shared" si="1"/>
        <v>0</v>
      </c>
      <c r="BI5" s="29">
        <f t="shared" si="1"/>
        <v>0</v>
      </c>
      <c r="BJ5" s="29">
        <f t="shared" si="1"/>
        <v>0</v>
      </c>
      <c r="BK5" s="29">
        <f t="shared" si="1"/>
        <v>0</v>
      </c>
      <c r="BL5" s="29">
        <f t="shared" si="1"/>
        <v>804.97</v>
      </c>
      <c r="BM5" s="29">
        <f t="shared" si="1"/>
        <v>0</v>
      </c>
      <c r="BN5" s="29">
        <f t="shared" si="1"/>
        <v>0</v>
      </c>
      <c r="BO5" s="29">
        <f t="shared" si="1"/>
        <v>0</v>
      </c>
      <c r="BP5" s="29">
        <f t="shared" si="1"/>
        <v>0</v>
      </c>
      <c r="BQ5" s="29">
        <f t="shared" si="1"/>
        <v>804.97</v>
      </c>
      <c r="BR5" s="29">
        <f t="shared" si="1"/>
        <v>0</v>
      </c>
      <c r="BS5" s="29">
        <f t="shared" si="1"/>
        <v>0</v>
      </c>
      <c r="BT5" s="30">
        <f t="shared" si="1"/>
        <v>0</v>
      </c>
    </row>
    <row r="6" spans="1:72" s="37" customFormat="1" ht="12.75">
      <c r="A6" s="26" t="s">
        <v>169</v>
      </c>
      <c r="B6" s="31"/>
      <c r="C6" s="31"/>
      <c r="D6" s="32"/>
      <c r="E6" s="27">
        <f>H6+AC6+AT6</f>
        <v>15168.4</v>
      </c>
      <c r="F6" s="27" t="s">
        <v>1</v>
      </c>
      <c r="G6" s="27" t="s">
        <v>2</v>
      </c>
      <c r="H6" s="33">
        <f>SUMIF(I$12:AB$12,"总值",I6:AB6)</f>
        <v>14987.55</v>
      </c>
      <c r="I6" s="27">
        <f t="shared" ref="I6:AB6" si="2">ROUND($A$3*I5/$B$3,2)</f>
        <v>12818.27</v>
      </c>
      <c r="J6" s="27">
        <f t="shared" si="2"/>
        <v>0</v>
      </c>
      <c r="K6" s="27">
        <f t="shared" si="2"/>
        <v>851.66</v>
      </c>
      <c r="L6" s="27">
        <f t="shared" si="2"/>
        <v>0</v>
      </c>
      <c r="M6" s="27">
        <f t="shared" si="2"/>
        <v>1317.62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180.85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180.85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15168.4</v>
      </c>
      <c r="AZ6" s="27" t="s">
        <v>3</v>
      </c>
      <c r="BA6" s="27">
        <f>ROUND($AY$6*BA5/$AZ$5,2)</f>
        <v>14987.55</v>
      </c>
      <c r="BB6" s="27">
        <f>ROUND($AY$6*BB5/$AZ$5,2)</f>
        <v>12818.27</v>
      </c>
      <c r="BC6" s="27">
        <f t="shared" ref="BC6:BH6" si="4">ROUND($AY$6*BC5/$AZ$5,2)</f>
        <v>851.66</v>
      </c>
      <c r="BD6" s="27">
        <f t="shared" si="4"/>
        <v>1317.62</v>
      </c>
      <c r="BE6" s="27">
        <f t="shared" si="4"/>
        <v>0</v>
      </c>
      <c r="BF6" s="27">
        <f t="shared" si="4"/>
        <v>0</v>
      </c>
      <c r="BG6" s="27">
        <f t="shared" si="4"/>
        <v>0</v>
      </c>
      <c r="BH6" s="27">
        <f t="shared" si="4"/>
        <v>0</v>
      </c>
      <c r="BI6" s="27">
        <f t="shared" ref="BI6:BT6" si="5">ROUND($AY$6*BI5/$AZ$5,2)</f>
        <v>0</v>
      </c>
      <c r="BJ6" s="27">
        <f t="shared" si="5"/>
        <v>0</v>
      </c>
      <c r="BK6" s="27">
        <f t="shared" si="5"/>
        <v>0</v>
      </c>
      <c r="BL6" s="27">
        <f t="shared" si="5"/>
        <v>180.85</v>
      </c>
      <c r="BM6" s="27">
        <f t="shared" si="5"/>
        <v>0</v>
      </c>
      <c r="BN6" s="27">
        <f t="shared" si="5"/>
        <v>0</v>
      </c>
      <c r="BO6" s="27">
        <f t="shared" si="5"/>
        <v>0</v>
      </c>
      <c r="BP6" s="27">
        <f t="shared" si="5"/>
        <v>0</v>
      </c>
      <c r="BQ6" s="27">
        <f t="shared" si="5"/>
        <v>180.85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3003</v>
      </c>
      <c r="J9" s="51"/>
      <c r="K9" s="3042" t="s">
        <v>3003</v>
      </c>
      <c r="L9" s="51"/>
      <c r="M9" s="3042" t="s">
        <v>3061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923</v>
      </c>
      <c r="J10" s="51"/>
      <c r="K10" s="3044" t="s">
        <v>2987</v>
      </c>
      <c r="L10" s="51"/>
      <c r="M10" s="3044" t="s">
        <v>3062</v>
      </c>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2330</v>
      </c>
      <c r="AK10" s="2332"/>
      <c r="AL10" s="2313" t="s">
        <v>2319</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3059</v>
      </c>
      <c r="J11" s="71"/>
      <c r="K11" s="3043" t="s">
        <v>3060</v>
      </c>
      <c r="L11" s="71"/>
      <c r="M11" s="70"/>
      <c r="N11" s="71"/>
      <c r="O11" s="70"/>
      <c r="P11" s="71"/>
      <c r="Q11" s="70"/>
      <c r="R11" s="71"/>
      <c r="S11" s="70"/>
      <c r="T11" s="71"/>
      <c r="U11" s="70"/>
      <c r="V11" s="71"/>
      <c r="W11" s="70"/>
      <c r="X11" s="71"/>
      <c r="Y11" s="70"/>
      <c r="Z11" s="71"/>
      <c r="AA11" s="70"/>
      <c r="AB11" s="71"/>
      <c r="AC11" s="55"/>
      <c r="AD11" s="2333" t="s">
        <v>2329</v>
      </c>
      <c r="AE11" s="1002"/>
      <c r="AF11" s="2333" t="s">
        <v>2329</v>
      </c>
      <c r="AG11" s="1002"/>
      <c r="AH11" s="2333" t="s">
        <v>2328</v>
      </c>
      <c r="AI11" s="2334"/>
      <c r="AJ11" s="2333" t="s">
        <v>2328</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7"/>
      <c r="B13" s="3037"/>
      <c r="C13" s="3037" t="s">
        <v>3058</v>
      </c>
      <c r="D13" s="3038" t="s">
        <v>1679</v>
      </c>
      <c r="E13" s="27">
        <f t="shared" ref="E13:E20" si="6">IF($C$3="是",ROUND($A$3*G13/$B$3,2),ROUND($A$3*(G13-AT13)/$B$3,2))</f>
        <v>15168.4</v>
      </c>
      <c r="F13" s="81"/>
      <c r="G13" s="82">
        <f t="shared" ref="G13:G20" si="7">H13+AC13+AT13</f>
        <v>84904.48000000001</v>
      </c>
      <c r="H13" s="33">
        <f t="shared" ref="H13:H20" si="8">SUMIF(I$12:AB$12,"总值",I13:AB13)</f>
        <v>66711.66</v>
      </c>
      <c r="I13" s="3041">
        <v>57055.89</v>
      </c>
      <c r="J13" s="3041"/>
      <c r="K13" s="3041">
        <v>3790.85</v>
      </c>
      <c r="L13" s="3041"/>
      <c r="M13" s="3041">
        <f>23252.77-17387.85</f>
        <v>5864.9200000000019</v>
      </c>
      <c r="N13" s="83"/>
      <c r="O13" s="83"/>
      <c r="P13" s="83"/>
      <c r="Q13" s="83"/>
      <c r="R13" s="83"/>
      <c r="S13" s="83"/>
      <c r="T13" s="83"/>
      <c r="U13" s="83"/>
      <c r="V13" s="83"/>
      <c r="W13" s="83"/>
      <c r="X13" s="83"/>
      <c r="Y13" s="83"/>
      <c r="Z13" s="83"/>
      <c r="AA13" s="83"/>
      <c r="AB13" s="83"/>
      <c r="AC13" s="27">
        <f t="shared" ref="AC13:AC20" si="9">SUMIF(AD$12:AS$12,"总值",AD13:AS13)</f>
        <v>804.97</v>
      </c>
      <c r="AD13" s="3045"/>
      <c r="AE13" s="3045"/>
      <c r="AF13" s="3045"/>
      <c r="AG13" s="3045"/>
      <c r="AH13" s="3045"/>
      <c r="AI13" s="3045"/>
      <c r="AJ13" s="3045"/>
      <c r="AK13" s="3045"/>
      <c r="AL13" s="3045">
        <f>733.98+70.99</f>
        <v>804.97</v>
      </c>
      <c r="AM13" s="3045"/>
      <c r="AN13" s="3045"/>
      <c r="AO13" s="3045"/>
      <c r="AP13" s="3045"/>
      <c r="AQ13" s="3045"/>
      <c r="AR13" s="3045"/>
      <c r="AS13" s="3045"/>
      <c r="AT13" s="3046">
        <v>17387.849999999999</v>
      </c>
      <c r="AU13" s="3047"/>
      <c r="AV13" s="17">
        <f t="shared" ref="AV13:AX20" si="10">A13</f>
        <v>0</v>
      </c>
      <c r="AW13" s="17">
        <f t="shared" si="10"/>
        <v>0</v>
      </c>
      <c r="AX13" s="17" t="str">
        <f t="shared" si="10"/>
        <v>D地块</v>
      </c>
      <c r="AY13" s="996">
        <f t="shared" ref="AY13:AY20" si="11">ROUND($AY$6*AZ13/$AZ$5,2)</f>
        <v>15168.4</v>
      </c>
      <c r="AZ13" s="27">
        <f t="shared" ref="AZ13:AZ20" si="12">BA13+BL13</f>
        <v>67516.63</v>
      </c>
      <c r="BA13" s="27">
        <f t="shared" ref="BA13:BA20" si="13">SUM(BB13:BK13)</f>
        <v>66711.66</v>
      </c>
      <c r="BB13" s="27">
        <f t="shared" ref="BB13:BB20" si="14">IF($D13="是",I13-J13,0)</f>
        <v>57055.89</v>
      </c>
      <c r="BC13" s="27">
        <f t="shared" ref="BC13:BC20" si="15">IF($D13="是",K13-L13,0)</f>
        <v>3790.85</v>
      </c>
      <c r="BD13" s="27">
        <f t="shared" ref="BD13:BD20" si="16">IF($D13="是",M13-N13,0)</f>
        <v>5864.9200000000019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804.97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804.97</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t="s">
        <v>952</v>
      </c>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5" t="s">
        <v>0</v>
      </c>
      <c r="B1" s="3315" t="s">
        <v>4</v>
      </c>
      <c r="C1" s="3315" t="s">
        <v>5</v>
      </c>
      <c r="D1" s="3316" t="s">
        <v>40</v>
      </c>
      <c r="E1" s="3316" t="s">
        <v>41</v>
      </c>
      <c r="F1" s="3316"/>
      <c r="G1" s="3316"/>
      <c r="H1" s="3316"/>
      <c r="I1" s="3316"/>
      <c r="J1" s="3316"/>
      <c r="K1" s="3316"/>
      <c r="L1" s="3316"/>
      <c r="M1" s="3316"/>
    </row>
    <row r="2" spans="1:13" ht="27" customHeight="1">
      <c r="A2" s="3315"/>
      <c r="B2" s="3315"/>
      <c r="C2" s="3315"/>
      <c r="D2" s="3316"/>
      <c r="E2" s="3316" t="s">
        <v>24</v>
      </c>
      <c r="F2" s="3316" t="s">
        <v>25</v>
      </c>
      <c r="G2" s="3316"/>
      <c r="H2" s="3316"/>
      <c r="I2" s="3316"/>
      <c r="J2" s="3316" t="s">
        <v>26</v>
      </c>
      <c r="K2" s="3316"/>
      <c r="L2" s="3316"/>
      <c r="M2" s="3316"/>
    </row>
    <row r="3" spans="1:13" ht="28.5">
      <c r="A3" s="3315"/>
      <c r="B3" s="3315"/>
      <c r="C3" s="3315"/>
      <c r="D3" s="3316"/>
      <c r="E3" s="331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6" t="s">
        <v>42</v>
      </c>
      <c r="B9" s="3316"/>
      <c r="C9" s="33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H12" sqref="H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26" t="s">
        <v>203</v>
      </c>
      <c r="B2" s="3326"/>
      <c r="C2" s="3326"/>
      <c r="D2" s="1974" t="s">
        <v>204</v>
      </c>
      <c r="E2" s="106" t="s">
        <v>205</v>
      </c>
      <c r="F2" s="1983"/>
      <c r="G2" s="1198"/>
      <c r="H2" s="1199"/>
      <c r="I2" s="1200" t="s">
        <v>857</v>
      </c>
      <c r="J2" s="1983"/>
      <c r="K2" s="1983"/>
      <c r="L2" s="1983"/>
    </row>
    <row r="3" spans="1:16" ht="15.75" thickBot="1">
      <c r="A3" s="3327" t="s">
        <v>206</v>
      </c>
      <c r="B3" s="3327"/>
      <c r="C3" s="3327"/>
      <c r="D3" s="107">
        <f>'数据-基础表'!AY6</f>
        <v>15168.4</v>
      </c>
      <c r="E3" s="107">
        <f>'数据-基础表'!AZ5</f>
        <v>67516.63</v>
      </c>
      <c r="F3" s="1983"/>
      <c r="G3" s="280" t="s">
        <v>858</v>
      </c>
      <c r="H3" s="275" t="s">
        <v>859</v>
      </c>
      <c r="I3" s="1975">
        <f>ROUND('数据-基础表'!B3/'数据-基础表'!A3,2)</f>
        <v>4.45</v>
      </c>
      <c r="J3" s="1983"/>
      <c r="K3" s="1983"/>
      <c r="L3" s="1983"/>
    </row>
    <row r="4" spans="1:16" ht="15">
      <c r="A4" s="3328"/>
      <c r="B4" s="3329"/>
      <c r="C4" s="3330"/>
      <c r="D4" s="108" t="s">
        <v>204</v>
      </c>
      <c r="E4" s="109" t="s">
        <v>205</v>
      </c>
      <c r="F4" s="1983"/>
      <c r="G4" s="1201"/>
      <c r="H4" s="275" t="s">
        <v>860</v>
      </c>
      <c r="I4" s="1975">
        <f>ROUND(SUMIF('数据-基础表'!I9:AS9,"地上",'数据-基础表'!I5:AS5)/'数据-基础表'!A3,2)</f>
        <v>4.0599999999999996</v>
      </c>
      <c r="J4" s="1983"/>
      <c r="K4" s="1983"/>
      <c r="L4" s="1983"/>
    </row>
    <row r="5" spans="1:16">
      <c r="A5" s="110" t="s">
        <v>207</v>
      </c>
      <c r="B5" s="3331" t="s">
        <v>230</v>
      </c>
      <c r="C5" s="3331"/>
      <c r="D5" s="111">
        <f>ROUND($D$3*E5/$E$3,2)</f>
        <v>12818.27</v>
      </c>
      <c r="E5" s="112">
        <f>SUMIF('数据-基础表'!$11:$11,"住宅",'数据-基础表'!$5:$5)</f>
        <v>57055.89</v>
      </c>
      <c r="F5" s="1983"/>
      <c r="G5" s="280" t="s">
        <v>861</v>
      </c>
      <c r="H5" s="275" t="s">
        <v>859</v>
      </c>
      <c r="I5" s="1975">
        <f>ROUND(E31/D31,2)</f>
        <v>4.45</v>
      </c>
      <c r="J5" s="1983"/>
      <c r="K5" s="1983"/>
      <c r="L5" s="1983"/>
    </row>
    <row r="6" spans="1:16" ht="15" thickBot="1">
      <c r="A6" s="113"/>
      <c r="B6" s="3331" t="s">
        <v>208</v>
      </c>
      <c r="C6" s="3331"/>
      <c r="D6" s="111">
        <f>ROUND($D$3*E6/$E$3,2)</f>
        <v>2350.13</v>
      </c>
      <c r="E6" s="112">
        <f>E3-E5</f>
        <v>10460.740000000005</v>
      </c>
      <c r="F6" s="1983"/>
      <c r="G6" s="1201"/>
      <c r="H6" s="275" t="s">
        <v>860</v>
      </c>
      <c r="I6" s="1975">
        <f>ROUND(F31/D31,2)</f>
        <v>4.0599999999999996</v>
      </c>
      <c r="J6" s="1983"/>
      <c r="K6" s="1983"/>
      <c r="L6" s="1983"/>
    </row>
    <row r="7" spans="1:16" ht="15">
      <c r="A7" s="3323"/>
      <c r="B7" s="3324"/>
      <c r="C7" s="3325"/>
      <c r="D7" s="108" t="s">
        <v>204</v>
      </c>
      <c r="E7" s="114" t="s">
        <v>231</v>
      </c>
      <c r="F7" s="1983"/>
      <c r="G7" s="1156" t="s">
        <v>1646</v>
      </c>
      <c r="H7" s="1157"/>
      <c r="I7" s="3198"/>
      <c r="J7" s="1983"/>
      <c r="K7" s="1983"/>
      <c r="L7" s="1983"/>
    </row>
    <row r="8" spans="1:16">
      <c r="A8" s="110" t="s">
        <v>209</v>
      </c>
      <c r="B8" s="115" t="s">
        <v>210</v>
      </c>
      <c r="C8" s="111" t="s">
        <v>211</v>
      </c>
      <c r="D8" s="111">
        <f t="shared" ref="D8:D15" si="0">ROUND($D$3*E8/$E$3,2)</f>
        <v>13669.93</v>
      </c>
      <c r="E8" s="116">
        <f>SUMIF('数据-基础表'!BB10:BK10,"地上",'数据-基础表'!BB5:BK5)</f>
        <v>60846.74</v>
      </c>
      <c r="F8" s="1983"/>
      <c r="G8" s="1985"/>
      <c r="H8" s="1985"/>
      <c r="I8" s="1983"/>
      <c r="J8" s="1983"/>
      <c r="K8" s="1983"/>
      <c r="L8" s="1983"/>
    </row>
    <row r="9" spans="1:16">
      <c r="A9" s="117"/>
      <c r="B9" s="118"/>
      <c r="C9" s="111" t="s">
        <v>212</v>
      </c>
      <c r="D9" s="111">
        <f t="shared" si="0"/>
        <v>0</v>
      </c>
      <c r="E9" s="119"/>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1317.62</v>
      </c>
      <c r="E13" s="116">
        <f>SUMPRODUCT(('数据-基础表'!BB10:BK10="地下")*('数据-基础表'!BB11:BK11="车库")*('数据-基础表'!BB5:BK5))</f>
        <v>5864.9200000000019</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14987.55</v>
      </c>
      <c r="E16" s="120">
        <f>SUM(E8:E15)</f>
        <v>66711.66</v>
      </c>
      <c r="F16" s="1983"/>
      <c r="G16" s="1985"/>
      <c r="H16" s="968" t="s">
        <v>219</v>
      </c>
      <c r="I16" s="969"/>
      <c r="J16" s="1983"/>
      <c r="K16" s="3317" t="s">
        <v>2566</v>
      </c>
      <c r="L16" s="3318"/>
      <c r="M16" s="3318"/>
      <c r="N16" s="3318"/>
      <c r="O16" s="3318"/>
      <c r="P16" s="3319"/>
    </row>
    <row r="17" spans="1:19" ht="15">
      <c r="A17" s="121" t="s">
        <v>216</v>
      </c>
      <c r="B17" s="122" t="s">
        <v>217</v>
      </c>
      <c r="C17" s="2297" t="s">
        <v>2313</v>
      </c>
      <c r="D17" s="108" t="s">
        <v>204</v>
      </c>
      <c r="E17" s="124" t="s">
        <v>205</v>
      </c>
      <c r="F17" s="125"/>
      <c r="G17" s="1366"/>
      <c r="H17" s="970" t="s">
        <v>218</v>
      </c>
      <c r="I17" s="971" t="s">
        <v>2312</v>
      </c>
      <c r="J17" s="1983"/>
      <c r="K17" s="3320" t="s">
        <v>2567</v>
      </c>
      <c r="L17" s="3321"/>
      <c r="M17" s="3322"/>
      <c r="N17" s="3320" t="s">
        <v>2568</v>
      </c>
      <c r="O17" s="3321"/>
      <c r="P17" s="3322"/>
      <c r="R17" s="2298" t="s">
        <v>2311</v>
      </c>
      <c r="S17" s="144"/>
    </row>
    <row r="18" spans="1:19" ht="15">
      <c r="A18" s="117"/>
      <c r="B18" s="128"/>
      <c r="C18" s="129"/>
      <c r="D18" s="2665"/>
      <c r="E18" s="130" t="s">
        <v>220</v>
      </c>
      <c r="F18" s="131" t="s">
        <v>221</v>
      </c>
      <c r="G18" s="1367" t="s">
        <v>222</v>
      </c>
      <c r="H18" s="972" t="s">
        <v>223</v>
      </c>
      <c r="I18" s="973" t="s">
        <v>224</v>
      </c>
      <c r="J18" s="1983"/>
      <c r="K18" s="2628" t="s">
        <v>2569</v>
      </c>
      <c r="L18" s="2629" t="s">
        <v>2570</v>
      </c>
      <c r="M18" s="2630" t="s">
        <v>2571</v>
      </c>
      <c r="N18" s="2628" t="s">
        <v>2569</v>
      </c>
      <c r="O18" s="2629" t="s">
        <v>2570</v>
      </c>
      <c r="P18" s="2630" t="s">
        <v>2571</v>
      </c>
      <c r="R18" s="2299" t="s">
        <v>2309</v>
      </c>
      <c r="S18" s="2299" t="s">
        <v>2310</v>
      </c>
    </row>
    <row r="19" spans="1:19">
      <c r="A19" s="133"/>
      <c r="B19" s="115" t="s">
        <v>225</v>
      </c>
      <c r="C19" s="3048" t="s">
        <v>3063</v>
      </c>
      <c r="D19" s="111">
        <f t="shared" ref="D19:D26" si="1">ROUND($D$3*E19/$E$3,2)</f>
        <v>12818.27</v>
      </c>
      <c r="E19" s="134">
        <f t="shared" ref="E19:E26" si="2">SUM(F19:G19)</f>
        <v>57055.89</v>
      </c>
      <c r="F19" s="135">
        <f>'数据-基础表'!I13</f>
        <v>57055.89</v>
      </c>
      <c r="G19" s="1368"/>
      <c r="H19" s="974">
        <f>ROUND($D$3*I19/$E$3,2)</f>
        <v>154.66999999999999</v>
      </c>
      <c r="I19" s="116">
        <f>IF($I$17="自定义",P19,M19)</f>
        <v>688.46</v>
      </c>
      <c r="J19" s="1983"/>
      <c r="K19" s="2631">
        <f t="shared" ref="K19:K26" si="3">ROUND(E$28*E19/E$27,2)</f>
        <v>688.46</v>
      </c>
      <c r="L19" s="275">
        <f t="shared" ref="L19:L26" si="4">ROUND(IF(COUNTIF(C19,"*住宅*")&gt;0,E$29*E19/E$32,0),2)</f>
        <v>0</v>
      </c>
      <c r="M19" s="2632">
        <f>K19+L19</f>
        <v>688.46</v>
      </c>
      <c r="N19" s="2633"/>
      <c r="O19" s="2634"/>
      <c r="P19" s="2635">
        <f>N19+O19</f>
        <v>0</v>
      </c>
      <c r="R19" s="275">
        <f t="shared" ref="R19:S26" si="5">D19+H19</f>
        <v>12972.94</v>
      </c>
      <c r="S19" s="2300">
        <f t="shared" si="5"/>
        <v>57744.35</v>
      </c>
    </row>
    <row r="20" spans="1:19">
      <c r="A20" s="138"/>
      <c r="B20" s="115" t="s">
        <v>226</v>
      </c>
      <c r="C20" s="3048" t="s">
        <v>3064</v>
      </c>
      <c r="D20" s="111">
        <f t="shared" si="1"/>
        <v>851.66</v>
      </c>
      <c r="E20" s="134">
        <f t="shared" si="2"/>
        <v>3790.85</v>
      </c>
      <c r="F20" s="135">
        <f>'数据-基础表'!K13</f>
        <v>3790.85</v>
      </c>
      <c r="G20" s="1368"/>
      <c r="H20" s="974">
        <f t="shared" ref="H20:H26" si="6">ROUND($D$3*I20/$E$3,2)</f>
        <v>10.28</v>
      </c>
      <c r="I20" s="116">
        <f t="shared" ref="I20:I26" si="7">IF($I$17="自定义",P20,M20)</f>
        <v>45.74</v>
      </c>
      <c r="J20" s="1983"/>
      <c r="K20" s="2631">
        <f t="shared" si="3"/>
        <v>45.74</v>
      </c>
      <c r="L20" s="275">
        <f t="shared" si="4"/>
        <v>0</v>
      </c>
      <c r="M20" s="2632">
        <f t="shared" ref="M20:M26" si="8">K20+L20</f>
        <v>45.74</v>
      </c>
      <c r="N20" s="2633"/>
      <c r="O20" s="2634"/>
      <c r="P20" s="2635">
        <f t="shared" ref="P20:P26" si="9">N20+O20</f>
        <v>0</v>
      </c>
      <c r="R20" s="275">
        <f t="shared" si="5"/>
        <v>861.93999999999994</v>
      </c>
      <c r="S20" s="2300">
        <f t="shared" si="5"/>
        <v>3836.5899999999997</v>
      </c>
    </row>
    <row r="21" spans="1:19">
      <c r="A21" s="138"/>
      <c r="B21" s="115" t="s">
        <v>226</v>
      </c>
      <c r="C21" s="3048" t="s">
        <v>3065</v>
      </c>
      <c r="D21" s="111">
        <f t="shared" si="1"/>
        <v>1317.62</v>
      </c>
      <c r="E21" s="134">
        <f t="shared" si="2"/>
        <v>5864.9200000000019</v>
      </c>
      <c r="F21" s="135"/>
      <c r="G21" s="1368">
        <f>'数据-基础表'!M13</f>
        <v>5864.9200000000019</v>
      </c>
      <c r="H21" s="974">
        <f t="shared" si="6"/>
        <v>15.9</v>
      </c>
      <c r="I21" s="116">
        <f t="shared" si="7"/>
        <v>70.77</v>
      </c>
      <c r="J21" s="1983"/>
      <c r="K21" s="2631">
        <f t="shared" si="3"/>
        <v>70.77</v>
      </c>
      <c r="L21" s="275">
        <f t="shared" si="4"/>
        <v>0</v>
      </c>
      <c r="M21" s="2632">
        <f t="shared" si="8"/>
        <v>70.77</v>
      </c>
      <c r="N21" s="2633"/>
      <c r="O21" s="2634"/>
      <c r="P21" s="2635">
        <f t="shared" si="9"/>
        <v>0</v>
      </c>
      <c r="R21" s="275">
        <f t="shared" si="5"/>
        <v>1333.52</v>
      </c>
      <c r="S21" s="2300">
        <f t="shared" si="5"/>
        <v>5935.6900000000023</v>
      </c>
    </row>
    <row r="22" spans="1:19">
      <c r="A22" s="138"/>
      <c r="B22" s="115" t="s">
        <v>226</v>
      </c>
      <c r="C22" s="1365"/>
      <c r="D22" s="111">
        <f t="shared" si="1"/>
        <v>0</v>
      </c>
      <c r="E22" s="134">
        <f t="shared" si="2"/>
        <v>0</v>
      </c>
      <c r="F22" s="140"/>
      <c r="G22" s="1369"/>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14987.55</v>
      </c>
      <c r="E27" s="143">
        <f>IF(SUM(E19:E26)='数据-基础表'!BA5,SUM(E19:E26),IF(F27="地上面积有误","面积有误","地下面积有误"))</f>
        <v>66711.66</v>
      </c>
      <c r="F27" s="134">
        <f>IF(SUM(F19:F26)=E8,SUM(F19:F26),"地上面积有误")</f>
        <v>60846.74</v>
      </c>
      <c r="G27" s="112">
        <f>SUM(G19:G26)</f>
        <v>5864.9200000000019</v>
      </c>
      <c r="H27" s="975">
        <f>SUM(H19:H26)</f>
        <v>180.85</v>
      </c>
      <c r="I27" s="976">
        <f>SUM(I19:I26)</f>
        <v>804.97</v>
      </c>
      <c r="J27" s="1983"/>
      <c r="K27" s="2640">
        <f t="shared" ref="K27:P27" si="10">SUM(K19:K26)</f>
        <v>804.97</v>
      </c>
      <c r="L27" s="2641">
        <f t="shared" si="10"/>
        <v>0</v>
      </c>
      <c r="M27" s="2642">
        <f t="shared" si="10"/>
        <v>804.97</v>
      </c>
      <c r="N27" s="2640">
        <f t="shared" si="10"/>
        <v>0</v>
      </c>
      <c r="O27" s="2641">
        <f t="shared" si="10"/>
        <v>0</v>
      </c>
      <c r="P27" s="2643">
        <f t="shared" si="10"/>
        <v>0</v>
      </c>
      <c r="R27" s="2304">
        <f>IF(SUM(R19:R26)=$D$3,SUM(R19:R26),SUM(R19:R26)&amp;"误差"&amp;ROUND(SUM(R19:R26)-$D$3,2))</f>
        <v>15168.400000000001</v>
      </c>
      <c r="S27" s="275">
        <f>IF(SUM(S19:S26)=$E$3,SUM(S19:S26),SUM(S19:S26)&amp;"误差"&amp;ROUND(SUM(S19:S26)-E3,2))</f>
        <v>67516.63</v>
      </c>
    </row>
    <row r="28" spans="1:19">
      <c r="A28" s="138"/>
      <c r="B28" s="115" t="s">
        <v>227</v>
      </c>
      <c r="C28" s="136" t="s">
        <v>228</v>
      </c>
      <c r="D28" s="111">
        <f>ROUND($D$3*E28/$E$3,2)</f>
        <v>180.85</v>
      </c>
      <c r="E28" s="134">
        <f>SUM(F28:G28)</f>
        <v>804.97</v>
      </c>
      <c r="F28" s="144">
        <f>'数据-基础表'!BQ5+'数据-基础表'!BS5</f>
        <v>804.97</v>
      </c>
      <c r="G28" s="145">
        <f>'数据-基础表'!BR5+'数据-基础表'!BT5</f>
        <v>0</v>
      </c>
      <c r="H28" s="1983"/>
      <c r="I28" s="1983"/>
      <c r="J28" s="1983"/>
      <c r="K28" s="1983"/>
      <c r="L28" s="1983"/>
    </row>
    <row r="29" spans="1:19">
      <c r="A29" s="138"/>
      <c r="B29" s="115" t="s">
        <v>227</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180.85</v>
      </c>
      <c r="E30" s="134">
        <f>SUM(E28:E29)</f>
        <v>804.97</v>
      </c>
      <c r="F30" s="134">
        <f>SUM(F28:F29)</f>
        <v>804.97</v>
      </c>
      <c r="G30" s="112">
        <f>SUM(G28:G29)</f>
        <v>0</v>
      </c>
      <c r="H30" s="1983"/>
      <c r="I30" s="1983"/>
      <c r="J30" s="1983"/>
      <c r="K30" s="1983"/>
      <c r="L30" s="1983"/>
    </row>
    <row r="31" spans="1:19" ht="32.25" customHeight="1" thickBot="1">
      <c r="A31" s="1370"/>
      <c r="B31" s="1371" t="s">
        <v>229</v>
      </c>
      <c r="C31" s="2329" t="s">
        <v>2322</v>
      </c>
      <c r="D31" s="1372">
        <f>D27+D30</f>
        <v>15168.4</v>
      </c>
      <c r="E31" s="1372">
        <f>E27+E30</f>
        <v>67516.63</v>
      </c>
      <c r="F31" s="1373">
        <f>F27+F30</f>
        <v>61651.71</v>
      </c>
      <c r="G31" s="1374">
        <f>G27+G30</f>
        <v>5864.9200000000019</v>
      </c>
      <c r="H31" s="1983"/>
      <c r="I31" s="1983"/>
      <c r="J31" s="1983"/>
      <c r="K31" s="1983"/>
      <c r="L31" s="1983"/>
    </row>
    <row r="32" spans="1:19">
      <c r="A32" s="1983"/>
      <c r="B32" s="2362" t="s">
        <v>2321</v>
      </c>
      <c r="C32" s="2670"/>
      <c r="D32" s="1201"/>
      <c r="E32" s="1201">
        <f>SUMIF(C19:C26,"*住宅*",E19:E26)</f>
        <v>57055.89</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43244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44"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63523</v>
      </c>
      <c r="F6" s="174">
        <f>SUMIF(项目基本情况!D$15:I$15,C6,项目基本情况!D$19:I$19)</f>
        <v>55.55</v>
      </c>
      <c r="G6" s="175">
        <f t="shared" ref="G6:G13" si="0">IF(ISERROR(ROUND(POWER(1+H6,D6-F6)*(POWER(1+H6,F6)-1)/(POWER(1+H6,D6)-1),3)),0,ROUND(POWER(1+H6,D6-F6)*(POWER(1+H6,F6)-1)/(POWER(1+H6,D6)-1),3))</f>
        <v>0.95699999999999996</v>
      </c>
      <c r="H6" s="3199">
        <v>4.4999999999999998E-2</v>
      </c>
      <c r="I6" s="3199">
        <v>4.4999999999999998E-2</v>
      </c>
      <c r="J6" s="176">
        <v>7.4999999999999997E-2</v>
      </c>
      <c r="K6" s="179">
        <f>SUMIF('数据-汇总表'!C$19:C$33,'数据-取费表'!A6,'数据-汇总表'!E$19:E$33)</f>
        <v>57055.89</v>
      </c>
      <c r="L6" s="3049">
        <v>3000</v>
      </c>
      <c r="M6" s="177">
        <f t="shared" ref="M6:M14" si="1">ROUND(K6*L6/10000,0)</f>
        <v>17117</v>
      </c>
      <c r="N6" s="3050">
        <v>0</v>
      </c>
      <c r="O6" s="177">
        <f>IF($N$5="成新度","——",ROUND(M6*N6,0))</f>
        <v>0</v>
      </c>
      <c r="P6" s="178">
        <f>IF($N$5="成新度","——",M6-O6)</f>
        <v>17117</v>
      </c>
      <c r="Q6" s="3051">
        <v>0.25</v>
      </c>
      <c r="R6" s="179">
        <f>SUMIF('数据-汇总表'!C$19:C$33,A6,'数据-汇总表'!R$19:R$33)</f>
        <v>12972.94</v>
      </c>
      <c r="S6" s="132">
        <f>IF('数据-汇总表'!$I$17="按面积比例",SUMIF('数据-汇总表'!C$19:C$33,A6,'数据-汇总表'!K$19:K$33),SUMIF('数据-汇总表'!C$19:C$33,A6,'数据-汇总表'!N$19:N$33))</f>
        <v>688.46</v>
      </c>
      <c r="T6" s="2233">
        <f>IF($T$4="按面积比例",IF(ISERROR(ROUND($M$14*S6/S$16,0)),"0",ROUND($M$14*S6/S$16,0)),"需自行计算录入")</f>
        <v>206</v>
      </c>
      <c r="U6" s="180"/>
      <c r="V6" s="181"/>
      <c r="W6" s="181"/>
      <c r="X6" s="2320"/>
      <c r="Y6" s="182"/>
      <c r="Z6" s="183"/>
      <c r="AA6" s="176"/>
      <c r="AB6" s="176"/>
      <c r="AC6" s="2323"/>
      <c r="AD6" s="184"/>
      <c r="AE6" s="972">
        <f ca="1">IF(AN6="",0,SUMIF(INDIRECT("'"&amp;AN6&amp;"'"&amp;"!E:E"),$AE$5,INDIRECT("'"&amp;AN6&amp;"'"&amp;"!F:F")))</f>
        <v>33.54</v>
      </c>
      <c r="AF6" s="141"/>
      <c r="AG6" s="1213">
        <f>IF(AF6="",0,AE6-AF6)</f>
        <v>0</v>
      </c>
      <c r="AH6" s="141"/>
      <c r="AI6" s="187">
        <v>365</v>
      </c>
      <c r="AJ6" s="188"/>
      <c r="AK6" s="189"/>
      <c r="AL6" s="190"/>
      <c r="AM6" s="3062"/>
      <c r="AN6" s="2415" t="s">
        <v>3004</v>
      </c>
      <c r="AO6" s="1999"/>
      <c r="AP6" s="1204">
        <f>ROUND(1-1/(1+H6)^F6,3)</f>
        <v>0.91300000000000003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2">IF(A7=0,"","经营性")</f>
        <v>经营性</v>
      </c>
      <c r="C7" s="173" t="s">
        <v>2987</v>
      </c>
      <c r="D7" s="2307">
        <f>SUMIF(项目基本情况!D$15:I$15,C7,项目基本情况!D$18:I$18)</f>
        <v>40</v>
      </c>
      <c r="E7" s="2308">
        <f>IF(B7="","",SUMIF(项目基本情况!D$15:I$15,C7,项目基本情况!D$17:I$17))</f>
        <v>52565</v>
      </c>
      <c r="F7" s="174">
        <f>SUMIF(项目基本情况!D$15:I$15,C7,项目基本情况!D$19:I$19)</f>
        <v>25.53</v>
      </c>
      <c r="G7" s="175">
        <f t="shared" si="0"/>
        <v>0.81499999999999995</v>
      </c>
      <c r="H7" s="3199">
        <v>4.4999999999999998E-2</v>
      </c>
      <c r="I7" s="3199">
        <v>0.05</v>
      </c>
      <c r="J7" s="176">
        <v>7.4999999999999997E-2</v>
      </c>
      <c r="K7" s="179">
        <f>SUMIF('数据-汇总表'!C$19:C$33,'数据-取费表'!A7,'数据-汇总表'!E$19:E$33)</f>
        <v>3790.85</v>
      </c>
      <c r="L7" s="3049">
        <v>3000</v>
      </c>
      <c r="M7" s="177">
        <f t="shared" si="1"/>
        <v>1137</v>
      </c>
      <c r="N7" s="3050">
        <v>0</v>
      </c>
      <c r="O7" s="177">
        <f t="shared" ref="O7:O14" si="3">IF($N$5="成新度","——",ROUND(M7*N7,0))</f>
        <v>0</v>
      </c>
      <c r="P7" s="178">
        <f t="shared" ref="P7:P14" si="4">IF($N$5="成新度","——",M7-O7)</f>
        <v>1137</v>
      </c>
      <c r="Q7" s="3051">
        <v>0.3</v>
      </c>
      <c r="R7" s="179">
        <f>SUMIF('数据-汇总表'!C$19:C$33,A7,'数据-汇总表'!R$19:R$33)</f>
        <v>861.93999999999994</v>
      </c>
      <c r="S7" s="132">
        <f>IF('数据-汇总表'!$I$17="按面积比例",SUMIF('数据-汇总表'!C$19:C$33,A7,'数据-汇总表'!K$19:K$33),SUMIF('数据-汇总表'!C$19:C$33,A7,'数据-汇总表'!N$19:N$33))</f>
        <v>45.74</v>
      </c>
      <c r="T7" s="2233">
        <f t="shared" ref="T7:T13" si="5">IF($T$4="按面积比例",IF(ISERROR(ROUND($M$14*S7/S$16,0)),"0",ROUND($M$14*S7/S$16,0)),"需自行计算录入")</f>
        <v>14</v>
      </c>
      <c r="U7" s="180">
        <v>5</v>
      </c>
      <c r="V7" s="181">
        <v>3.5000000000000003E-2</v>
      </c>
      <c r="W7" s="181">
        <v>0.15</v>
      </c>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v>365</v>
      </c>
      <c r="AJ7" s="188"/>
      <c r="AK7" s="189">
        <v>1.4999999999999999E-2</v>
      </c>
      <c r="AL7" s="190">
        <v>1.5E-3</v>
      </c>
      <c r="AM7" s="3062">
        <v>0.01</v>
      </c>
      <c r="AN7" s="2415"/>
      <c r="AO7" s="1999"/>
      <c r="AP7" s="1204">
        <f t="shared" ref="AP7:AP13" si="8">ROUND(1-1/(1+H7)^F7,3)</f>
        <v>0.67500000000000004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车库</v>
      </c>
      <c r="B8" s="2336" t="str">
        <f t="shared" si="2"/>
        <v>经营性</v>
      </c>
      <c r="C8" s="173" t="s">
        <v>3062</v>
      </c>
      <c r="D8" s="2307">
        <f>SUMIF(项目基本情况!D$15:I$15,C8,项目基本情况!D$18:I$18)</f>
        <v>50</v>
      </c>
      <c r="E8" s="2308">
        <f>IF(B8="","",SUMIF(项目基本情况!D$15:I$15,C8,项目基本情况!D$17:I$17))</f>
        <v>56218</v>
      </c>
      <c r="F8" s="174">
        <f>SUMIF(项目基本情况!D$15:I$15,C8,项目基本情况!D$19:I$19)</f>
        <v>35.54</v>
      </c>
      <c r="G8" s="175">
        <f t="shared" si="0"/>
        <v>0.88900000000000001</v>
      </c>
      <c r="H8" s="3199">
        <v>4.4999999999999998E-2</v>
      </c>
      <c r="I8" s="3199">
        <v>4.4999999999999998E-2</v>
      </c>
      <c r="J8" s="176">
        <v>7.4999999999999997E-2</v>
      </c>
      <c r="K8" s="179">
        <f>SUMIF('数据-汇总表'!C$19:C$33,'数据-取费表'!A8,'数据-汇总表'!E$19:E$33)</f>
        <v>5864.9200000000019</v>
      </c>
      <c r="L8" s="3049">
        <v>3000</v>
      </c>
      <c r="M8" s="177">
        <f>ROUND(K8*L8/10000,0)</f>
        <v>1759</v>
      </c>
      <c r="N8" s="3050">
        <v>0</v>
      </c>
      <c r="O8" s="177">
        <f t="shared" si="3"/>
        <v>0</v>
      </c>
      <c r="P8" s="178">
        <f t="shared" si="4"/>
        <v>1759</v>
      </c>
      <c r="Q8" s="3051">
        <v>0.2</v>
      </c>
      <c r="R8" s="179">
        <f>SUMIF('数据-汇总表'!C$19:C$33,A8,'数据-汇总表'!R$19:R$33)</f>
        <v>1333.52</v>
      </c>
      <c r="S8" s="132">
        <f>IF('数据-汇总表'!$I$17="按面积比例",SUMIF('数据-汇总表'!C$19:C$33,A8,'数据-汇总表'!K$19:K$33),SUMIF('数据-汇总表'!C$19:C$33,A8,'数据-汇总表'!N$19:N$33))</f>
        <v>70.77</v>
      </c>
      <c r="T8" s="2233">
        <f t="shared" si="5"/>
        <v>21</v>
      </c>
      <c r="U8" s="180">
        <v>2</v>
      </c>
      <c r="V8" s="181">
        <v>0.02</v>
      </c>
      <c r="W8" s="181">
        <v>0.15</v>
      </c>
      <c r="X8" s="2320"/>
      <c r="Y8" s="3201">
        <v>1</v>
      </c>
      <c r="Z8" s="183"/>
      <c r="AA8" s="176"/>
      <c r="AB8" s="176"/>
      <c r="AC8" s="2323"/>
      <c r="AD8" s="184"/>
      <c r="AE8" s="972">
        <f t="shared" ca="1" si="6"/>
        <v>33.54</v>
      </c>
      <c r="AF8" s="141"/>
      <c r="AG8" s="1213">
        <f t="shared" si="7"/>
        <v>0</v>
      </c>
      <c r="AH8" s="141"/>
      <c r="AI8" s="187">
        <v>365</v>
      </c>
      <c r="AJ8" s="188"/>
      <c r="AK8" s="189">
        <v>1.4999999999999999E-2</v>
      </c>
      <c r="AL8" s="190">
        <v>1.5E-3</v>
      </c>
      <c r="AM8" s="3062">
        <v>0.01</v>
      </c>
      <c r="AN8" s="2415" t="s">
        <v>3004</v>
      </c>
      <c r="AO8" s="1999"/>
      <c r="AP8" s="1204">
        <f t="shared" si="8"/>
        <v>0.79100000000000004</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2"/>
        <v/>
      </c>
      <c r="C9" s="173"/>
      <c r="D9" s="2307">
        <f>SUMIF(项目基本情况!D$15:I$15,C9,项目基本情况!D$18:I$18)</f>
        <v>0</v>
      </c>
      <c r="E9" s="2308"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413"/>
      <c r="AN9" s="2415"/>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2"/>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2"/>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2"/>
        <v/>
      </c>
      <c r="C12" s="173"/>
      <c r="D12" s="2307">
        <f>SUMIF(项目基本情况!D$15:I$15,C12,项目基本情况!D$18:I$18)</f>
        <v>0</v>
      </c>
      <c r="E12" s="2308"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2"/>
        <v/>
      </c>
      <c r="C13" s="173"/>
      <c r="D13" s="2307">
        <f>SUMIF(项目基本情况!D$15:I$15,C13,项目基本情况!D$18:I$18)</f>
        <v>0</v>
      </c>
      <c r="E13" s="2308"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1680</v>
      </c>
      <c r="C14" s="2306" t="s">
        <v>2314</v>
      </c>
      <c r="D14" s="2307"/>
      <c r="E14" s="2308"/>
      <c r="F14" s="174"/>
      <c r="G14" s="175"/>
      <c r="H14" s="2309"/>
      <c r="I14" s="2309"/>
      <c r="J14" s="2309"/>
      <c r="K14" s="179">
        <f>SUMIF('数据-汇总表'!C$19:C$33,'数据-取费表'!A14,'数据-汇总表'!E$19:E$33)</f>
        <v>804.97</v>
      </c>
      <c r="L14" s="3200">
        <v>3000</v>
      </c>
      <c r="M14" s="177">
        <f t="shared" si="1"/>
        <v>241</v>
      </c>
      <c r="N14" s="194"/>
      <c r="O14" s="177">
        <f t="shared" si="3"/>
        <v>0</v>
      </c>
      <c r="P14" s="178">
        <f t="shared" si="4"/>
        <v>241</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1680</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0.94299999999999995</v>
      </c>
      <c r="H16" s="203">
        <f>ROUND(SUMPRODUCT(H6:H13,K6:K13)/SUMPRODUCT((H6:H13&gt;0)*(K6:K13)),3)</f>
        <v>4.4999999999999998E-2</v>
      </c>
      <c r="I16" s="204"/>
      <c r="J16" s="204"/>
      <c r="K16" s="205">
        <f>SUM(K6:K15)</f>
        <v>67516.63</v>
      </c>
      <c r="L16" s="206">
        <f>ROUND(M16*10000/SUM(K6:K14),0)</f>
        <v>3000</v>
      </c>
      <c r="M16" s="206">
        <f>SUM(M6:M14)</f>
        <v>20254</v>
      </c>
      <c r="N16" s="207">
        <f>ROUND(SUMPRODUCT(M6:M14,N6:N14)/M16,3)</f>
        <v>0</v>
      </c>
      <c r="O16" s="206">
        <f>SUM(O6:O14)</f>
        <v>0</v>
      </c>
      <c r="P16" s="206">
        <f>SUM(P6:P14)</f>
        <v>20254</v>
      </c>
      <c r="Q16" s="208">
        <f>ROUND(SUMPRODUCT(Q6:Q13,K6:K13)/SUMPRODUCT((Q6:Q13&gt;0)*(K6:K13)),2)</f>
        <v>0.25</v>
      </c>
      <c r="R16" s="2310">
        <f>SUM(R6:R13)</f>
        <v>15168.400000000001</v>
      </c>
      <c r="S16" s="209">
        <f>SUM(S6:S13)</f>
        <v>804.97</v>
      </c>
      <c r="T16" s="210">
        <f>IF(SUMIF(T6:T13,"&lt;9E307")=M14,SUMIF(T6:T13,"&lt;9E307"),"有误，请检查")</f>
        <v>241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0.88900000000000001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2337</v>
      </c>
      <c r="B27" s="227">
        <f>ROUND(L6*0.04,0)</f>
        <v>120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2338</v>
      </c>
      <c r="B28" s="229">
        <f>B27</f>
        <v>120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2336</v>
      </c>
      <c r="B29" s="232"/>
      <c r="C29" s="1553"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2889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2890</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2892</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2893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7" t="s">
        <v>2897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8" t="s">
        <v>2898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8" t="s">
        <v>2899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99" t="s">
        <v>2900</v>
      </c>
      <c r="D53" s="3100" t="s">
        <v>2901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2902</v>
      </c>
      <c r="B54" s="186">
        <v>8</v>
      </c>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2903</v>
      </c>
      <c r="B55" s="186"/>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2904</v>
      </c>
      <c r="B56" s="186"/>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2905</v>
      </c>
      <c r="B57" s="186"/>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2906</v>
      </c>
      <c r="B58" s="186"/>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2907</v>
      </c>
      <c r="B59" s="186"/>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2908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2909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2910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2911</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32" t="s">
        <v>1664</v>
      </c>
      <c r="B1" s="3333"/>
      <c r="C1" s="3333"/>
      <c r="D1" s="3333"/>
      <c r="E1" s="3333"/>
      <c r="F1" s="3333"/>
      <c r="G1" s="3333"/>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104" t="s">
        <v>2918</v>
      </c>
      <c r="D3" s="2008"/>
      <c r="E3" s="1229" t="s">
        <v>1667</v>
      </c>
      <c r="F3" s="1230" t="s">
        <v>1655</v>
      </c>
      <c r="G3" s="3108" t="s">
        <v>2917</v>
      </c>
      <c r="H3" s="2007"/>
      <c r="I3" s="2007"/>
      <c r="J3" s="2007"/>
      <c r="K3" s="2007"/>
      <c r="L3" s="2007"/>
      <c r="M3" s="2007"/>
      <c r="N3" s="2007"/>
      <c r="O3" s="2007"/>
      <c r="P3" s="2007"/>
      <c r="Q3" s="2007"/>
      <c r="R3" s="2007"/>
    </row>
    <row r="4" spans="1:18" ht="41.25">
      <c r="A4" s="1229"/>
      <c r="B4" s="1231" t="s">
        <v>1668</v>
      </c>
      <c r="C4" s="3105" t="s">
        <v>2919</v>
      </c>
      <c r="D4" s="2008"/>
      <c r="E4" s="1232"/>
      <c r="F4" s="1233" t="s">
        <v>1669</v>
      </c>
      <c r="G4" s="3106" t="s">
        <v>2914</v>
      </c>
      <c r="H4" s="2007"/>
      <c r="I4" s="2007"/>
      <c r="J4" s="2007"/>
      <c r="K4" s="2007"/>
      <c r="L4" s="2007"/>
      <c r="M4" s="2007"/>
      <c r="N4" s="2007"/>
      <c r="O4" s="2007"/>
      <c r="P4" s="2007"/>
      <c r="Q4" s="2007"/>
      <c r="R4" s="2007"/>
    </row>
    <row r="5" spans="1:18" ht="41.25">
      <c r="A5" s="1229"/>
      <c r="B5" s="1231" t="s">
        <v>1670</v>
      </c>
      <c r="C5" s="3105" t="s">
        <v>2920</v>
      </c>
      <c r="D5" s="2008"/>
      <c r="E5" s="1232"/>
      <c r="F5" s="1231" t="s">
        <v>2546</v>
      </c>
      <c r="G5" s="3106" t="s">
        <v>2915</v>
      </c>
      <c r="H5" s="2007"/>
      <c r="I5" s="2007"/>
      <c r="J5" s="2007"/>
      <c r="K5" s="2007"/>
      <c r="L5" s="2007"/>
      <c r="M5" s="2007"/>
      <c r="N5" s="2007"/>
      <c r="O5" s="2007"/>
      <c r="P5" s="2007"/>
      <c r="Q5" s="2007"/>
      <c r="R5" s="2007"/>
    </row>
    <row r="6" spans="1:18" ht="54">
      <c r="A6" s="1229"/>
      <c r="B6" s="1231" t="s">
        <v>1656</v>
      </c>
      <c r="C6" s="3106" t="s">
        <v>2914</v>
      </c>
      <c r="D6" s="2008"/>
      <c r="E6" s="1232"/>
      <c r="F6" s="1231" t="s">
        <v>2547</v>
      </c>
      <c r="G6" s="3106" t="s">
        <v>2912</v>
      </c>
      <c r="H6" s="2007"/>
      <c r="I6" s="2007"/>
      <c r="J6" s="2007"/>
      <c r="K6" s="2007"/>
      <c r="L6" s="2007"/>
      <c r="M6" s="2007"/>
      <c r="N6" s="2007"/>
      <c r="O6" s="2007"/>
      <c r="P6" s="2007"/>
      <c r="Q6" s="2007"/>
      <c r="R6" s="2007"/>
    </row>
    <row r="7" spans="1:18" ht="41.25" thickBot="1">
      <c r="A7" s="1229"/>
      <c r="B7" s="1231" t="s">
        <v>2546</v>
      </c>
      <c r="C7" s="3106" t="s">
        <v>2915</v>
      </c>
      <c r="D7" s="2009"/>
      <c r="E7" s="1234"/>
      <c r="F7" s="1235" t="s">
        <v>1671</v>
      </c>
      <c r="G7" s="3109" t="s">
        <v>2916</v>
      </c>
      <c r="H7" s="2007"/>
      <c r="I7" s="2007"/>
      <c r="J7" s="2007"/>
      <c r="K7" s="2007"/>
      <c r="L7" s="2007"/>
      <c r="M7" s="2007"/>
      <c r="N7" s="2007"/>
      <c r="O7" s="2007"/>
      <c r="P7" s="2007"/>
      <c r="Q7" s="2007"/>
      <c r="R7" s="2007"/>
    </row>
    <row r="8" spans="1:18" ht="27">
      <c r="A8" s="1229"/>
      <c r="B8" s="1231" t="s">
        <v>2547</v>
      </c>
      <c r="C8" s="3106" t="s">
        <v>2912</v>
      </c>
      <c r="D8" s="2009"/>
      <c r="E8" s="2009"/>
      <c r="F8" s="1554"/>
      <c r="G8" s="1554"/>
      <c r="H8" s="2007"/>
      <c r="I8" s="2007"/>
      <c r="J8" s="2007"/>
      <c r="K8" s="2007"/>
      <c r="L8" s="2007"/>
      <c r="M8" s="2007"/>
      <c r="N8" s="2007"/>
      <c r="O8" s="2007"/>
      <c r="P8" s="2007"/>
      <c r="Q8" s="2007"/>
      <c r="R8" s="2007"/>
    </row>
    <row r="9" spans="1:18" ht="40.5">
      <c r="A9" s="1229"/>
      <c r="B9" s="1231" t="s">
        <v>1657</v>
      </c>
      <c r="C9" s="3105" t="s">
        <v>2913</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107"/>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4"/>
      <c r="E13" s="2601"/>
      <c r="F13" s="2601"/>
      <c r="G13" s="2601"/>
    </row>
    <row r="14" spans="1:18" ht="14.25" thickBot="1">
      <c r="A14" s="1238"/>
      <c r="B14" s="1239"/>
      <c r="C14" s="1240" t="s">
        <v>1665</v>
      </c>
      <c r="D14" s="2008"/>
      <c r="E14" s="1241"/>
      <c r="F14" s="1241"/>
      <c r="G14" s="1223" t="s">
        <v>1666</v>
      </c>
    </row>
    <row r="15" spans="1:18" ht="54">
      <c r="A15" s="2611" t="s">
        <v>1658</v>
      </c>
      <c r="B15" s="1242" t="s">
        <v>1654</v>
      </c>
      <c r="C15" s="1243" t="str">
        <f>C3</f>
        <v>估价对象周边居住用地比例、居住小区规模和社区发展完善程度，综合评价居住社区成熟度一般</v>
      </c>
      <c r="D15" s="2008"/>
      <c r="E15" s="2608" t="s">
        <v>1659</v>
      </c>
      <c r="F15" s="1242" t="s">
        <v>1674</v>
      </c>
      <c r="G15" s="1244" t="str">
        <f>G3</f>
        <v>估价对象位于XX开发区，园区建设成熟度XX，产业集聚程度XX</v>
      </c>
    </row>
    <row r="16" spans="1:18" ht="40.5">
      <c r="A16" s="2612"/>
      <c r="B16" s="1245" t="s">
        <v>1668</v>
      </c>
      <c r="C16" s="1246" t="str">
        <f>C4</f>
        <v>估价对象位于XX商圈，周边商业氛围成熟，人流量大，商业繁华度好</v>
      </c>
      <c r="D16" s="2008"/>
      <c r="E16" s="2609"/>
      <c r="F16" s="1247" t="s">
        <v>1669</v>
      </c>
      <c r="G16" s="1005" t="str">
        <f>G4</f>
        <v>估价对象周边道路状况、公共交通通达情况、停车便捷程度，综合评价交通便捷度较好</v>
      </c>
    </row>
    <row r="17" spans="1:7" ht="40.5">
      <c r="A17" s="2612"/>
      <c r="B17" s="1245" t="s">
        <v>1670</v>
      </c>
      <c r="C17" s="1246" t="str">
        <f>C5</f>
        <v>估价对象位于XX商圈，周边办公楼项目较多，入驻率高，办公集聚程度较好</v>
      </c>
      <c r="D17" s="2009"/>
      <c r="E17" s="2609"/>
      <c r="F17" s="1247" t="s">
        <v>1675</v>
      </c>
      <c r="G17" s="2817"/>
    </row>
    <row r="18" spans="1:7" ht="54">
      <c r="A18" s="2612"/>
      <c r="B18" s="1247" t="s">
        <v>1656</v>
      </c>
      <c r="C18" s="1005" t="str">
        <f>C6</f>
        <v>估价对象周边道路状况、公共交通通达情况、停车便捷程度，综合评价交通便捷度较好</v>
      </c>
      <c r="D18" s="2009"/>
      <c r="E18" s="2609"/>
      <c r="F18" s="1247" t="s">
        <v>1671</v>
      </c>
      <c r="G18" s="1005" t="str">
        <f>G7</f>
        <v>该园区内是否有污染型企业，绿化情况，卫生条件，整体环境状况判断</v>
      </c>
    </row>
    <row r="19" spans="1:7" ht="27">
      <c r="A19" s="2612"/>
      <c r="B19" s="1247" t="s">
        <v>1660</v>
      </c>
      <c r="C19" s="2817"/>
      <c r="D19" s="2008"/>
      <c r="E19" s="2609"/>
      <c r="F19" s="1231" t="s">
        <v>2546</v>
      </c>
      <c r="G19" s="1005" t="str">
        <f>G5</f>
        <v>估价对象所在区域公共配套设施齐备情况</v>
      </c>
    </row>
    <row r="20" spans="1:7" ht="40.5">
      <c r="A20" s="2612"/>
      <c r="B20" s="1247" t="s">
        <v>1661</v>
      </c>
      <c r="C20" s="1246" t="str">
        <f>C9</f>
        <v>区域自然环境：；人文环境；综合评价环境状况一般</v>
      </c>
      <c r="D20" s="2009"/>
      <c r="E20" s="2609"/>
      <c r="F20" s="1231" t="s">
        <v>2547</v>
      </c>
      <c r="G20" s="1005" t="str">
        <f>G6</f>
        <v>估价对象所在区域基础设施水平</v>
      </c>
    </row>
    <row r="21" spans="1:7" ht="27">
      <c r="A21" s="2612"/>
      <c r="B21" s="1231" t="s">
        <v>2546</v>
      </c>
      <c r="C21" s="1005" t="str">
        <f>C7</f>
        <v>估价对象所在区域公共配套设施齐备情况</v>
      </c>
      <c r="D21" s="2008"/>
      <c r="E21" s="2609"/>
      <c r="F21" s="1247" t="s">
        <v>1662</v>
      </c>
      <c r="G21" s="3110"/>
    </row>
    <row r="22" spans="1:7" ht="27">
      <c r="A22" s="2612"/>
      <c r="B22" s="1231" t="s">
        <v>2547</v>
      </c>
      <c r="C22" s="1005" t="str">
        <f>C8</f>
        <v>估价对象所在区域基础设施水平</v>
      </c>
      <c r="D22" s="2008"/>
      <c r="E22" s="2609"/>
      <c r="F22" s="1247" t="s">
        <v>1672</v>
      </c>
      <c r="G22" s="2817"/>
    </row>
    <row r="23" spans="1:7" ht="15" thickBot="1">
      <c r="A23" s="2612"/>
      <c r="B23" s="1247" t="s">
        <v>1662</v>
      </c>
      <c r="C23" s="3110"/>
      <c r="E23" s="2610"/>
      <c r="F23" s="1248" t="s">
        <v>1676</v>
      </c>
      <c r="G23" s="3111"/>
    </row>
    <row r="24" spans="1:7" ht="14.25" thickBot="1">
      <c r="A24" s="2613"/>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8" sqref="G8"/>
    </sheetView>
  </sheetViews>
  <sheetFormatPr defaultColWidth="14.625" defaultRowHeight="13.5"/>
  <cols>
    <col min="1" max="1" width="24.375" customWidth="1"/>
  </cols>
  <sheetData>
    <row r="1" spans="1:9" ht="16.5">
      <c r="A1" s="3068" t="s">
        <v>2844</v>
      </c>
      <c r="B1" s="3068">
        <f>SUM(B14:B23)</f>
        <v>67516.63</v>
      </c>
      <c r="C1" s="3069"/>
      <c r="D1" s="3069"/>
      <c r="E1" s="3069"/>
      <c r="F1" s="3069"/>
    </row>
    <row r="2" spans="1:9" ht="16.5">
      <c r="A2" s="3068" t="s">
        <v>2845</v>
      </c>
      <c r="B2" s="3068">
        <f>SUM(C14:C23)</f>
        <v>15168.4</v>
      </c>
      <c r="C2" s="3069"/>
      <c r="D2" s="3069"/>
      <c r="E2" s="3069"/>
      <c r="F2" s="3069"/>
    </row>
    <row r="3" spans="1:9" ht="16.5">
      <c r="A3" s="3068" t="s">
        <v>2846</v>
      </c>
      <c r="B3" s="3070">
        <f>项目基本情况!D3</f>
        <v>43244</v>
      </c>
      <c r="C3" s="3069"/>
      <c r="D3" s="3069"/>
      <c r="E3" s="3069"/>
      <c r="F3" s="3069"/>
    </row>
    <row r="4" spans="1:9" ht="33">
      <c r="A4" s="3068" t="s">
        <v>2847</v>
      </c>
      <c r="B4" s="3068" t="s">
        <v>2848</v>
      </c>
      <c r="C4" s="3068" t="s">
        <v>2849</v>
      </c>
      <c r="D4" s="3068" t="s">
        <v>2850</v>
      </c>
      <c r="E4" s="3069"/>
      <c r="F4" s="3069"/>
    </row>
    <row r="5" spans="1:9" ht="16.5">
      <c r="A5" s="3068" t="s">
        <v>2851</v>
      </c>
      <c r="B5" s="3068">
        <f ca="1">SUM(D14:D23)</f>
        <v>65164</v>
      </c>
      <c r="C5" s="3068">
        <f ca="1">ROUND(B5*10000/$B$1,0)</f>
        <v>9652</v>
      </c>
      <c r="D5" s="3068">
        <f ca="1">ROUND(B5*10000/$B$2,0)</f>
        <v>42960</v>
      </c>
      <c r="E5" s="3069"/>
      <c r="F5" s="3069"/>
    </row>
    <row r="6" spans="1:9" ht="16.5">
      <c r="A6" s="3068" t="s">
        <v>2852</v>
      </c>
      <c r="B6" s="3068">
        <f>SUM(G14:G23)</f>
        <v>0</v>
      </c>
      <c r="C6" s="3068">
        <f>ROUND(B6*10000/$B$1,0)</f>
        <v>0</v>
      </c>
      <c r="D6" s="3068">
        <f>ROUND(B6*10000/$B$2,0)</f>
        <v>0</v>
      </c>
      <c r="E6" s="3069"/>
      <c r="F6" s="3069"/>
    </row>
    <row r="7" spans="1:9" ht="16.5">
      <c r="A7" s="3068" t="s">
        <v>2853</v>
      </c>
      <c r="B7" s="3068">
        <f>SUM(H14:H23)</f>
        <v>0</v>
      </c>
      <c r="C7" s="3068">
        <f>ROUND(B7*10000/$B$1,0)</f>
        <v>0</v>
      </c>
      <c r="D7" s="3068">
        <f>ROUND(B7*10000/$B$2,0)</f>
        <v>0</v>
      </c>
      <c r="E7" s="3069"/>
      <c r="F7" s="3069"/>
    </row>
    <row r="8" spans="1:9" ht="16.5">
      <c r="A8" s="3068" t="s">
        <v>2854</v>
      </c>
      <c r="B8" s="3068">
        <f>SUM(I14:I23)</f>
        <v>0</v>
      </c>
      <c r="C8" s="3068">
        <f>ROUND(B8*10000/$B$1,0)</f>
        <v>0</v>
      </c>
      <c r="D8" s="3068">
        <f>ROUND(B8*10000/$B$2,0)</f>
        <v>0</v>
      </c>
      <c r="E8" s="3069"/>
      <c r="F8" s="3069"/>
    </row>
    <row r="9" spans="1:9" ht="16.5">
      <c r="A9" s="3068" t="s">
        <v>2855</v>
      </c>
      <c r="B9" s="3071"/>
      <c r="C9" s="3069"/>
      <c r="D9" s="3069"/>
      <c r="E9" s="3069"/>
      <c r="F9" s="3069"/>
    </row>
    <row r="10" spans="1:9" ht="16.5">
      <c r="A10" s="3068" t="s">
        <v>2856</v>
      </c>
      <c r="B10" s="3071"/>
      <c r="C10" s="3069"/>
      <c r="D10" s="3069"/>
      <c r="E10" s="3069"/>
      <c r="F10" s="3069"/>
    </row>
    <row r="11" spans="1:9" ht="16.5">
      <c r="A11" s="3068" t="s">
        <v>2873</v>
      </c>
      <c r="B11" s="3071"/>
      <c r="C11" s="3069"/>
      <c r="D11" s="3069"/>
      <c r="E11" s="3069"/>
      <c r="F11" s="3069"/>
    </row>
    <row r="12" spans="1:9" ht="16.5">
      <c r="A12" s="3069"/>
      <c r="B12" s="3069"/>
      <c r="C12" s="3069"/>
      <c r="D12" s="3069"/>
      <c r="E12" s="3069"/>
      <c r="F12" s="3069"/>
    </row>
    <row r="13" spans="1:9" ht="33">
      <c r="A13" s="3074" t="s">
        <v>2872</v>
      </c>
      <c r="B13" s="3072" t="s">
        <v>2844</v>
      </c>
      <c r="C13" s="3072" t="s">
        <v>2845</v>
      </c>
      <c r="D13" s="3072" t="s">
        <v>2857</v>
      </c>
      <c r="E13" s="3068" t="s">
        <v>2871</v>
      </c>
      <c r="F13" s="3068" t="s">
        <v>2850</v>
      </c>
      <c r="G13" s="3072" t="s">
        <v>2858</v>
      </c>
      <c r="H13" s="3072" t="s">
        <v>2859</v>
      </c>
      <c r="I13" s="3072" t="s">
        <v>2860</v>
      </c>
    </row>
    <row r="14" spans="1:9" ht="16.5">
      <c r="A14" s="3075" t="s">
        <v>2870</v>
      </c>
      <c r="B14" s="3072">
        <f>结果表!L38</f>
        <v>67516.63</v>
      </c>
      <c r="C14" s="3072">
        <f>结果表!K38</f>
        <v>15168.4</v>
      </c>
      <c r="D14" s="3072">
        <f ca="1">结果表!C42</f>
        <v>65164</v>
      </c>
      <c r="E14" s="3072">
        <f ca="1">ROUND(D14*10000/B14,0)</f>
        <v>9652</v>
      </c>
      <c r="F14" s="3072">
        <f ca="1">ROUND(D14*10000/C14,0)</f>
        <v>42960</v>
      </c>
      <c r="G14" s="3072" t="str">
        <f>结果表!C44</f>
        <v>——</v>
      </c>
      <c r="H14" s="3072" t="str">
        <f>结果表!C45</f>
        <v>——</v>
      </c>
      <c r="I14" s="3072" t="str">
        <f>结果表!C46</f>
        <v>——</v>
      </c>
    </row>
    <row r="15" spans="1:9" ht="16.5">
      <c r="A15" s="3075" t="s">
        <v>2861</v>
      </c>
      <c r="B15" s="3245"/>
      <c r="C15" s="3245"/>
      <c r="D15" s="3245"/>
      <c r="E15" s="3072" t="e">
        <f t="shared" ref="E15:E23" si="0">ROUND(D15*10000/B15,0)</f>
        <v>#DIV/0!</v>
      </c>
      <c r="F15" s="3072" t="e">
        <f t="shared" ref="F15:F23" si="1">ROUND(D15*10000/C15,0)</f>
        <v>#DIV/0!</v>
      </c>
      <c r="G15" s="3073"/>
      <c r="H15" s="3073"/>
      <c r="I15" s="3076"/>
    </row>
    <row r="16" spans="1:9" ht="16.5">
      <c r="A16" s="3075" t="s">
        <v>2862</v>
      </c>
      <c r="B16" s="3245"/>
      <c r="C16" s="3245"/>
      <c r="D16" s="3245"/>
      <c r="E16" s="3072" t="e">
        <f t="shared" si="0"/>
        <v>#DIV/0!</v>
      </c>
      <c r="F16" s="3072" t="e">
        <f t="shared" si="1"/>
        <v>#DIV/0!</v>
      </c>
      <c r="G16" s="3073"/>
      <c r="H16" s="3073"/>
      <c r="I16" s="3076"/>
    </row>
    <row r="17" spans="1:9" ht="16.5">
      <c r="A17" s="3075" t="s">
        <v>2863</v>
      </c>
      <c r="B17" s="3245"/>
      <c r="C17" s="3245"/>
      <c r="D17" s="3245"/>
      <c r="E17" s="3072" t="e">
        <f t="shared" si="0"/>
        <v>#DIV/0!</v>
      </c>
      <c r="F17" s="3072" t="e">
        <f t="shared" si="1"/>
        <v>#DIV/0!</v>
      </c>
      <c r="G17" s="3073"/>
      <c r="H17" s="3073"/>
      <c r="I17" s="3076"/>
    </row>
    <row r="18" spans="1:9" ht="16.5">
      <c r="A18" s="3075" t="s">
        <v>2864</v>
      </c>
      <c r="B18" s="3076"/>
      <c r="C18" s="3076"/>
      <c r="D18" s="3076"/>
      <c r="E18" s="3072" t="e">
        <f t="shared" si="0"/>
        <v>#DIV/0!</v>
      </c>
      <c r="F18" s="3072" t="e">
        <f t="shared" si="1"/>
        <v>#DIV/0!</v>
      </c>
      <c r="G18" s="3076"/>
      <c r="H18" s="3076"/>
      <c r="I18" s="3076"/>
    </row>
    <row r="19" spans="1:9" ht="16.5">
      <c r="A19" s="3075" t="s">
        <v>2865</v>
      </c>
      <c r="B19" s="3076"/>
      <c r="C19" s="3076"/>
      <c r="D19" s="3076"/>
      <c r="E19" s="3072" t="e">
        <f t="shared" si="0"/>
        <v>#DIV/0!</v>
      </c>
      <c r="F19" s="3072" t="e">
        <f t="shared" si="1"/>
        <v>#DIV/0!</v>
      </c>
      <c r="G19" s="3076"/>
      <c r="H19" s="3076"/>
      <c r="I19" s="3076"/>
    </row>
    <row r="20" spans="1:9" ht="16.5">
      <c r="A20" s="3075" t="s">
        <v>2866</v>
      </c>
      <c r="B20" s="3076"/>
      <c r="C20" s="3076"/>
      <c r="D20" s="3076"/>
      <c r="E20" s="3072" t="e">
        <f t="shared" si="0"/>
        <v>#DIV/0!</v>
      </c>
      <c r="F20" s="3072" t="e">
        <f t="shared" si="1"/>
        <v>#DIV/0!</v>
      </c>
      <c r="G20" s="3076"/>
      <c r="H20" s="3076"/>
      <c r="I20" s="3076"/>
    </row>
    <row r="21" spans="1:9" ht="16.5">
      <c r="A21" s="3075" t="s">
        <v>2867</v>
      </c>
      <c r="B21" s="3076"/>
      <c r="C21" s="3076"/>
      <c r="D21" s="3076"/>
      <c r="E21" s="3072" t="e">
        <f t="shared" si="0"/>
        <v>#DIV/0!</v>
      </c>
      <c r="F21" s="3072" t="e">
        <f t="shared" si="1"/>
        <v>#DIV/0!</v>
      </c>
      <c r="G21" s="3076"/>
      <c r="H21" s="3076"/>
      <c r="I21" s="3076"/>
    </row>
    <row r="22" spans="1:9" ht="16.5">
      <c r="A22" s="3075" t="s">
        <v>2868</v>
      </c>
      <c r="B22" s="3076"/>
      <c r="C22" s="3076"/>
      <c r="D22" s="3076"/>
      <c r="E22" s="3072" t="e">
        <f t="shared" si="0"/>
        <v>#DIV/0!</v>
      </c>
      <c r="F22" s="3072" t="e">
        <f t="shared" si="1"/>
        <v>#DIV/0!</v>
      </c>
      <c r="G22" s="3076"/>
      <c r="H22" s="3076"/>
      <c r="I22" s="3076"/>
    </row>
    <row r="23" spans="1:9" ht="16.5">
      <c r="A23" s="3075" t="s">
        <v>2869</v>
      </c>
      <c r="B23" s="3076"/>
      <c r="C23" s="3076"/>
      <c r="D23" s="3076"/>
      <c r="E23" s="3068" t="e">
        <f t="shared" si="0"/>
        <v>#DIV/0!</v>
      </c>
      <c r="F23" s="3068" t="e">
        <f t="shared" si="1"/>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L20" sqref="L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3046</v>
      </c>
      <c r="E1" s="1805" t="s">
        <v>2057</v>
      </c>
      <c r="F1" s="1807" t="s">
        <v>3047</v>
      </c>
      <c r="G1" s="311"/>
      <c r="H1" s="311"/>
      <c r="I1" s="311"/>
      <c r="J1" s="2028"/>
      <c r="K1" s="2028"/>
      <c r="L1" s="2028"/>
      <c r="M1" s="2028"/>
      <c r="N1" s="2028"/>
      <c r="O1" s="2028"/>
      <c r="P1" s="2028"/>
      <c r="Q1" s="2028"/>
      <c r="R1" s="2028"/>
      <c r="S1" s="2028"/>
      <c r="T1" s="2028"/>
      <c r="U1" s="2028"/>
      <c r="V1" s="2028"/>
    </row>
    <row r="2" spans="1:22" ht="21.75" customHeight="1" thickBot="1">
      <c r="A2" s="3379" t="str">
        <f>项目基本情况!K2</f>
        <v>广东省汕头市龙湖区海湾公园片区（335-00-02-096）出让国有建设用地使用权</v>
      </c>
      <c r="B2" s="3380"/>
      <c r="C2" s="3381"/>
      <c r="D2" s="3381"/>
      <c r="E2" s="3381"/>
      <c r="F2" s="3381"/>
      <c r="G2" s="3380"/>
      <c r="H2" s="3380"/>
      <c r="I2" s="3382"/>
      <c r="J2" s="2029"/>
      <c r="K2" s="2028"/>
      <c r="L2" s="2028"/>
      <c r="M2" s="2028"/>
      <c r="N2" s="2028"/>
      <c r="O2" s="2028"/>
      <c r="P2" s="2028"/>
      <c r="Q2" s="2028"/>
      <c r="R2" s="2028"/>
      <c r="S2" s="2028"/>
      <c r="T2" s="2028"/>
      <c r="U2" s="2028"/>
      <c r="V2" s="2028"/>
    </row>
    <row r="3" spans="1:22" ht="14.25">
      <c r="A3" s="3390" t="s">
        <v>298</v>
      </c>
      <c r="B3" s="3391"/>
      <c r="C3" s="3391"/>
      <c r="D3" s="3391"/>
      <c r="E3" s="3391"/>
      <c r="F3" s="3391"/>
      <c r="G3" s="3391"/>
      <c r="H3" s="3391"/>
      <c r="I3" s="3391"/>
      <c r="J3" s="2029"/>
      <c r="K3" s="2028"/>
      <c r="L3" s="2028"/>
      <c r="M3" s="2028"/>
      <c r="N3" s="2028"/>
      <c r="O3" s="2028"/>
      <c r="P3" s="2028"/>
      <c r="Q3" s="2028"/>
      <c r="R3" s="2028"/>
      <c r="S3" s="2028"/>
      <c r="T3" s="2028"/>
      <c r="U3" s="2028"/>
      <c r="V3" s="2028"/>
    </row>
    <row r="4" spans="1:22" ht="14.25">
      <c r="A4" s="258" t="s">
        <v>299</v>
      </c>
      <c r="B4" s="259" t="s">
        <v>300</v>
      </c>
      <c r="C4" s="260" t="s">
        <v>3048</v>
      </c>
      <c r="D4" s="260" t="s">
        <v>3049</v>
      </c>
      <c r="E4" s="3354" t="s">
        <v>301</v>
      </c>
      <c r="F4" s="3396"/>
      <c r="G4" s="3396"/>
      <c r="H4" s="3396"/>
      <c r="I4" s="335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83" t="s">
        <v>302</v>
      </c>
      <c r="B5" s="3384">
        <v>25</v>
      </c>
      <c r="C5" s="3392"/>
      <c r="D5" s="3395"/>
      <c r="E5" s="261" t="s">
        <v>303</v>
      </c>
      <c r="F5" s="262"/>
      <c r="G5" s="262"/>
      <c r="H5" s="262"/>
      <c r="I5" s="263"/>
      <c r="J5" s="2029"/>
      <c r="K5" s="2028"/>
      <c r="L5" s="2028"/>
      <c r="M5" s="2028"/>
      <c r="N5" s="2028"/>
      <c r="O5" s="2028"/>
      <c r="P5" s="2028"/>
      <c r="Q5" s="2028"/>
      <c r="R5" s="2028"/>
      <c r="S5" s="2028"/>
      <c r="T5" s="2028"/>
      <c r="U5" s="2028"/>
      <c r="V5" s="2028"/>
    </row>
    <row r="6" spans="1:22" ht="14.25">
      <c r="A6" s="3383"/>
      <c r="B6" s="3384"/>
      <c r="C6" s="3393"/>
      <c r="D6" s="3395"/>
      <c r="E6" s="261" t="s">
        <v>304</v>
      </c>
      <c r="F6" s="262"/>
      <c r="G6" s="262"/>
      <c r="H6" s="262"/>
      <c r="I6" s="263"/>
      <c r="J6" s="2029"/>
      <c r="K6" s="2028"/>
      <c r="L6" s="2028"/>
      <c r="M6" s="2028"/>
      <c r="N6" s="2028"/>
      <c r="O6" s="2028"/>
      <c r="P6" s="2028"/>
      <c r="Q6" s="2028"/>
      <c r="R6" s="2028"/>
      <c r="S6" s="2028"/>
      <c r="T6" s="2028"/>
      <c r="U6" s="2028"/>
      <c r="V6" s="2028"/>
    </row>
    <row r="7" spans="1:22" ht="14.25">
      <c r="A7" s="3383"/>
      <c r="B7" s="3384"/>
      <c r="C7" s="3394"/>
      <c r="D7" s="3395"/>
      <c r="E7" s="261" t="s">
        <v>305</v>
      </c>
      <c r="F7" s="262"/>
      <c r="G7" s="262"/>
      <c r="H7" s="262"/>
      <c r="I7" s="263"/>
      <c r="J7" s="2029"/>
      <c r="K7" s="2028"/>
      <c r="L7" s="2028"/>
      <c r="M7" s="2028"/>
      <c r="N7" s="2028"/>
      <c r="O7" s="2028"/>
      <c r="P7" s="2028"/>
      <c r="Q7" s="2028"/>
      <c r="R7" s="2028"/>
      <c r="S7" s="2028"/>
      <c r="T7" s="2028"/>
      <c r="U7" s="2028"/>
      <c r="V7" s="2028"/>
    </row>
    <row r="8" spans="1:22" ht="14.25">
      <c r="A8" s="3383" t="s">
        <v>306</v>
      </c>
      <c r="B8" s="3384">
        <v>15</v>
      </c>
      <c r="C8" s="3392"/>
      <c r="D8" s="3395"/>
      <c r="E8" s="261" t="s">
        <v>307</v>
      </c>
      <c r="F8" s="262"/>
      <c r="G8" s="262"/>
      <c r="H8" s="262"/>
      <c r="I8" s="263"/>
      <c r="J8" s="2029"/>
      <c r="K8" s="2028"/>
      <c r="L8" s="2028"/>
      <c r="M8" s="2028"/>
      <c r="N8" s="2028"/>
      <c r="O8" s="2028"/>
      <c r="P8" s="2028"/>
      <c r="Q8" s="2028"/>
      <c r="R8" s="2028"/>
      <c r="S8" s="2028"/>
      <c r="T8" s="2028"/>
      <c r="U8" s="2028"/>
      <c r="V8" s="2028"/>
    </row>
    <row r="9" spans="1:22" ht="14.25">
      <c r="A9" s="3383"/>
      <c r="B9" s="3384"/>
      <c r="C9" s="3394"/>
      <c r="D9" s="3395"/>
      <c r="E9" s="261" t="s">
        <v>308</v>
      </c>
      <c r="F9" s="262"/>
      <c r="G9" s="262"/>
      <c r="H9" s="262"/>
      <c r="I9" s="263"/>
      <c r="J9" s="2029"/>
      <c r="K9" s="2028"/>
      <c r="L9" s="2028"/>
      <c r="M9" s="2028"/>
      <c r="N9" s="2028"/>
      <c r="O9" s="2028"/>
      <c r="P9" s="2028"/>
      <c r="Q9" s="2028"/>
      <c r="R9" s="2028"/>
      <c r="S9" s="2028"/>
      <c r="T9" s="2028"/>
      <c r="U9" s="2028"/>
      <c r="V9" s="2028"/>
    </row>
    <row r="10" spans="1:22" ht="14.25">
      <c r="A10" s="3383" t="s">
        <v>309</v>
      </c>
      <c r="B10" s="3384">
        <v>15</v>
      </c>
      <c r="C10" s="3392"/>
      <c r="D10" s="3395"/>
      <c r="E10" s="261" t="s">
        <v>310</v>
      </c>
      <c r="F10" s="262"/>
      <c r="G10" s="262"/>
      <c r="H10" s="262"/>
      <c r="I10" s="263"/>
      <c r="J10" s="2029"/>
      <c r="K10" s="2028"/>
      <c r="L10" s="2028"/>
      <c r="M10" s="2028"/>
      <c r="N10" s="2028"/>
      <c r="O10" s="2028"/>
      <c r="P10" s="2028"/>
      <c r="Q10" s="2028"/>
      <c r="R10" s="2028"/>
      <c r="S10" s="2028"/>
      <c r="T10" s="2028"/>
      <c r="U10" s="2028"/>
      <c r="V10" s="2028"/>
    </row>
    <row r="11" spans="1:22" ht="14.25">
      <c r="A11" s="3383"/>
      <c r="B11" s="3384"/>
      <c r="C11" s="3394"/>
      <c r="D11" s="3395"/>
      <c r="E11" s="261" t="s">
        <v>311</v>
      </c>
      <c r="F11" s="262"/>
      <c r="G11" s="262"/>
      <c r="H11" s="262"/>
      <c r="I11" s="263"/>
      <c r="J11" s="2029"/>
      <c r="K11" s="2028"/>
      <c r="L11" s="2028"/>
      <c r="M11" s="2028"/>
      <c r="N11" s="2028"/>
      <c r="O11" s="2028"/>
      <c r="P11" s="2028"/>
      <c r="Q11" s="2028"/>
      <c r="R11" s="2028"/>
      <c r="S11" s="2028"/>
      <c r="T11" s="2028"/>
      <c r="U11" s="2028"/>
      <c r="V11" s="2028"/>
    </row>
    <row r="12" spans="1:22" ht="14.25">
      <c r="A12" s="3383" t="s">
        <v>312</v>
      </c>
      <c r="B12" s="3384">
        <v>15</v>
      </c>
      <c r="C12" s="3392"/>
      <c r="D12" s="3395"/>
      <c r="E12" s="261" t="s">
        <v>313</v>
      </c>
      <c r="F12" s="262"/>
      <c r="G12" s="262"/>
      <c r="H12" s="262"/>
      <c r="I12" s="263"/>
      <c r="J12" s="2029"/>
      <c r="K12" s="2028"/>
      <c r="L12" s="2028"/>
      <c r="M12" s="2028"/>
      <c r="N12" s="2028"/>
      <c r="O12" s="2028"/>
      <c r="P12" s="2028"/>
      <c r="Q12" s="2028"/>
      <c r="R12" s="2028"/>
      <c r="S12" s="2028"/>
      <c r="T12" s="2028"/>
      <c r="U12" s="2028"/>
      <c r="V12" s="2028"/>
    </row>
    <row r="13" spans="1:22" ht="14.25">
      <c r="A13" s="3383"/>
      <c r="B13" s="3384"/>
      <c r="C13" s="3394"/>
      <c r="D13" s="3395"/>
      <c r="E13" s="261" t="s">
        <v>314</v>
      </c>
      <c r="F13" s="262"/>
      <c r="G13" s="262"/>
      <c r="H13" s="262"/>
      <c r="I13" s="263"/>
      <c r="J13" s="2029"/>
      <c r="K13" s="2028"/>
      <c r="L13" s="2028"/>
      <c r="M13" s="2028"/>
      <c r="N13" s="2028"/>
      <c r="O13" s="2028"/>
      <c r="P13" s="2028"/>
      <c r="Q13" s="2028"/>
      <c r="R13" s="2028"/>
      <c r="S13" s="2028"/>
      <c r="T13" s="2028"/>
      <c r="U13" s="2028"/>
      <c r="V13" s="2028"/>
    </row>
    <row r="14" spans="1:22" ht="14.25">
      <c r="A14" s="3383" t="s">
        <v>315</v>
      </c>
      <c r="B14" s="3384">
        <v>30</v>
      </c>
      <c r="C14" s="3392">
        <v>5</v>
      </c>
      <c r="D14" s="3395">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83"/>
      <c r="B15" s="3384"/>
      <c r="C15" s="3393"/>
      <c r="D15" s="3395"/>
      <c r="E15" s="261" t="s">
        <v>317</v>
      </c>
      <c r="F15" s="262"/>
      <c r="G15" s="262"/>
      <c r="H15" s="262"/>
      <c r="I15" s="263"/>
      <c r="J15" s="2029"/>
      <c r="K15" s="2028"/>
      <c r="L15" s="2028"/>
      <c r="M15" s="2028"/>
      <c r="N15" s="2028"/>
      <c r="O15" s="2028"/>
      <c r="P15" s="2028"/>
      <c r="Q15" s="2028"/>
      <c r="R15" s="2028"/>
      <c r="S15" s="2028"/>
      <c r="T15" s="2028"/>
      <c r="U15" s="2028"/>
      <c r="V15" s="2028"/>
    </row>
    <row r="16" spans="1:22" ht="14.25">
      <c r="A16" s="3383"/>
      <c r="B16" s="3384"/>
      <c r="C16" s="3394"/>
      <c r="D16" s="339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64522</v>
      </c>
      <c r="D19" s="271">
        <f ca="1">SUMIF(INDIRECT("'"&amp;D4&amp;"'"&amp;"!A:A"),结果表!B19,INDIRECT("'"&amp;D4&amp;"'"&amp;"!B:B"))</f>
        <v>65806</v>
      </c>
      <c r="E19" s="268" t="s">
        <v>323</v>
      </c>
      <c r="F19" s="269" t="s">
        <v>322</v>
      </c>
      <c r="G19" s="272">
        <f ca="1">ROUND(C19*$C$18+D19*$D$18,0)</f>
        <v>65164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9556</v>
      </c>
      <c r="D20" s="277">
        <f ca="1">SUMIF(INDIRECT("'"&amp;D4&amp;"'"&amp;"!A:A"),结果表!B20,INDIRECT("'"&amp;D4&amp;"'"&amp;"!B:B"))</f>
        <v>9747</v>
      </c>
      <c r="E20" s="274"/>
      <c r="F20" s="275" t="s">
        <v>325</v>
      </c>
      <c r="G20" s="278">
        <f ca="1">ROUND(C20*$C$18+D20*$D$18,0)</f>
        <v>9652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42537</v>
      </c>
      <c r="D21" s="151">
        <f ca="1">SUMIF(INDIRECT("'"&amp;D4&amp;"'"&amp;"!A:A"),结果表!B21,INDIRECT("'"&amp;D4&amp;"'"&amp;"!B:B"))</f>
        <v>43384</v>
      </c>
      <c r="E21" s="274"/>
      <c r="F21" s="280" t="s">
        <v>327</v>
      </c>
      <c r="G21" s="282">
        <f ca="1">ROUND(C21*$C$18+D21*$D$18,0)</f>
        <v>42961</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1.9900189082793451E-2</v>
      </c>
      <c r="E22" s="284"/>
      <c r="F22" s="285"/>
      <c r="G22" s="286">
        <f ca="1">ROUND(G19/('数据-汇总表'!D3/666.67),0)</f>
        <v>2864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56"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98"/>
      <c r="B25" s="1321" t="s">
        <v>331</v>
      </c>
      <c r="C25" s="290">
        <f>IF(B30=0,0,C30)</f>
        <v>0</v>
      </c>
      <c r="D25" s="291"/>
      <c r="E25" s="311"/>
      <c r="F25" s="311"/>
      <c r="G25" s="311"/>
      <c r="H25" s="311"/>
      <c r="I25" s="311"/>
      <c r="J25" s="2028"/>
      <c r="K25" s="1255" t="str">
        <f ca="1">项目基本情况!B16&amp;"国有建设用地使用权价格："&amp;O38&amp;"万元"</f>
        <v>出让国有建设用地使用权价格：65164万元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大写金额：人民币陆亿伍仟壹佰陆拾肆万元整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单位面积地价：42960元/平方米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楼面地价：9652元/平方米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59" t="s">
        <v>336</v>
      </c>
      <c r="B30" s="309"/>
      <c r="C30" s="309"/>
      <c r="D30" s="310"/>
      <c r="E30" s="3160" t="s">
        <v>2967</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8" t="s">
        <v>337</v>
      </c>
      <c r="B32" s="1382" t="s">
        <v>1689</v>
      </c>
      <c r="C32" s="1383">
        <f ca="1">G19-C24</f>
        <v>65164</v>
      </c>
      <c r="D32" s="1384" t="s">
        <v>1690</v>
      </c>
      <c r="E32" s="311"/>
      <c r="F32" s="311"/>
      <c r="G32" s="311"/>
      <c r="H32" s="311"/>
      <c r="I32" s="311"/>
      <c r="J32" s="2028"/>
      <c r="K32" s="2487" t="e">
        <f>IF(K31="——","——","大写金额：人民币"&amp;NUMBERSTRING(INT(O40*10000),2)&amp;"元整")</f>
        <v>#VALUE!</v>
      </c>
      <c r="L32" s="2490"/>
      <c r="M32" s="2490"/>
      <c r="N32" s="2490"/>
      <c r="O32" s="2491"/>
      <c r="P32" s="2028"/>
      <c r="V32" s="2028"/>
    </row>
    <row r="33" spans="1:26" ht="18.75" thickBot="1">
      <c r="A33" s="298" t="s">
        <v>340</v>
      </c>
      <c r="B33" s="1385" t="s">
        <v>1691</v>
      </c>
      <c r="C33" s="264">
        <f ca="1">ROUND(C32*10000/'数据-汇总表'!E3,0)</f>
        <v>9652</v>
      </c>
      <c r="D33" s="1386" t="s">
        <v>1692</v>
      </c>
      <c r="E33" s="3356"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1693</v>
      </c>
      <c r="C34" s="264">
        <f ca="1">ROUND(C32*10000/'数据-汇总表'!D3,0)</f>
        <v>42960</v>
      </c>
      <c r="D34" s="1388" t="s">
        <v>1692</v>
      </c>
      <c r="E34" s="3357"/>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2864</v>
      </c>
      <c r="D35" s="1391" t="s">
        <v>1694</v>
      </c>
      <c r="E35" s="3358"/>
      <c r="F35" s="301" t="s">
        <v>342</v>
      </c>
      <c r="G35" s="982"/>
      <c r="H35" s="981" t="s">
        <v>343</v>
      </c>
      <c r="I35" s="311"/>
      <c r="J35" s="2028"/>
      <c r="K35" s="3362" t="s">
        <v>350</v>
      </c>
      <c r="L35" s="3362" t="s">
        <v>351</v>
      </c>
      <c r="M35" s="1264" t="s">
        <v>352</v>
      </c>
      <c r="N35" s="3362" t="s">
        <v>353</v>
      </c>
      <c r="O35" s="3362" t="s">
        <v>354</v>
      </c>
      <c r="P35" s="2028"/>
      <c r="V35" s="2028"/>
    </row>
    <row r="36" spans="1:26" ht="16.5" customHeight="1">
      <c r="A36" s="303" t="s">
        <v>344</v>
      </c>
      <c r="B36" s="304" t="s">
        <v>333</v>
      </c>
      <c r="C36" s="305" t="s">
        <v>345</v>
      </c>
      <c r="D36" s="305" t="s">
        <v>346</v>
      </c>
      <c r="E36" s="306" t="s">
        <v>347</v>
      </c>
      <c r="F36" s="311"/>
      <c r="G36" s="311"/>
      <c r="H36" s="311"/>
      <c r="I36" s="311"/>
      <c r="J36" s="2030"/>
      <c r="K36" s="3363"/>
      <c r="L36" s="3363"/>
      <c r="M36" s="1266" t="s">
        <v>355</v>
      </c>
      <c r="N36" s="3363"/>
      <c r="O36" s="3363"/>
      <c r="P36" s="2028"/>
      <c r="V36" s="2028"/>
    </row>
    <row r="37" spans="1:26" ht="16.5" customHeight="1" thickBot="1">
      <c r="A37" s="1260" t="s">
        <v>348</v>
      </c>
      <c r="B37" s="307"/>
      <c r="C37" s="294"/>
      <c r="D37" s="294"/>
      <c r="E37" s="295"/>
      <c r="F37" s="311"/>
      <c r="G37" s="311"/>
      <c r="H37" s="311"/>
      <c r="I37" s="311"/>
      <c r="J37" s="2030"/>
      <c r="K37" s="3364"/>
      <c r="L37" s="3364"/>
      <c r="M37" s="1267"/>
      <c r="N37" s="3364"/>
      <c r="O37" s="3364"/>
      <c r="P37" s="2028"/>
      <c r="V37" s="2028"/>
    </row>
    <row r="38" spans="1:26" ht="16.5" customHeight="1" thickBot="1">
      <c r="A38" s="1260" t="s">
        <v>349</v>
      </c>
      <c r="B38" s="307"/>
      <c r="C38" s="294"/>
      <c r="D38" s="294"/>
      <c r="E38" s="295"/>
      <c r="F38" s="311"/>
      <c r="G38" s="311"/>
      <c r="H38" s="311"/>
      <c r="I38" s="311"/>
      <c r="J38" s="2030"/>
      <c r="K38" s="1268">
        <f>'数据-汇总表'!D3</f>
        <v>15168.4</v>
      </c>
      <c r="L38" s="1269">
        <f>'数据-汇总表'!E3</f>
        <v>67516.63</v>
      </c>
      <c r="M38" s="1269">
        <f ca="1">C34</f>
        <v>42960</v>
      </c>
      <c r="N38" s="1269">
        <f ca="1">C33</f>
        <v>9652</v>
      </c>
      <c r="O38" s="1270">
        <f ca="1">C32</f>
        <v>65164</v>
      </c>
      <c r="P38" s="2028"/>
      <c r="V38" s="2028"/>
    </row>
    <row r="39" spans="1:26" ht="16.5" customHeight="1" thickBot="1">
      <c r="A39" s="1265"/>
      <c r="B39" s="308"/>
      <c r="C39" s="309"/>
      <c r="D39" s="309"/>
      <c r="E39" s="310"/>
      <c r="F39" s="311"/>
      <c r="G39" s="311"/>
      <c r="H39" s="311"/>
      <c r="I39" s="311"/>
      <c r="J39" s="2030"/>
      <c r="K39" s="3339" t="str">
        <f>MID(A44,3,LEN(A44)-2)</f>
        <v/>
      </c>
      <c r="L39" s="3340"/>
      <c r="M39" s="3340"/>
      <c r="N39" s="3341"/>
      <c r="O39" s="1393" t="str">
        <f>C44</f>
        <v>——</v>
      </c>
      <c r="P39" s="2028"/>
      <c r="V39" s="2028"/>
    </row>
    <row r="40" spans="1:26" ht="19.5" thickBot="1">
      <c r="A40" s="104" t="s">
        <v>873</v>
      </c>
      <c r="B40" s="311"/>
      <c r="C40" s="311"/>
      <c r="D40" s="311"/>
      <c r="E40" s="311"/>
      <c r="F40" s="311"/>
      <c r="G40" s="311"/>
      <c r="H40" s="311"/>
      <c r="I40" s="311"/>
      <c r="J40" s="2030"/>
      <c r="K40" s="3339" t="str">
        <f>MID(A45,3,LEN(A45)-2)</f>
        <v/>
      </c>
      <c r="L40" s="3340"/>
      <c r="M40" s="3340"/>
      <c r="N40" s="3341"/>
      <c r="O40" s="1393" t="str">
        <f>C45</f>
        <v>——</v>
      </c>
      <c r="P40" s="2028"/>
      <c r="V40" s="2028"/>
    </row>
    <row r="41" spans="1:26" ht="16.5" thickBot="1">
      <c r="A41" s="312" t="s">
        <v>356</v>
      </c>
      <c r="B41" s="313"/>
      <c r="C41" s="314" t="s">
        <v>357</v>
      </c>
      <c r="D41" s="315" t="s">
        <v>358</v>
      </c>
      <c r="E41" s="315" t="s">
        <v>359</v>
      </c>
      <c r="F41" s="316" t="s">
        <v>360</v>
      </c>
      <c r="G41" s="311"/>
      <c r="H41" s="311"/>
      <c r="I41" s="311"/>
      <c r="J41" s="2030"/>
      <c r="K41" s="3339" t="str">
        <f>MID(A46,3,LEN(A46)-2)</f>
        <v/>
      </c>
      <c r="L41" s="3340"/>
      <c r="M41" s="3340"/>
      <c r="N41" s="3341"/>
      <c r="O41" s="1393" t="str">
        <f>C46</f>
        <v>——</v>
      </c>
      <c r="P41" s="2028"/>
      <c r="V41" s="2028"/>
    </row>
    <row r="42" spans="1:26" ht="29.25">
      <c r="A42" s="3399" t="s">
        <v>2067</v>
      </c>
      <c r="B42" s="3400"/>
      <c r="C42" s="264">
        <f ca="1">C32</f>
        <v>65164</v>
      </c>
      <c r="D42" s="317">
        <f ca="1">C33</f>
        <v>9652</v>
      </c>
      <c r="E42" s="317">
        <f ca="1">C34</f>
        <v>42960</v>
      </c>
      <c r="F42" s="318">
        <f ca="1">C35</f>
        <v>2864</v>
      </c>
      <c r="G42" s="311"/>
      <c r="H42" s="311"/>
      <c r="I42" s="319"/>
      <c r="J42" s="2030"/>
      <c r="K42" s="1271" t="s">
        <v>361</v>
      </c>
      <c r="L42" s="2047" t="s">
        <v>362</v>
      </c>
      <c r="M42" s="1272" t="s">
        <v>363</v>
      </c>
      <c r="N42" s="2048" t="s">
        <v>364</v>
      </c>
      <c r="O42" s="2049" t="s">
        <v>365</v>
      </c>
      <c r="P42" s="2028"/>
      <c r="V42" s="2028"/>
    </row>
    <row r="43" spans="1:26" ht="30">
      <c r="A43" s="3409" t="s">
        <v>2730</v>
      </c>
      <c r="B43" s="3410"/>
      <c r="C43" s="264">
        <f>IF(H33="正常操作",G33+G34+G35,G34+G35)</f>
        <v>0</v>
      </c>
      <c r="D43" s="317" t="s">
        <v>43</v>
      </c>
      <c r="E43" s="317" t="s">
        <v>44</v>
      </c>
      <c r="F43" s="318" t="s">
        <v>44</v>
      </c>
      <c r="G43" s="2890" t="s">
        <v>952</v>
      </c>
      <c r="H43" s="311"/>
      <c r="I43" s="319"/>
      <c r="J43" s="2030"/>
      <c r="K43" s="1273" t="str">
        <f>C4</f>
        <v>比较法-住宅、综合</v>
      </c>
      <c r="L43" s="1274">
        <f ca="1">IF(L42="估价结果/万元",C19,C20)</f>
        <v>64522</v>
      </c>
      <c r="M43" s="1275">
        <f>C18</f>
        <v>0.5</v>
      </c>
      <c r="N43" s="1276">
        <f ca="1">IF(N42="测算结果/万元",G19,G20)</f>
        <v>65164</v>
      </c>
      <c r="O43" s="1277">
        <f ca="1">IF(O42="最终结果/万元",C32,C33)</f>
        <v>65164</v>
      </c>
      <c r="P43" s="2028"/>
      <c r="V43" s="2028"/>
    </row>
    <row r="44" spans="1:26" ht="30.75" thickBot="1">
      <c r="A44" s="3399" t="str">
        <f>IF(OR(项目基本情况!E8="抵押价格",项目基本情况!E8="已注销及未注销"),"3.抵押价格","——")</f>
        <v>——</v>
      </c>
      <c r="B44" s="3400"/>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65806</v>
      </c>
      <c r="M44" s="1280">
        <f>D18</f>
        <v>0.5</v>
      </c>
      <c r="N44" s="1281"/>
      <c r="O44" s="1282"/>
      <c r="P44" s="2028"/>
      <c r="V44" s="2028"/>
    </row>
    <row r="45" spans="1:26" ht="15">
      <c r="A45" s="3404" t="str">
        <f>IF(项目基本情况!E8="已注销及未注销","4.抵押担保权已注销时的抵押价格",IF(项目基本情况!E8="已注销","3.抵押担保权已注销时的抵押价格","——"))</f>
        <v>——</v>
      </c>
      <c r="B45" s="340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401" t="str">
        <f>IF(项目基本情况!E9="抵押净值",IF(A45="——","4.抵押净值","5.抵押净值"),"——")</f>
        <v>——</v>
      </c>
      <c r="B46" s="340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67" t="s">
        <v>374</v>
      </c>
      <c r="B63" s="3368"/>
      <c r="C63" s="3369"/>
      <c r="D63" s="341">
        <f ca="1">ROUND(C42*F63,0)</f>
        <v>65164</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406" t="s">
        <v>378</v>
      </c>
      <c r="B64" s="3407"/>
      <c r="C64" s="3407"/>
      <c r="D64" s="3407"/>
      <c r="E64" s="3407"/>
      <c r="F64" s="3407"/>
      <c r="G64" s="3408"/>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403" t="s">
        <v>386</v>
      </c>
      <c r="B66" s="3374"/>
      <c r="C66" s="3374"/>
      <c r="D66" s="261">
        <f ca="1">IF(H66="情况1",0,IF(H66="情况2",D70,IF(H66="情况3",D71,IF(H66="情况4",D72))))</f>
        <v>3475</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43" t="s">
        <v>385</v>
      </c>
      <c r="M66" s="3344"/>
      <c r="N66" s="2482"/>
      <c r="O66" s="2483"/>
      <c r="P66" s="2484"/>
      <c r="Q66" s="2028"/>
      <c r="R66" s="2028"/>
      <c r="S66" s="2028"/>
      <c r="T66" s="2028"/>
      <c r="U66" s="2028"/>
      <c r="V66" s="2028"/>
    </row>
    <row r="67" spans="1:22" ht="25.5" customHeight="1">
      <c r="A67" s="352" t="s">
        <v>390</v>
      </c>
      <c r="B67" s="3386" t="s">
        <v>391</v>
      </c>
      <c r="C67" s="3386"/>
      <c r="D67" s="353">
        <v>0</v>
      </c>
      <c r="E67" s="41" t="s">
        <v>392</v>
      </c>
      <c r="F67" s="62" t="s">
        <v>21</v>
      </c>
      <c r="G67" s="3370"/>
      <c r="H67" s="311"/>
      <c r="I67" s="1292"/>
      <c r="J67" s="2035"/>
      <c r="K67" s="1976">
        <v>2</v>
      </c>
      <c r="L67" s="3342" t="s">
        <v>389</v>
      </c>
      <c r="M67" s="3342"/>
      <c r="N67" s="1325">
        <f>'数据-取费表'!B2</f>
        <v>43244</v>
      </c>
      <c r="O67" s="1325"/>
      <c r="P67" s="1325"/>
      <c r="Q67" s="2028"/>
      <c r="R67" s="2028"/>
      <c r="S67" s="2028"/>
      <c r="T67" s="2028"/>
      <c r="U67" s="2028"/>
      <c r="V67" s="2028"/>
    </row>
    <row r="68" spans="1:22" ht="25.5" customHeight="1">
      <c r="A68" s="354"/>
      <c r="B68" s="3386" t="s">
        <v>394</v>
      </c>
      <c r="C68" s="3386"/>
      <c r="D68" s="355"/>
      <c r="E68" s="77"/>
      <c r="F68" s="356"/>
      <c r="G68" s="3371"/>
      <c r="H68" s="311"/>
      <c r="I68" s="1292"/>
      <c r="J68" s="2035"/>
      <c r="K68" s="1976">
        <v>3</v>
      </c>
      <c r="L68" s="3342" t="s">
        <v>393</v>
      </c>
      <c r="M68" s="3342"/>
      <c r="N68" s="1293">
        <f ca="1">C42</f>
        <v>65164</v>
      </c>
      <c r="O68" s="1293"/>
      <c r="P68" s="1293"/>
      <c r="Q68" s="2028"/>
      <c r="R68" s="2028"/>
      <c r="S68" s="2028"/>
      <c r="T68" s="2028"/>
      <c r="U68" s="2028"/>
      <c r="V68" s="2028"/>
    </row>
    <row r="69" spans="1:22" ht="12" customHeight="1">
      <c r="A69" s="357"/>
      <c r="B69" s="3386" t="s">
        <v>395</v>
      </c>
      <c r="C69" s="3386"/>
      <c r="D69" s="358"/>
      <c r="E69" s="73"/>
      <c r="F69" s="356"/>
      <c r="G69" s="3372"/>
      <c r="H69" s="311"/>
      <c r="I69" s="1292"/>
      <c r="J69" s="2035"/>
      <c r="K69" s="1294">
        <v>4</v>
      </c>
      <c r="L69" s="3348" t="s">
        <v>2883</v>
      </c>
      <c r="M69" s="3349"/>
      <c r="N69" s="1295" t="str">
        <f>C44</f>
        <v>——</v>
      </c>
      <c r="O69" s="1295"/>
      <c r="P69" s="1295"/>
      <c r="Q69" s="2028"/>
      <c r="R69" s="2028"/>
      <c r="S69" s="2028"/>
      <c r="T69" s="2028"/>
      <c r="U69" s="2028"/>
      <c r="V69" s="2028"/>
    </row>
    <row r="70" spans="1:22" ht="24" customHeight="1">
      <c r="A70" s="359" t="s">
        <v>396</v>
      </c>
      <c r="B70" s="3386" t="s">
        <v>397</v>
      </c>
      <c r="C70" s="3386"/>
      <c r="D70" s="358">
        <f ca="1">ROUND(D63*'数据-取费表'!B41/(1+'数据-取费表'!C42),0)</f>
        <v>3475</v>
      </c>
      <c r="E70" s="17" t="s">
        <v>398</v>
      </c>
      <c r="F70" s="360">
        <f>'数据-取费表'!B41</f>
        <v>5.6000000000000001E-2</v>
      </c>
      <c r="G70" s="361"/>
      <c r="H70" s="311"/>
      <c r="I70" s="1292"/>
      <c r="J70" s="2035"/>
      <c r="K70" s="3085"/>
      <c r="L70" s="3086"/>
      <c r="M70" s="3086"/>
      <c r="N70" s="3087" t="s">
        <v>2887</v>
      </c>
      <c r="O70" s="3086"/>
      <c r="P70" s="3088"/>
      <c r="Q70" s="2028"/>
      <c r="R70" s="2028"/>
      <c r="S70" s="2028"/>
      <c r="T70" s="2028"/>
      <c r="U70" s="2028"/>
      <c r="V70" s="2028"/>
    </row>
    <row r="71" spans="1:22" ht="12" customHeight="1">
      <c r="A71" s="359" t="s">
        <v>404</v>
      </c>
      <c r="B71" s="3385" t="s">
        <v>405</v>
      </c>
      <c r="C71" s="3397"/>
      <c r="D71" s="358">
        <f ca="1">ROUND(D63*'数据-取费表'!B41/(1+'数据-取费表'!C42),0)</f>
        <v>3475</v>
      </c>
      <c r="E71" s="17" t="s">
        <v>398</v>
      </c>
      <c r="F71" s="360">
        <f>'数据-取费表'!B41</f>
        <v>5.6000000000000001E-2</v>
      </c>
      <c r="G71" s="361"/>
      <c r="H71" s="311"/>
      <c r="I71" s="1292"/>
      <c r="J71" s="2035"/>
      <c r="K71" s="3084" t="s">
        <v>399</v>
      </c>
      <c r="L71" s="3350" t="s">
        <v>400</v>
      </c>
      <c r="M71" s="3350"/>
      <c r="N71" s="3084" t="s">
        <v>401</v>
      </c>
      <c r="O71" s="3084" t="s">
        <v>402</v>
      </c>
      <c r="P71" s="3084" t="s">
        <v>403</v>
      </c>
      <c r="Q71" s="2028"/>
      <c r="R71" s="2028"/>
      <c r="S71" s="2028"/>
      <c r="T71" s="2028"/>
      <c r="U71" s="2028"/>
      <c r="V71" s="2028"/>
    </row>
    <row r="72" spans="1:22" ht="12" customHeight="1">
      <c r="A72" s="359" t="s">
        <v>407</v>
      </c>
      <c r="B72" s="3385" t="s">
        <v>408</v>
      </c>
      <c r="C72" s="3397"/>
      <c r="D72" s="358">
        <f ca="1">C86</f>
        <v>3363</v>
      </c>
      <c r="E72" s="73" t="s">
        <v>409</v>
      </c>
      <c r="F72" s="360">
        <f>'数据-取费表'!B41</f>
        <v>5.6000000000000001E-2</v>
      </c>
      <c r="G72" s="361"/>
      <c r="H72" s="1298"/>
      <c r="I72" s="1292"/>
      <c r="J72" s="2035"/>
      <c r="K72" s="1976">
        <v>1</v>
      </c>
      <c r="L72" s="3347" t="s">
        <v>406</v>
      </c>
      <c r="M72" s="3347"/>
      <c r="N72" s="1296">
        <f ca="1">D66</f>
        <v>3475</v>
      </c>
      <c r="O72" s="1859" t="str">
        <f>E66</f>
        <v>销售额×税（费）率</v>
      </c>
      <c r="P72" s="1297">
        <f>F66</f>
        <v>5.6000000000000001E-2</v>
      </c>
      <c r="Q72" s="2028"/>
      <c r="R72" s="2028"/>
      <c r="S72" s="2028"/>
      <c r="T72" s="2028"/>
      <c r="U72" s="2028"/>
      <c r="V72" s="2028"/>
    </row>
    <row r="73" spans="1:22" ht="24" customHeight="1">
      <c r="A73" s="3373" t="s">
        <v>411</v>
      </c>
      <c r="B73" s="3374"/>
      <c r="C73" s="3374"/>
      <c r="D73" s="362">
        <f>IF(H73="个人住宅",0,ROUND(D63*I73,0))</f>
        <v>0</v>
      </c>
      <c r="E73" s="17" t="s">
        <v>412</v>
      </c>
      <c r="F73" s="360" t="str">
        <f>IF(H73="正常",I73,"免征")</f>
        <v>免征</v>
      </c>
      <c r="G73" s="361"/>
      <c r="H73" s="191" t="s">
        <v>2455</v>
      </c>
      <c r="I73" s="360">
        <f>'数据-取费表'!B49</f>
        <v>5.0000000000000001E-4</v>
      </c>
      <c r="J73" s="2035"/>
      <c r="K73" s="1976">
        <v>2</v>
      </c>
      <c r="L73" s="3347" t="s">
        <v>410</v>
      </c>
      <c r="M73" s="3347"/>
      <c r="N73" s="1296">
        <f t="shared" ref="N73:P74" si="0">D73</f>
        <v>0</v>
      </c>
      <c r="O73" s="1859" t="str">
        <f t="shared" si="0"/>
        <v>销售额×税（费）率</v>
      </c>
      <c r="P73" s="1297" t="str">
        <f t="shared" si="0"/>
        <v>免征</v>
      </c>
      <c r="Q73" s="2028"/>
      <c r="R73" s="2028"/>
      <c r="S73" s="2028"/>
      <c r="T73" s="2028"/>
      <c r="U73" s="2028"/>
      <c r="V73" s="2028"/>
    </row>
    <row r="74" spans="1:22" ht="24.75">
      <c r="A74" s="3373" t="s">
        <v>415</v>
      </c>
      <c r="B74" s="3374"/>
      <c r="C74" s="3374"/>
      <c r="D74" s="362">
        <f ca="1">IF(H74="个人住宅",D75,D76)</f>
        <v>6098</v>
      </c>
      <c r="E74" s="17" t="s">
        <v>416</v>
      </c>
      <c r="F74" s="360" t="str">
        <f>IF(H74="正常",F76,"免征")</f>
        <v>——</v>
      </c>
      <c r="G74" s="983" t="s">
        <v>417</v>
      </c>
      <c r="H74" s="363" t="s">
        <v>413</v>
      </c>
      <c r="I74" s="42"/>
      <c r="J74" s="2035"/>
      <c r="K74" s="1976">
        <v>3</v>
      </c>
      <c r="L74" s="3347" t="s">
        <v>414</v>
      </c>
      <c r="M74" s="3347"/>
      <c r="N74" s="1296">
        <f t="shared" ca="1" si="0"/>
        <v>6098</v>
      </c>
      <c r="O74" s="1859" t="str">
        <f t="shared" si="0"/>
        <v>增值额×税（费）率</v>
      </c>
      <c r="P74" s="1299" t="str">
        <f t="shared" si="0"/>
        <v>——</v>
      </c>
      <c r="Q74" s="2028"/>
      <c r="R74" s="2028"/>
      <c r="S74" s="2028"/>
      <c r="T74" s="2028"/>
      <c r="U74" s="2028"/>
      <c r="V74" s="2028"/>
    </row>
    <row r="75" spans="1:22" ht="12.75">
      <c r="A75" s="359" t="s">
        <v>418</v>
      </c>
      <c r="B75" s="3354" t="s">
        <v>419</v>
      </c>
      <c r="C75" s="3355"/>
      <c r="D75" s="364">
        <v>0</v>
      </c>
      <c r="E75" s="41" t="s">
        <v>420</v>
      </c>
      <c r="F75" s="365"/>
      <c r="G75" s="361"/>
      <c r="H75" s="42"/>
      <c r="I75" s="42"/>
      <c r="J75" s="2035"/>
      <c r="K75" s="3077" t="str">
        <f>IF(H77="非个人房产","",4)</f>
        <v/>
      </c>
      <c r="L75" s="3347" t="str">
        <f>IF(H77="非个人房产","——","个人所得税")</f>
        <v>——</v>
      </c>
      <c r="M75" s="3347"/>
      <c r="N75" s="1300" t="str">
        <f>D77</f>
        <v>——</v>
      </c>
      <c r="O75" s="1872" t="str">
        <f>E77</f>
        <v>——</v>
      </c>
      <c r="P75" s="1301" t="str">
        <f>F77</f>
        <v>——</v>
      </c>
      <c r="Q75" s="2028"/>
      <c r="R75" s="2028"/>
      <c r="S75" s="2028"/>
      <c r="T75" s="2028"/>
      <c r="U75" s="2028"/>
      <c r="V75" s="2028"/>
    </row>
    <row r="76" spans="1:22" ht="24.75">
      <c r="A76" s="359" t="s">
        <v>396</v>
      </c>
      <c r="B76" s="3354" t="s">
        <v>422</v>
      </c>
      <c r="C76" s="3396"/>
      <c r="D76" s="362">
        <f ca="1">IF(H76="转让取得",C99,C115)</f>
        <v>6098</v>
      </c>
      <c r="E76" s="17" t="s">
        <v>423</v>
      </c>
      <c r="F76" s="53" t="s">
        <v>21</v>
      </c>
      <c r="G76" s="361"/>
      <c r="H76" s="363" t="s">
        <v>424</v>
      </c>
      <c r="I76" s="42"/>
      <c r="J76" s="2035"/>
      <c r="K76" s="3077" t="str">
        <f>IF(项目基本情况!K6="上海银行",IF(K75="",4,K75+1),"")</f>
        <v/>
      </c>
      <c r="L76" s="3335" t="str">
        <f>IF(项目基本情况!K6="上海银行","其他处置费用","")</f>
        <v/>
      </c>
      <c r="M76" s="3336"/>
      <c r="N76" s="1296" t="str">
        <f>IF(项目基本情况!K6="上海银行",N89,"")</f>
        <v/>
      </c>
      <c r="O76" s="3337" t="str">
        <f>IF(项目基本情况!K6="上海银行","包含处置中涉及的律师、诉讼、拍卖、评估等费用","")</f>
        <v/>
      </c>
      <c r="P76" s="3338"/>
      <c r="Q76" s="2028"/>
      <c r="R76" s="2028"/>
      <c r="S76" s="2028"/>
      <c r="T76" s="2028"/>
      <c r="U76" s="2028"/>
      <c r="V76" s="2028"/>
    </row>
    <row r="77" spans="1:22" ht="24.75" thickBot="1">
      <c r="A77" s="3365" t="s">
        <v>426</v>
      </c>
      <c r="B77" s="3366"/>
      <c r="C77" s="3366"/>
      <c r="D77" s="366" t="str">
        <f>IF(H77="非个人房产","——",IF(H77="个人住宅",0,ROUND(D63*I77,0)))</f>
        <v>——</v>
      </c>
      <c r="E77" s="367" t="str">
        <f>IF(H77="非个人房产","——","销售额×税（费）率")</f>
        <v>——</v>
      </c>
      <c r="F77" s="368" t="str">
        <f>IF(H77="非个人房产","——",IF(H77="个人住宅","免征",I77))</f>
        <v>——</v>
      </c>
      <c r="G77" s="984" t="s">
        <v>417</v>
      </c>
      <c r="H77" s="363" t="s">
        <v>3149</v>
      </c>
      <c r="I77" s="369">
        <v>0.01</v>
      </c>
      <c r="J77" s="2035"/>
      <c r="K77" s="3361">
        <f>IF(AND(K75="",K76=""),4,IF(项目基本情况!K6="上海银行",K76+1,K75+1))</f>
        <v>4</v>
      </c>
      <c r="L77" s="3347" t="s">
        <v>2884</v>
      </c>
      <c r="M77" s="3083" t="s">
        <v>421</v>
      </c>
      <c r="N77" s="1302"/>
      <c r="O77" s="1303">
        <f ca="1">SUMIF(N72:N76,"&lt;9e307")</f>
        <v>9573</v>
      </c>
      <c r="P77" s="1304"/>
      <c r="Q77" s="3081" t="e">
        <f ca="1">O77/N69</f>
        <v>#VALUE!</v>
      </c>
      <c r="R77" s="2028"/>
      <c r="S77" s="2028"/>
      <c r="T77" s="2028"/>
      <c r="U77" s="2028"/>
      <c r="V77" s="2028"/>
    </row>
    <row r="78" spans="1:22" ht="12" customHeight="1">
      <c r="A78" s="1305"/>
      <c r="B78" s="311"/>
      <c r="C78" s="311"/>
      <c r="D78" s="311"/>
      <c r="E78" s="42"/>
      <c r="F78" s="42"/>
      <c r="G78" s="42"/>
      <c r="H78" s="1003"/>
      <c r="I78" s="311"/>
      <c r="J78" s="2035"/>
      <c r="K78" s="3361"/>
      <c r="L78" s="3347"/>
      <c r="M78" s="3083" t="s">
        <v>425</v>
      </c>
      <c r="N78" s="1302"/>
      <c r="O78" s="1303" t="str">
        <f ca="1">NUMBERSTRING(INT(O77*10000),2)&amp;"元整"</f>
        <v>玖仟伍佰柒拾叁万元整</v>
      </c>
      <c r="P78" s="1304"/>
      <c r="Q78" s="2028"/>
      <c r="R78" s="2028"/>
      <c r="S78" s="2028"/>
      <c r="T78" s="2028"/>
      <c r="U78" s="2028"/>
      <c r="V78" s="2028"/>
    </row>
    <row r="79" spans="1:22" ht="13.5" thickBot="1">
      <c r="A79" s="3351" t="s">
        <v>427</v>
      </c>
      <c r="B79" s="3351"/>
      <c r="C79" s="3351"/>
      <c r="D79" s="3351"/>
      <c r="E79" s="3351"/>
      <c r="F79" s="42"/>
      <c r="G79" s="42"/>
      <c r="H79" s="1003"/>
      <c r="I79" s="311"/>
      <c r="J79" s="2035"/>
      <c r="K79" s="3345">
        <f>K77+1</f>
        <v>5</v>
      </c>
      <c r="L79" s="3347" t="s">
        <v>2885</v>
      </c>
      <c r="M79" s="3083" t="s">
        <v>421</v>
      </c>
      <c r="N79" s="1302"/>
      <c r="O79" s="1303" t="e">
        <f ca="1">N69-O77</f>
        <v>#VALUE!</v>
      </c>
      <c r="P79" s="1304"/>
      <c r="Q79" s="2028"/>
      <c r="R79" s="2028"/>
      <c r="S79" s="2028"/>
      <c r="T79" s="2028"/>
      <c r="U79" s="2028"/>
      <c r="V79" s="2028"/>
    </row>
    <row r="80" spans="1:22" ht="12.75">
      <c r="A80" s="3352" t="s">
        <v>428</v>
      </c>
      <c r="B80" s="3353"/>
      <c r="C80" s="994"/>
      <c r="D80" s="994" t="s">
        <v>429</v>
      </c>
      <c r="E80" s="370" t="s">
        <v>430</v>
      </c>
      <c r="F80" s="42"/>
      <c r="G80" s="42"/>
      <c r="H80" s="1003"/>
      <c r="I80" s="311"/>
      <c r="J80" s="2028"/>
      <c r="K80" s="3346"/>
      <c r="L80" s="3347"/>
      <c r="M80" s="3083" t="s">
        <v>425</v>
      </c>
      <c r="N80" s="1302"/>
      <c r="O80" s="1303" t="e">
        <f ca="1">NUMBERSTRING(INT(O79*10000),2)&amp;"元整"</f>
        <v>#VALUE!</v>
      </c>
      <c r="P80" s="1304"/>
      <c r="Q80" s="2028"/>
      <c r="R80" s="2028"/>
      <c r="S80" s="2028"/>
      <c r="T80" s="2028"/>
      <c r="U80" s="2028"/>
      <c r="V80" s="2028"/>
    </row>
    <row r="81" spans="1:26" ht="13.5" thickBot="1">
      <c r="A81" s="381" t="s">
        <v>1824</v>
      </c>
      <c r="B81" s="371" t="s">
        <v>431</v>
      </c>
      <c r="C81" s="372">
        <f ca="1">ROUND((C82+C83)/(1+'数据-取费表'!C42),0)</f>
        <v>62061</v>
      </c>
      <c r="D81" s="373"/>
      <c r="E81" s="374"/>
      <c r="F81" s="42"/>
      <c r="G81" s="42"/>
      <c r="H81" s="1003"/>
      <c r="I81" s="311"/>
      <c r="J81" s="2028"/>
      <c r="K81" s="3077">
        <f>K79+1</f>
        <v>6</v>
      </c>
      <c r="L81" s="3359" t="s">
        <v>2886</v>
      </c>
      <c r="M81" s="3360"/>
      <c r="N81" s="1306"/>
      <c r="O81" s="1307" t="e">
        <f ca="1">ROUND(O79*10000/'数据-汇总表'!E3,0)</f>
        <v>#VALUE!</v>
      </c>
      <c r="P81" s="1308"/>
      <c r="Q81" s="2028"/>
      <c r="R81" s="2028"/>
      <c r="S81" s="2028"/>
      <c r="T81" s="2028"/>
      <c r="U81" s="2028"/>
      <c r="V81" s="2028"/>
    </row>
    <row r="82" spans="1:26" ht="13.5" thickTop="1">
      <c r="A82" s="375" t="s">
        <v>1825</v>
      </c>
      <c r="B82" s="376" t="s">
        <v>432</v>
      </c>
      <c r="C82" s="377">
        <f ca="1">D63</f>
        <v>65164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34" t="s">
        <v>2874</v>
      </c>
      <c r="L83" s="3089" t="s">
        <v>2875</v>
      </c>
      <c r="M83" s="3079" t="e">
        <f>IF(N69&gt;10000,N69*0.5%,IF(AND(N69&gt;1000,N69&lt;=10000),N69*1%,IF(AND(N69&gt;100,N69&lt;=1000),N69*3%,IF(AND(N69&gt;10,N69&lt;=100),N69*5%,N69*8%))))</f>
        <v>#VALUE!</v>
      </c>
      <c r="N83" s="53" t="e">
        <f>ROUND(M83,1)</f>
        <v>#VALUE!</v>
      </c>
      <c r="O83" s="3082"/>
      <c r="P83" s="2028"/>
      <c r="Q83" s="2028"/>
      <c r="R83" s="2028"/>
      <c r="S83" s="2028"/>
      <c r="T83" s="2028"/>
      <c r="U83" s="2028"/>
      <c r="V83" s="2028"/>
    </row>
    <row r="84" spans="1:26" ht="12.75">
      <c r="A84" s="381" t="s">
        <v>1827</v>
      </c>
      <c r="B84" s="382" t="s">
        <v>434</v>
      </c>
      <c r="C84" s="383">
        <v>2000</v>
      </c>
      <c r="D84" s="384" t="s">
        <v>19</v>
      </c>
      <c r="E84" s="3124" t="s">
        <v>2939</v>
      </c>
      <c r="F84" s="42"/>
      <c r="G84" s="42"/>
      <c r="H84" s="1003"/>
      <c r="I84" s="311"/>
      <c r="J84" s="2028"/>
      <c r="K84" s="3334"/>
      <c r="L84" s="3089" t="s">
        <v>2876</v>
      </c>
      <c r="M84" s="3079"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8" t="s">
        <v>2877</v>
      </c>
      <c r="P84" s="2028"/>
      <c r="Q84" s="2028"/>
      <c r="R84" s="2028"/>
      <c r="S84" s="2028"/>
      <c r="T84" s="2028"/>
      <c r="U84" s="2028"/>
      <c r="V84" s="2028"/>
    </row>
    <row r="85" spans="1:26" ht="12.75">
      <c r="A85" s="381" t="s">
        <v>1828</v>
      </c>
      <c r="B85" s="382" t="s">
        <v>435</v>
      </c>
      <c r="C85" s="385">
        <f ca="1">C81-C84</f>
        <v>60061</v>
      </c>
      <c r="D85" s="378" t="s">
        <v>19</v>
      </c>
      <c r="E85" s="379"/>
      <c r="F85" s="42"/>
      <c r="G85" s="42"/>
      <c r="H85" s="1003"/>
      <c r="I85" s="311"/>
      <c r="J85" s="2028"/>
      <c r="K85" s="3334"/>
      <c r="L85" s="3089" t="s">
        <v>2878</v>
      </c>
      <c r="M85" s="3079" t="e">
        <f>IF(N69&gt;1000,N69*0.1%,IF(AND(N69&gt;500,N69&lt;=1000),N69*0.5%,IF(AND(N69&gt;50,N69&lt;=500),N69*1%,IF(AND(N69&gt;1,N69&lt;=50),N69*1.5%))))</f>
        <v>#VALUE!</v>
      </c>
      <c r="N85" s="53" t="e">
        <f>ROUND(M85,1)</f>
        <v>#VALUE!</v>
      </c>
      <c r="O85" s="2028" t="s">
        <v>2877</v>
      </c>
      <c r="P85" s="2028"/>
      <c r="Q85" s="2028"/>
      <c r="R85" s="2028"/>
      <c r="S85" s="2028"/>
      <c r="T85" s="2028"/>
      <c r="U85" s="2028"/>
      <c r="V85" s="2028"/>
    </row>
    <row r="86" spans="1:26" ht="13.5" thickBot="1">
      <c r="A86" s="386" t="s">
        <v>1829</v>
      </c>
      <c r="B86" s="387" t="s">
        <v>436</v>
      </c>
      <c r="C86" s="388">
        <f ca="1">IF(C85&lt;=0,0,ROUND(C85*D86,0))</f>
        <v>3363</v>
      </c>
      <c r="D86" s="389">
        <f>'数据-取费表'!B41</f>
        <v>5.6000000000000001E-2</v>
      </c>
      <c r="E86" s="390"/>
      <c r="F86" s="42"/>
      <c r="G86" s="42"/>
      <c r="H86" s="1003"/>
      <c r="I86" s="311"/>
      <c r="J86" s="2028"/>
      <c r="K86" s="3334"/>
      <c r="L86" s="3089" t="s">
        <v>2879</v>
      </c>
      <c r="M86" s="3079" t="e">
        <f>N69*0.5%</f>
        <v>#VALUE!</v>
      </c>
      <c r="N86" s="53" t="e">
        <f>IF(M86&gt;0.5,0.5,ROUND(M86,0))</f>
        <v>#VALUE!</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34"/>
      <c r="L87" s="3089" t="s">
        <v>2881</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1"/>
      <c r="Q87" s="2028"/>
      <c r="R87" s="2028"/>
      <c r="S87" s="2028"/>
      <c r="T87" s="2028"/>
      <c r="U87" s="2028"/>
      <c r="V87" s="2028"/>
      <c r="W87" s="292"/>
      <c r="X87" s="292"/>
      <c r="Y87" s="292"/>
      <c r="Z87" s="292"/>
    </row>
    <row r="88" spans="1:26" s="1314" customFormat="1" ht="15" thickBot="1">
      <c r="A88" s="3388" t="s">
        <v>437</v>
      </c>
      <c r="B88" s="3389"/>
      <c r="C88" s="3389"/>
      <c r="D88" s="3389"/>
      <c r="E88" s="3389"/>
      <c r="F88" s="3389"/>
      <c r="G88" s="3389"/>
      <c r="H88" s="3389"/>
      <c r="I88" s="1315"/>
      <c r="J88" s="2036"/>
      <c r="K88" s="3334"/>
      <c r="L88" s="3089" t="s">
        <v>2882</v>
      </c>
      <c r="M88" s="3079" t="e">
        <f>IF(N69&gt;10000,N69*0.5%,IF(AND(N69&gt;5000,N69&lt;=10000),N69*1%,IF(AND(N69&gt;1000,N69&lt;=5000),N69*2%,IF(AND(N69&gt;200,N69&lt;=1000),N69*3%,N69*5%))))</f>
        <v>#VALUE!</v>
      </c>
      <c r="N88" s="53" t="e">
        <f>ROUND(M88,1)</f>
        <v>#VALUE!</v>
      </c>
      <c r="O88" s="3082"/>
      <c r="P88" s="11"/>
      <c r="Q88" s="2033"/>
      <c r="R88" s="2033"/>
      <c r="S88" s="2033"/>
      <c r="T88" s="2033"/>
      <c r="U88" s="2033"/>
      <c r="V88" s="2033"/>
      <c r="W88" s="2037"/>
      <c r="X88" s="2037"/>
      <c r="Y88" s="2037"/>
      <c r="Z88" s="2037"/>
    </row>
    <row r="89" spans="1:26" s="1314" customFormat="1" ht="14.25">
      <c r="A89" s="3352" t="s">
        <v>428</v>
      </c>
      <c r="B89" s="3353"/>
      <c r="C89" s="994"/>
      <c r="D89" s="994" t="s">
        <v>429</v>
      </c>
      <c r="E89" s="391" t="s">
        <v>438</v>
      </c>
      <c r="F89" s="392"/>
      <c r="G89" s="392"/>
      <c r="H89" s="393"/>
      <c r="I89" s="1316"/>
      <c r="J89" s="2038"/>
      <c r="K89" s="3334"/>
      <c r="L89" s="3089" t="s">
        <v>27</v>
      </c>
      <c r="M89" s="3080"/>
      <c r="N89" s="53" t="e">
        <f>ROUND(SUM(N83:N88),0)</f>
        <v>#VALUE!</v>
      </c>
      <c r="O89" s="3090" t="e">
        <f>N89/N69</f>
        <v>#VALUE!</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62061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2933</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85" t="s">
        <v>447</v>
      </c>
      <c r="F94" s="3386"/>
      <c r="G94" s="3386"/>
      <c r="H94" s="3387"/>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372</v>
      </c>
      <c r="D96" s="406">
        <f>'数据-取费表'!B43</f>
        <v>6.000000000000001E-3</v>
      </c>
      <c r="E96" s="3375" t="s">
        <v>2428</v>
      </c>
      <c r="F96" s="3376"/>
      <c r="G96" s="3376"/>
      <c r="H96" s="3377"/>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59128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20.159563586771224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34450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88" t="s">
        <v>454</v>
      </c>
      <c r="B101" s="3389"/>
      <c r="C101" s="3389"/>
      <c r="D101" s="3389"/>
      <c r="E101" s="3389"/>
      <c r="F101" s="3389"/>
      <c r="G101" s="3389"/>
      <c r="H101" s="338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52" t="s">
        <v>428</v>
      </c>
      <c r="B102" s="3353"/>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62061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41736</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14232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f>ROUND('数据-基础表'!A3/666.67*607,0)</f>
        <v>13811</v>
      </c>
      <c r="D106" s="406"/>
      <c r="E106" s="417" t="s">
        <v>457</v>
      </c>
      <c r="F106" s="986"/>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421</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v>0</v>
      </c>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 ca="1">IF(H109="——",IF(F1="现房",'剩余法-现房'!C18,'剩余法-待开发'!C18),I109)</f>
        <v>23372</v>
      </c>
      <c r="D109" s="406"/>
      <c r="E109" s="3378" t="s">
        <v>462</v>
      </c>
      <c r="F109" s="3376"/>
      <c r="G109" s="3376"/>
      <c r="H109" s="1941" t="s">
        <v>2279</v>
      </c>
      <c r="I109" s="1942">
        <f ca="1">'剩余法-待开发'!C18</f>
        <v>23372</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 ca="1">ROUND((C105+C108+C109)*D110,0)</f>
        <v>3760</v>
      </c>
      <c r="D110" s="406">
        <v>0.1</v>
      </c>
      <c r="E110" s="3378" t="s">
        <v>464</v>
      </c>
      <c r="F110" s="3376"/>
      <c r="G110" s="3376"/>
      <c r="H110" s="3377"/>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372</v>
      </c>
      <c r="D111" s="406">
        <f>'数据-取费表'!B43</f>
        <v>6.000000000000001E-3</v>
      </c>
      <c r="E111" s="3375" t="s">
        <v>2428</v>
      </c>
      <c r="F111" s="3376"/>
      <c r="G111" s="3376"/>
      <c r="H111" s="3377"/>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378" t="s">
        <v>2453</v>
      </c>
      <c r="F112" s="3376"/>
      <c r="G112" s="3376"/>
      <c r="H112" s="3377"/>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20325</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0.48698964922369176</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6098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5" zoomScaleNormal="95" zoomScaleSheetLayoutView="85" workbookViewId="0">
      <selection activeCell="M17" sqref="M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64522</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9556</v>
      </c>
      <c r="C3" s="2061"/>
      <c r="D3" s="2594"/>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42537</v>
      </c>
      <c r="C4" s="2061"/>
      <c r="D4" s="2594"/>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2836</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433" t="s">
        <v>522</v>
      </c>
      <c r="D6" s="3434"/>
      <c r="E6" s="3433" t="s">
        <v>523</v>
      </c>
      <c r="F6" s="3434"/>
      <c r="G6" s="3433" t="s">
        <v>524</v>
      </c>
      <c r="H6" s="3434"/>
      <c r="I6" s="3433" t="s">
        <v>525</v>
      </c>
      <c r="J6" s="3434"/>
      <c r="K6" s="514" t="s">
        <v>526</v>
      </c>
      <c r="L6" s="2133"/>
      <c r="M6" s="2132"/>
      <c r="N6" s="2132"/>
      <c r="O6" s="2134"/>
      <c r="P6" s="3435" t="s">
        <v>527</v>
      </c>
      <c r="Q6" s="3436"/>
      <c r="R6" s="3421" t="s">
        <v>523</v>
      </c>
      <c r="S6" s="3422"/>
      <c r="T6" s="3421" t="s">
        <v>524</v>
      </c>
      <c r="U6" s="3422"/>
      <c r="V6" s="3441" t="s">
        <v>525</v>
      </c>
      <c r="W6" s="3441"/>
      <c r="X6" s="1568"/>
      <c r="Y6" s="3421" t="s">
        <v>527</v>
      </c>
      <c r="Z6" s="3422"/>
      <c r="AA6" s="3416" t="s">
        <v>523</v>
      </c>
      <c r="AB6" s="3417" t="s">
        <v>524</v>
      </c>
      <c r="AC6" s="3416" t="s">
        <v>525</v>
      </c>
    </row>
    <row r="7" spans="1:30" ht="20.25">
      <c r="A7" s="515"/>
      <c r="B7" s="516"/>
      <c r="C7" s="3446" t="s">
        <v>2926</v>
      </c>
      <c r="D7" s="3445"/>
      <c r="E7" s="3444" t="s">
        <v>3207</v>
      </c>
      <c r="F7" s="3445"/>
      <c r="G7" s="3444" t="s">
        <v>3207</v>
      </c>
      <c r="H7" s="3445"/>
      <c r="I7" s="3444" t="s">
        <v>3209</v>
      </c>
      <c r="J7" s="3445"/>
      <c r="K7" s="514"/>
      <c r="L7" s="2133"/>
      <c r="M7" s="2132"/>
      <c r="N7" s="2132"/>
      <c r="O7" s="2134"/>
      <c r="P7" s="3437"/>
      <c r="Q7" s="3438"/>
      <c r="R7" s="3423"/>
      <c r="S7" s="3424"/>
      <c r="T7" s="3423"/>
      <c r="U7" s="3424"/>
      <c r="V7" s="3441"/>
      <c r="W7" s="3441"/>
      <c r="X7" s="1568"/>
      <c r="Y7" s="3423"/>
      <c r="Z7" s="3424"/>
      <c r="AA7" s="3417"/>
      <c r="AB7" s="3417"/>
      <c r="AC7" s="3417"/>
    </row>
    <row r="8" spans="1:30" ht="21" thickBot="1">
      <c r="A8" s="515"/>
      <c r="B8" s="516"/>
      <c r="C8" s="3447" t="s">
        <v>2930</v>
      </c>
      <c r="D8" s="3448"/>
      <c r="E8" s="3449" t="s">
        <v>3162</v>
      </c>
      <c r="F8" s="3448"/>
      <c r="G8" s="3442" t="s">
        <v>3041</v>
      </c>
      <c r="H8" s="3443"/>
      <c r="I8" s="3442" t="s">
        <v>3041</v>
      </c>
      <c r="J8" s="3443"/>
      <c r="K8" s="514" t="s">
        <v>528</v>
      </c>
      <c r="L8" s="2133"/>
      <c r="M8" s="2132"/>
      <c r="N8" s="2132"/>
      <c r="O8" s="2134"/>
      <c r="P8" s="3439"/>
      <c r="Q8" s="3440"/>
      <c r="R8" s="3423"/>
      <c r="S8" s="3424"/>
      <c r="T8" s="3425"/>
      <c r="U8" s="3426"/>
      <c r="V8" s="3441"/>
      <c r="W8" s="3441"/>
      <c r="X8" s="1568"/>
      <c r="Y8" s="3425"/>
      <c r="Z8" s="3426"/>
      <c r="AA8" s="3418"/>
      <c r="AB8" s="3418"/>
      <c r="AC8" s="3418"/>
    </row>
    <row r="9" spans="1:30" s="1220" customFormat="1" ht="21" thickBot="1">
      <c r="A9" s="2936"/>
      <c r="B9" s="2943" t="s">
        <v>529</v>
      </c>
      <c r="C9" s="2935">
        <f>'数据-取费表'!B2</f>
        <v>43244</v>
      </c>
      <c r="D9" s="520">
        <v>100</v>
      </c>
      <c r="E9" s="523">
        <v>42732</v>
      </c>
      <c r="F9" s="522">
        <f>SUMIF(72:72,YEAR(E9)&amp;"-"&amp;INT((MONTH(E9)+2)/3),73:73)</f>
        <v>82</v>
      </c>
      <c r="G9" s="523">
        <v>42732</v>
      </c>
      <c r="H9" s="520">
        <f>SUMIF(72:72,YEAR(G9)&amp;"-"&amp;INT((MONTH(G9)+2)/3),73:73)</f>
        <v>82</v>
      </c>
      <c r="I9" s="523">
        <v>43098</v>
      </c>
      <c r="J9" s="520">
        <f>SUMIF(72:72,YEAR(I9)&amp;"-"&amp;INT((MONTH(I9)+2)/3),73:73)</f>
        <v>94</v>
      </c>
      <c r="K9" s="524"/>
      <c r="L9" s="2135"/>
      <c r="M9" s="2132"/>
      <c r="N9" s="2132"/>
      <c r="O9" s="2136"/>
      <c r="P9" s="3419" t="s">
        <v>530</v>
      </c>
      <c r="Q9" s="3428"/>
      <c r="R9" s="1569" t="s">
        <v>8</v>
      </c>
      <c r="S9" s="1570">
        <f t="shared" ref="S9:S17" si="0">F9</f>
        <v>82</v>
      </c>
      <c r="T9" s="1569" t="s">
        <v>8</v>
      </c>
      <c r="U9" s="1570">
        <f t="shared" ref="U9:U17" si="1">H9</f>
        <v>82</v>
      </c>
      <c r="V9" s="1569" t="s">
        <v>8</v>
      </c>
      <c r="W9" s="1570">
        <f t="shared" ref="W9:W17" si="2">J9</f>
        <v>94</v>
      </c>
      <c r="X9" s="1571"/>
      <c r="Y9" s="3419" t="s">
        <v>530</v>
      </c>
      <c r="Z9" s="3420"/>
      <c r="AA9" s="1572">
        <f>D9/F9</f>
        <v>1.2195121951219512</v>
      </c>
      <c r="AB9" s="1572">
        <f>D9/H9</f>
        <v>1.2195121951219512</v>
      </c>
      <c r="AC9" s="1572">
        <f>D9/J9</f>
        <v>1.0638297872340425</v>
      </c>
    </row>
    <row r="10" spans="1:30" s="1220" customFormat="1" ht="21" thickBot="1">
      <c r="A10" s="2937"/>
      <c r="B10" s="2944" t="s">
        <v>531</v>
      </c>
      <c r="C10" s="856" t="s">
        <v>532</v>
      </c>
      <c r="D10" s="520">
        <v>100</v>
      </c>
      <c r="E10" s="525" t="s">
        <v>3007</v>
      </c>
      <c r="F10" s="522">
        <f>SUMIF(75:75,E10,76:76)-SUMIF(75:75,C10,76:76)+100</f>
        <v>100</v>
      </c>
      <c r="G10" s="525" t="s">
        <v>3007</v>
      </c>
      <c r="H10" s="520">
        <f>SUMIF(75:75,G10,76:76)-SUMIF(75:75,C10,76:76)+100</f>
        <v>100</v>
      </c>
      <c r="I10" s="525" t="s">
        <v>3007</v>
      </c>
      <c r="J10" s="520">
        <f>SUMIF(75:75,I10,76:76)-SUMIF(75:75,C10,76:76)+100</f>
        <v>100</v>
      </c>
      <c r="K10" s="524"/>
      <c r="L10" s="2135"/>
      <c r="M10" s="2132"/>
      <c r="N10" s="2132"/>
      <c r="O10" s="2136"/>
      <c r="P10" s="3419" t="s">
        <v>533</v>
      </c>
      <c r="Q10" s="3420"/>
      <c r="R10" s="1569" t="s">
        <v>8</v>
      </c>
      <c r="S10" s="1570">
        <f t="shared" si="0"/>
        <v>100</v>
      </c>
      <c r="T10" s="1569" t="s">
        <v>8</v>
      </c>
      <c r="U10" s="1570">
        <f t="shared" si="1"/>
        <v>100</v>
      </c>
      <c r="V10" s="1569" t="s">
        <v>8</v>
      </c>
      <c r="W10" s="1570">
        <f t="shared" si="2"/>
        <v>100</v>
      </c>
      <c r="X10" s="1571"/>
      <c r="Y10" s="3419" t="s">
        <v>533</v>
      </c>
      <c r="Z10" s="3420"/>
      <c r="AA10" s="1572">
        <f t="shared" ref="AA10:AA47" si="3">D10/F10</f>
        <v>1</v>
      </c>
      <c r="AB10" s="1572">
        <f t="shared" ref="AB10:AB47" si="4">D10/H10</f>
        <v>1</v>
      </c>
      <c r="AC10" s="1572">
        <f t="shared" ref="AC10:AC47" si="5">D10/J10</f>
        <v>1</v>
      </c>
    </row>
    <row r="11" spans="1:30" s="1220" customFormat="1" ht="20.25">
      <c r="A11" s="2938"/>
      <c r="B11" s="2945" t="s">
        <v>2756</v>
      </c>
      <c r="C11" s="2932" t="s">
        <v>3008</v>
      </c>
      <c r="D11" s="254">
        <v>100</v>
      </c>
      <c r="E11" s="526" t="s">
        <v>3008</v>
      </c>
      <c r="F11" s="254">
        <f>SUMIF(77:77,E11,78:78)-SUMIF(77:77,C11,78:78)+100</f>
        <v>100</v>
      </c>
      <c r="G11" s="526" t="s">
        <v>3008</v>
      </c>
      <c r="H11" s="254">
        <f>SUMIF(77:77,G11,78:78)-SUMIF(77:77,C11,78:78)+100</f>
        <v>100</v>
      </c>
      <c r="I11" s="526" t="s">
        <v>3008</v>
      </c>
      <c r="J11" s="254">
        <f>SUMIF(77:77,I11,78:78)-SUMIF(77:77,C11,78:78)+100</f>
        <v>100</v>
      </c>
      <c r="K11" s="524"/>
      <c r="L11" s="2135"/>
      <c r="M11" s="2132"/>
      <c r="N11" s="2132"/>
      <c r="O11" s="2137"/>
      <c r="P11" s="3427" t="s">
        <v>535</v>
      </c>
      <c r="Q11" s="1151" t="str">
        <f t="shared" ref="Q11:Q17" si="6">B11</f>
        <v>用途</v>
      </c>
      <c r="R11" s="1569" t="s">
        <v>8</v>
      </c>
      <c r="S11" s="1570">
        <f t="shared" si="0"/>
        <v>100</v>
      </c>
      <c r="T11" s="1569" t="s">
        <v>8</v>
      </c>
      <c r="U11" s="1570">
        <f t="shared" si="1"/>
        <v>100</v>
      </c>
      <c r="V11" s="1569" t="s">
        <v>8</v>
      </c>
      <c r="W11" s="1570">
        <f t="shared" si="2"/>
        <v>100</v>
      </c>
      <c r="X11" s="1571"/>
      <c r="Y11" s="3384" t="s">
        <v>536</v>
      </c>
      <c r="Z11" s="1150" t="str">
        <f t="shared" ref="Z11:Z17" si="7">Q11</f>
        <v>用途</v>
      </c>
      <c r="AA11" s="1572">
        <f t="shared" si="3"/>
        <v>1</v>
      </c>
      <c r="AB11" s="1572">
        <f t="shared" si="4"/>
        <v>1</v>
      </c>
      <c r="AC11" s="1572">
        <f t="shared" si="5"/>
        <v>1</v>
      </c>
    </row>
    <row r="12" spans="1:30" s="1338" customFormat="1" ht="28.5">
      <c r="A12" s="2939"/>
      <c r="B12" s="2944" t="s">
        <v>2757</v>
      </c>
      <c r="C12" s="910" t="str">
        <f>项目基本情况!D20</f>
        <v>住宅55.5年、商业25.5年</v>
      </c>
      <c r="D12" s="255">
        <v>100</v>
      </c>
      <c r="E12" s="529" t="s">
        <v>3035</v>
      </c>
      <c r="F12" s="255">
        <f>ROUND(100/'数据-取费表'!G16,0)</f>
        <v>106</v>
      </c>
      <c r="G12" s="529" t="s">
        <v>3035</v>
      </c>
      <c r="H12" s="255">
        <f>ROUND(100/'数据-取费表'!G16,0)</f>
        <v>106</v>
      </c>
      <c r="I12" s="529" t="s">
        <v>3035</v>
      </c>
      <c r="J12" s="255">
        <f>ROUND(100/'数据-取费表'!G16,0)</f>
        <v>106</v>
      </c>
      <c r="K12" s="531"/>
      <c r="L12" s="2138"/>
      <c r="M12" s="2132"/>
      <c r="N12" s="2132"/>
      <c r="O12" s="2139"/>
      <c r="P12" s="3427"/>
      <c r="Q12" s="1151" t="str">
        <f t="shared" si="6"/>
        <v>土地使用年限（年）</v>
      </c>
      <c r="R12" s="1569" t="s">
        <v>8</v>
      </c>
      <c r="S12" s="1570">
        <f t="shared" si="0"/>
        <v>106</v>
      </c>
      <c r="T12" s="1569" t="s">
        <v>8</v>
      </c>
      <c r="U12" s="1570">
        <f t="shared" si="1"/>
        <v>106</v>
      </c>
      <c r="V12" s="1569" t="s">
        <v>8</v>
      </c>
      <c r="W12" s="1570">
        <f t="shared" si="2"/>
        <v>106</v>
      </c>
      <c r="X12" s="1571"/>
      <c r="Y12" s="3384"/>
      <c r="Z12" s="1150" t="str">
        <f t="shared" si="7"/>
        <v>土地使用年限（年）</v>
      </c>
      <c r="AA12" s="1572">
        <f t="shared" si="3"/>
        <v>0.94339622641509435</v>
      </c>
      <c r="AB12" s="1572">
        <f t="shared" si="4"/>
        <v>0.94339622641509435</v>
      </c>
      <c r="AC12" s="1572">
        <f t="shared" si="5"/>
        <v>0.94339622641509435</v>
      </c>
    </row>
    <row r="13" spans="1:30" ht="21" thickBot="1">
      <c r="A13" s="2940"/>
      <c r="B13" s="2944" t="s">
        <v>2758</v>
      </c>
      <c r="C13" s="534">
        <f>'数据-汇总表'!I4</f>
        <v>4.0599999999999996</v>
      </c>
      <c r="D13" s="255">
        <v>100</v>
      </c>
      <c r="E13" s="533">
        <v>2.5</v>
      </c>
      <c r="F13" s="255">
        <f>LOOKUP(E13,82:82,83:83)-LOOKUP(C13,82:82,83:83)+100</f>
        <v>105</v>
      </c>
      <c r="G13" s="534">
        <v>3.5</v>
      </c>
      <c r="H13" s="255">
        <f>LOOKUP(G13,82:82,83:83)-LOOKUP(C13,82:82,83:83)+100</f>
        <v>105</v>
      </c>
      <c r="I13" s="533">
        <v>3</v>
      </c>
      <c r="J13" s="255">
        <f>LOOKUP(I13,82:82,83:83)-LOOKUP(C13,82:82,83:83)+100</f>
        <v>105</v>
      </c>
      <c r="K13" s="535">
        <v>5</v>
      </c>
      <c r="L13" s="2140"/>
      <c r="M13" s="2132"/>
      <c r="N13" s="2132"/>
      <c r="O13" s="2141"/>
      <c r="P13" s="3427"/>
      <c r="Q13" s="1151" t="str">
        <f t="shared" si="6"/>
        <v>容积率</v>
      </c>
      <c r="R13" s="1569" t="s">
        <v>8</v>
      </c>
      <c r="S13" s="1570">
        <f t="shared" si="0"/>
        <v>105</v>
      </c>
      <c r="T13" s="1569" t="s">
        <v>8</v>
      </c>
      <c r="U13" s="1570">
        <f t="shared" si="1"/>
        <v>105</v>
      </c>
      <c r="V13" s="1569" t="s">
        <v>8</v>
      </c>
      <c r="W13" s="1570">
        <f t="shared" si="2"/>
        <v>105</v>
      </c>
      <c r="X13" s="1571"/>
      <c r="Y13" s="3384"/>
      <c r="Z13" s="1150" t="str">
        <f t="shared" si="7"/>
        <v>容积率</v>
      </c>
      <c r="AA13" s="1572">
        <f t="shared" si="3"/>
        <v>0.95238095238095233</v>
      </c>
      <c r="AB13" s="1572">
        <f t="shared" si="4"/>
        <v>0.95238095238095233</v>
      </c>
      <c r="AC13" s="1572">
        <f t="shared" si="5"/>
        <v>0.95238095238095233</v>
      </c>
    </row>
    <row r="14" spans="1:30" s="1220" customFormat="1" ht="20.25" hidden="1">
      <c r="A14" s="2937"/>
      <c r="B14" s="2946" t="s">
        <v>2759</v>
      </c>
      <c r="C14" s="2933"/>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427"/>
      <c r="Q14" s="1151" t="str">
        <f t="shared" si="6"/>
        <v>配建</v>
      </c>
      <c r="R14" s="1569" t="s">
        <v>8</v>
      </c>
      <c r="S14" s="1570">
        <f t="shared" si="0"/>
        <v>100</v>
      </c>
      <c r="T14" s="1569" t="s">
        <v>8</v>
      </c>
      <c r="U14" s="1570">
        <f t="shared" si="1"/>
        <v>100</v>
      </c>
      <c r="V14" s="1569" t="s">
        <v>8</v>
      </c>
      <c r="W14" s="1570">
        <f t="shared" si="2"/>
        <v>100</v>
      </c>
      <c r="X14" s="1571"/>
      <c r="Y14" s="3384"/>
      <c r="Z14" s="1150" t="str">
        <f t="shared" si="7"/>
        <v>配建</v>
      </c>
      <c r="AA14" s="1572">
        <f>D14/F14</f>
        <v>1</v>
      </c>
      <c r="AB14" s="1572">
        <f>D14/H14</f>
        <v>1</v>
      </c>
      <c r="AC14" s="1572">
        <f>D14/J14</f>
        <v>1</v>
      </c>
    </row>
    <row r="15" spans="1:30" ht="20.25" hidden="1">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27"/>
      <c r="Q15" s="1151">
        <f t="shared" si="6"/>
        <v>111</v>
      </c>
      <c r="R15" s="1569" t="s">
        <v>8</v>
      </c>
      <c r="S15" s="1570">
        <f t="shared" si="0"/>
        <v>100</v>
      </c>
      <c r="T15" s="1569" t="s">
        <v>8</v>
      </c>
      <c r="U15" s="1570">
        <f t="shared" si="1"/>
        <v>100</v>
      </c>
      <c r="V15" s="1569" t="s">
        <v>8</v>
      </c>
      <c r="W15" s="1570">
        <f t="shared" si="2"/>
        <v>100</v>
      </c>
      <c r="X15" s="1571"/>
      <c r="Y15" s="3384"/>
      <c r="Z15" s="1150">
        <f t="shared" si="7"/>
        <v>111</v>
      </c>
      <c r="AA15" s="1572">
        <f>D15/F15</f>
        <v>1</v>
      </c>
      <c r="AB15" s="1572">
        <f>D15/H15</f>
        <v>1</v>
      </c>
      <c r="AC15" s="1572">
        <f>D15/J15</f>
        <v>1</v>
      </c>
    </row>
    <row r="16" spans="1:30" ht="21" hidden="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27"/>
      <c r="Q16" s="1151">
        <f t="shared" si="6"/>
        <v>111</v>
      </c>
      <c r="R16" s="1569" t="s">
        <v>8</v>
      </c>
      <c r="S16" s="1570">
        <f t="shared" si="0"/>
        <v>100</v>
      </c>
      <c r="T16" s="1569" t="s">
        <v>8</v>
      </c>
      <c r="U16" s="1570">
        <f t="shared" si="1"/>
        <v>100</v>
      </c>
      <c r="V16" s="1569" t="s">
        <v>8</v>
      </c>
      <c r="W16" s="1570">
        <f t="shared" si="2"/>
        <v>100</v>
      </c>
      <c r="X16" s="1571"/>
      <c r="Y16" s="3384"/>
      <c r="Z16" s="1150">
        <f t="shared" si="7"/>
        <v>111</v>
      </c>
      <c r="AA16" s="1572">
        <f>D16/F16</f>
        <v>1</v>
      </c>
      <c r="AB16" s="1572">
        <f>D16/H16</f>
        <v>1</v>
      </c>
      <c r="AC16" s="1572">
        <f>D16/J16</f>
        <v>1</v>
      </c>
    </row>
    <row r="17" spans="1:29" ht="99.75">
      <c r="A17" s="2934"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97</v>
      </c>
      <c r="G17" s="550"/>
      <c r="H17" s="549">
        <f>SUMIF(90:90,G18,91:91)-SUMIF(90:90,C18,91:91)+100</f>
        <v>97</v>
      </c>
      <c r="I17" s="552"/>
      <c r="J17" s="549">
        <f>SUMIF(90:90,I18,91:91)-SUMIF(90:90,C18,91:91)+100</f>
        <v>100</v>
      </c>
      <c r="K17" s="535">
        <v>3</v>
      </c>
      <c r="L17" s="2142"/>
      <c r="M17" s="2132"/>
      <c r="N17" s="2132"/>
      <c r="O17" s="2141"/>
      <c r="P17" s="3429" t="s">
        <v>540</v>
      </c>
      <c r="Q17" s="1573" t="str">
        <f t="shared" si="6"/>
        <v>居住社区成熟度</v>
      </c>
      <c r="R17" s="1574" t="s">
        <v>8</v>
      </c>
      <c r="S17" s="1575">
        <f t="shared" si="0"/>
        <v>97</v>
      </c>
      <c r="T17" s="1574" t="s">
        <v>8</v>
      </c>
      <c r="U17" s="1575">
        <f t="shared" si="1"/>
        <v>97</v>
      </c>
      <c r="V17" s="1574" t="s">
        <v>8</v>
      </c>
      <c r="W17" s="1575">
        <f t="shared" si="2"/>
        <v>100</v>
      </c>
      <c r="X17" s="1568"/>
      <c r="Y17" s="3429" t="s">
        <v>540</v>
      </c>
      <c r="Z17" s="1576" t="str">
        <f t="shared" si="7"/>
        <v>居住社区成熟度</v>
      </c>
      <c r="AA17" s="1577">
        <f t="shared" si="3"/>
        <v>1.0309278350515463</v>
      </c>
      <c r="AB17" s="1577">
        <f t="shared" si="4"/>
        <v>1.0309278350515463</v>
      </c>
      <c r="AC17" s="1577">
        <f t="shared" si="5"/>
        <v>1</v>
      </c>
    </row>
    <row r="18" spans="1:29" ht="20.25">
      <c r="A18" s="532"/>
      <c r="B18" s="553"/>
      <c r="C18" s="554" t="s">
        <v>3010</v>
      </c>
      <c r="D18" s="557"/>
      <c r="E18" s="558" t="s">
        <v>3011</v>
      </c>
      <c r="F18" s="555"/>
      <c r="G18" s="556" t="s">
        <v>3011</v>
      </c>
      <c r="H18" s="559"/>
      <c r="I18" s="558" t="s">
        <v>3010</v>
      </c>
      <c r="J18" s="555"/>
      <c r="K18" s="531"/>
      <c r="L18" s="2142"/>
      <c r="M18" s="2132"/>
      <c r="N18" s="2132"/>
      <c r="O18" s="2141"/>
      <c r="P18" s="3430"/>
      <c r="Q18" s="1573"/>
      <c r="R18" s="1574"/>
      <c r="S18" s="1575"/>
      <c r="T18" s="1574"/>
      <c r="U18" s="1575"/>
      <c r="V18" s="1574"/>
      <c r="W18" s="1575"/>
      <c r="X18" s="1568"/>
      <c r="Y18" s="343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97</v>
      </c>
      <c r="I19" s="564"/>
      <c r="J19" s="565">
        <f>SUMIF(92:92,I20,93:93)-SUMIF(92:92,C20,93:93)+100</f>
        <v>100</v>
      </c>
      <c r="K19" s="535">
        <v>3</v>
      </c>
      <c r="L19" s="2142"/>
      <c r="M19" s="2132"/>
      <c r="N19" s="2132"/>
      <c r="O19" s="2141"/>
      <c r="P19" s="3430"/>
      <c r="Q19" s="1573" t="str">
        <f>B19</f>
        <v>商业繁华度</v>
      </c>
      <c r="R19" s="1574" t="s">
        <v>8</v>
      </c>
      <c r="S19" s="1575">
        <f>F19</f>
        <v>97</v>
      </c>
      <c r="T19" s="1574" t="s">
        <v>8</v>
      </c>
      <c r="U19" s="1575">
        <f>H19</f>
        <v>97</v>
      </c>
      <c r="V19" s="1574" t="s">
        <v>8</v>
      </c>
      <c r="W19" s="1575">
        <f>J19</f>
        <v>100</v>
      </c>
      <c r="X19" s="1568"/>
      <c r="Y19" s="3430"/>
      <c r="Z19" s="1576" t="str">
        <f>Q19</f>
        <v>商业繁华度</v>
      </c>
      <c r="AA19" s="1577">
        <f t="shared" si="3"/>
        <v>1.0309278350515463</v>
      </c>
      <c r="AB19" s="1577">
        <f t="shared" si="4"/>
        <v>1.0309278350515463</v>
      </c>
      <c r="AC19" s="1577">
        <f t="shared" si="5"/>
        <v>1</v>
      </c>
    </row>
    <row r="20" spans="1:29" ht="20.25">
      <c r="A20" s="532"/>
      <c r="B20" s="566"/>
      <c r="C20" s="567" t="s">
        <v>3011</v>
      </c>
      <c r="D20" s="563"/>
      <c r="E20" s="569" t="s">
        <v>3028</v>
      </c>
      <c r="F20" s="559"/>
      <c r="G20" s="568" t="s">
        <v>3028</v>
      </c>
      <c r="H20" s="555"/>
      <c r="I20" s="569" t="s">
        <v>3011</v>
      </c>
      <c r="J20" s="555"/>
      <c r="K20" s="531"/>
      <c r="L20" s="2142"/>
      <c r="M20" s="2132"/>
      <c r="N20" s="2132"/>
      <c r="O20" s="2141"/>
      <c r="P20" s="3430"/>
      <c r="Q20" s="1573"/>
      <c r="R20" s="1574"/>
      <c r="S20" s="1575"/>
      <c r="T20" s="1574"/>
      <c r="U20" s="1575"/>
      <c r="V20" s="1574"/>
      <c r="W20" s="1575"/>
      <c r="X20" s="1568"/>
      <c r="Y20" s="343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30"/>
      <c r="Q21" s="1573" t="str">
        <f>B21</f>
        <v>办公集聚程度</v>
      </c>
      <c r="R21" s="1574" t="s">
        <v>8</v>
      </c>
      <c r="S21" s="1575">
        <f>F21</f>
        <v>100</v>
      </c>
      <c r="T21" s="1574" t="s">
        <v>8</v>
      </c>
      <c r="U21" s="1575">
        <f>H21</f>
        <v>100</v>
      </c>
      <c r="V21" s="1574" t="s">
        <v>8</v>
      </c>
      <c r="W21" s="1575">
        <f>J21</f>
        <v>100</v>
      </c>
      <c r="X21" s="1568"/>
      <c r="Y21" s="343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430"/>
      <c r="Q22" s="1573"/>
      <c r="R22" s="1574"/>
      <c r="S22" s="1575"/>
      <c r="T22" s="1574"/>
      <c r="U22" s="1575"/>
      <c r="V22" s="1574"/>
      <c r="W22" s="1575"/>
      <c r="X22" s="1568"/>
      <c r="Y22" s="343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30"/>
      <c r="Q23" s="1573" t="str">
        <f>B23</f>
        <v>交通便捷度</v>
      </c>
      <c r="R23" s="1574" t="s">
        <v>8</v>
      </c>
      <c r="S23" s="1575">
        <f>F23</f>
        <v>100</v>
      </c>
      <c r="T23" s="1574" t="s">
        <v>8</v>
      </c>
      <c r="U23" s="1575">
        <f>H23</f>
        <v>100</v>
      </c>
      <c r="V23" s="1574" t="s">
        <v>8</v>
      </c>
      <c r="W23" s="1575">
        <f>J23</f>
        <v>100</v>
      </c>
      <c r="X23" s="1568"/>
      <c r="Y23" s="3430"/>
      <c r="Z23" s="1576" t="str">
        <f>Q23</f>
        <v>交通便捷度</v>
      </c>
      <c r="AA23" s="1577">
        <f t="shared" si="3"/>
        <v>1</v>
      </c>
      <c r="AB23" s="1577">
        <f t="shared" si="4"/>
        <v>1</v>
      </c>
      <c r="AC23" s="1577">
        <f t="shared" si="5"/>
        <v>1</v>
      </c>
    </row>
    <row r="24" spans="1:29" ht="20.25">
      <c r="A24" s="532"/>
      <c r="B24" s="578"/>
      <c r="C24" s="554" t="s">
        <v>3011</v>
      </c>
      <c r="D24" s="557"/>
      <c r="E24" s="558" t="s">
        <v>3011</v>
      </c>
      <c r="F24" s="555"/>
      <c r="G24" s="556" t="s">
        <v>3011</v>
      </c>
      <c r="H24" s="555"/>
      <c r="I24" s="558" t="s">
        <v>3011</v>
      </c>
      <c r="J24" s="555"/>
      <c r="K24" s="531"/>
      <c r="L24" s="2142"/>
      <c r="M24" s="2132"/>
      <c r="N24" s="2132"/>
      <c r="O24" s="2141"/>
      <c r="P24" s="3430"/>
      <c r="Q24" s="1573"/>
      <c r="R24" s="1574"/>
      <c r="S24" s="1575"/>
      <c r="T24" s="1574"/>
      <c r="U24" s="1575"/>
      <c r="V24" s="1574"/>
      <c r="W24" s="1575"/>
      <c r="X24" s="1568"/>
      <c r="Y24" s="343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2"/>
      <c r="M25" s="2132"/>
      <c r="N25" s="2132"/>
      <c r="O25" s="2141"/>
      <c r="P25" s="3430"/>
      <c r="Q25" s="1573" t="str">
        <f t="shared" ref="Q25:Q39" si="8">B25</f>
        <v>区域土地利用方向</v>
      </c>
      <c r="R25" s="1574" t="s">
        <v>8</v>
      </c>
      <c r="S25" s="1575">
        <f>F25</f>
        <v>100</v>
      </c>
      <c r="T25" s="1574" t="s">
        <v>8</v>
      </c>
      <c r="U25" s="1575">
        <f>H25</f>
        <v>100</v>
      </c>
      <c r="V25" s="1574" t="s">
        <v>8</v>
      </c>
      <c r="W25" s="1575">
        <f>J25</f>
        <v>100</v>
      </c>
      <c r="X25" s="1568"/>
      <c r="Y25" s="3430"/>
      <c r="Z25" s="1576" t="str">
        <f>Q25</f>
        <v>区域土地利用方向</v>
      </c>
      <c r="AA25" s="1577">
        <f t="shared" si="3"/>
        <v>1</v>
      </c>
      <c r="AB25" s="1577">
        <f t="shared" si="4"/>
        <v>1</v>
      </c>
      <c r="AC25" s="1577">
        <f t="shared" si="5"/>
        <v>1</v>
      </c>
    </row>
    <row r="26" spans="1:29" ht="20.25">
      <c r="A26" s="515"/>
      <c r="B26" s="1007"/>
      <c r="C26" s="554" t="s">
        <v>3010</v>
      </c>
      <c r="D26" s="557"/>
      <c r="E26" s="558" t="s">
        <v>3010</v>
      </c>
      <c r="F26" s="555"/>
      <c r="G26" s="556" t="s">
        <v>3010</v>
      </c>
      <c r="H26" s="555"/>
      <c r="I26" s="558" t="s">
        <v>3010</v>
      </c>
      <c r="J26" s="555"/>
      <c r="K26" s="531"/>
      <c r="L26" s="2142"/>
      <c r="M26" s="2132"/>
      <c r="N26" s="2132"/>
      <c r="O26" s="2141"/>
      <c r="P26" s="3430"/>
      <c r="Q26" s="1573"/>
      <c r="R26" s="1574"/>
      <c r="S26" s="1575"/>
      <c r="T26" s="1574"/>
      <c r="U26" s="1575"/>
      <c r="V26" s="1574"/>
      <c r="W26" s="1575"/>
      <c r="X26" s="1568"/>
      <c r="Y26" s="343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2"/>
      <c r="M27" s="2132"/>
      <c r="N27" s="2132"/>
      <c r="O27" s="2141"/>
      <c r="P27" s="3430"/>
      <c r="Q27" s="1573" t="str">
        <f t="shared" si="8"/>
        <v>自然及人文环境状况</v>
      </c>
      <c r="R27" s="1574" t="s">
        <v>8</v>
      </c>
      <c r="S27" s="1575">
        <f>F27</f>
        <v>100</v>
      </c>
      <c r="T27" s="1574" t="s">
        <v>8</v>
      </c>
      <c r="U27" s="1575">
        <f>H27</f>
        <v>100</v>
      </c>
      <c r="V27" s="1574" t="s">
        <v>8</v>
      </c>
      <c r="W27" s="1575">
        <f>J27</f>
        <v>100</v>
      </c>
      <c r="X27" s="1568"/>
      <c r="Y27" s="3430"/>
      <c r="Z27" s="1576" t="str">
        <f>Q27</f>
        <v>自然及人文环境状况</v>
      </c>
      <c r="AA27" s="1577">
        <f t="shared" si="3"/>
        <v>1</v>
      </c>
      <c r="AB27" s="1577">
        <f t="shared" si="4"/>
        <v>1</v>
      </c>
      <c r="AC27" s="1577">
        <f t="shared" si="5"/>
        <v>1</v>
      </c>
    </row>
    <row r="28" spans="1:29" ht="20.25">
      <c r="A28" s="515"/>
      <c r="B28" s="566"/>
      <c r="C28" s="554" t="s">
        <v>3012</v>
      </c>
      <c r="D28" s="557"/>
      <c r="E28" s="576" t="s">
        <v>3012</v>
      </c>
      <c r="F28" s="555"/>
      <c r="G28" s="554" t="s">
        <v>3012</v>
      </c>
      <c r="H28" s="555"/>
      <c r="I28" s="576" t="s">
        <v>3012</v>
      </c>
      <c r="J28" s="555"/>
      <c r="K28" s="531"/>
      <c r="L28" s="2142"/>
      <c r="M28" s="2132"/>
      <c r="N28" s="2132"/>
      <c r="O28" s="2141"/>
      <c r="P28" s="3430"/>
      <c r="Q28" s="1573"/>
      <c r="R28" s="1574"/>
      <c r="S28" s="1575"/>
      <c r="T28" s="1574"/>
      <c r="U28" s="1575"/>
      <c r="V28" s="1574"/>
      <c r="W28" s="1575"/>
      <c r="X28" s="1568"/>
      <c r="Y28" s="3430"/>
      <c r="Z28" s="1576"/>
      <c r="AA28" s="1577">
        <v>1</v>
      </c>
      <c r="AB28" s="1577">
        <v>1</v>
      </c>
      <c r="AC28" s="1577">
        <v>1</v>
      </c>
    </row>
    <row r="29" spans="1:29" s="1220" customFormat="1" ht="42.75">
      <c r="A29" s="577"/>
      <c r="B29" s="2615" t="s">
        <v>2548</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100</v>
      </c>
      <c r="K29" s="535">
        <v>2</v>
      </c>
      <c r="L29" s="2135"/>
      <c r="M29" s="2132"/>
      <c r="N29" s="2132"/>
      <c r="O29" s="2137"/>
      <c r="P29" s="3430"/>
      <c r="Q29" s="1151" t="str">
        <f t="shared" si="8"/>
        <v>公共配套设施</v>
      </c>
      <c r="R29" s="1569" t="s">
        <v>8</v>
      </c>
      <c r="S29" s="1570">
        <f>F29</f>
        <v>98</v>
      </c>
      <c r="T29" s="1569" t="s">
        <v>8</v>
      </c>
      <c r="U29" s="1570">
        <f>H29</f>
        <v>98</v>
      </c>
      <c r="V29" s="1569" t="s">
        <v>8</v>
      </c>
      <c r="W29" s="1570">
        <f>J29</f>
        <v>100</v>
      </c>
      <c r="X29" s="1571"/>
      <c r="Y29" s="3430"/>
      <c r="Z29" s="1150" t="str">
        <f>Q29</f>
        <v>公共配套设施</v>
      </c>
      <c r="AA29" s="1577">
        <f>D29/F29</f>
        <v>1.0204081632653061</v>
      </c>
      <c r="AB29" s="1577">
        <f>D29/H29</f>
        <v>1.0204081632653061</v>
      </c>
      <c r="AC29" s="1577">
        <f>D29/J29</f>
        <v>1</v>
      </c>
    </row>
    <row r="30" spans="1:29" s="1220" customFormat="1" ht="20.25">
      <c r="A30" s="577"/>
      <c r="B30" s="566"/>
      <c r="C30" s="579" t="s">
        <v>3011</v>
      </c>
      <c r="D30" s="557"/>
      <c r="E30" s="576" t="s">
        <v>3028</v>
      </c>
      <c r="F30" s="555"/>
      <c r="G30" s="554" t="s">
        <v>3028</v>
      </c>
      <c r="H30" s="555"/>
      <c r="I30" s="576" t="s">
        <v>3011</v>
      </c>
      <c r="J30" s="555"/>
      <c r="K30" s="531"/>
      <c r="L30" s="2135"/>
      <c r="M30" s="2132"/>
      <c r="N30" s="2132"/>
      <c r="O30" s="2137"/>
      <c r="P30" s="3430"/>
      <c r="Q30" s="1151"/>
      <c r="R30" s="1569"/>
      <c r="S30" s="1570"/>
      <c r="T30" s="1569"/>
      <c r="U30" s="1570"/>
      <c r="V30" s="1569"/>
      <c r="W30" s="1570"/>
      <c r="X30" s="1571"/>
      <c r="Y30" s="3430"/>
      <c r="Z30" s="1150"/>
      <c r="AA30" s="1577">
        <v>1</v>
      </c>
      <c r="AB30" s="1577">
        <v>1</v>
      </c>
      <c r="AC30" s="1577">
        <v>1</v>
      </c>
    </row>
    <row r="31" spans="1:29" s="1220" customFormat="1" ht="28.5">
      <c r="A31" s="577"/>
      <c r="B31" s="2615"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430"/>
      <c r="Q31" s="2602" t="str">
        <f>B31</f>
        <v>基础设施水平</v>
      </c>
      <c r="R31" s="1569" t="s">
        <v>8</v>
      </c>
      <c r="S31" s="1570">
        <f>F31</f>
        <v>100</v>
      </c>
      <c r="T31" s="1569" t="s">
        <v>8</v>
      </c>
      <c r="U31" s="1570">
        <f>H31</f>
        <v>100</v>
      </c>
      <c r="V31" s="1569" t="s">
        <v>8</v>
      </c>
      <c r="W31" s="1570">
        <f>J31</f>
        <v>100</v>
      </c>
      <c r="X31" s="1571"/>
      <c r="Y31" s="3430"/>
      <c r="Z31" s="2599" t="str">
        <f>Q31</f>
        <v>基础设施水平</v>
      </c>
      <c r="AA31" s="1577">
        <f>D31/F31</f>
        <v>1</v>
      </c>
      <c r="AB31" s="1577">
        <f>D31/H31</f>
        <v>1</v>
      </c>
      <c r="AC31" s="1577">
        <f>D31/J31</f>
        <v>1</v>
      </c>
    </row>
    <row r="32" spans="1:29" s="1220" customFormat="1" ht="20.25">
      <c r="A32" s="577"/>
      <c r="B32" s="566"/>
      <c r="C32" s="579" t="s">
        <v>3013</v>
      </c>
      <c r="D32" s="557"/>
      <c r="E32" s="2616" t="s">
        <v>3013</v>
      </c>
      <c r="F32" s="555"/>
      <c r="G32" s="579" t="s">
        <v>3013</v>
      </c>
      <c r="H32" s="555"/>
      <c r="I32" s="579" t="s">
        <v>3013</v>
      </c>
      <c r="J32" s="555"/>
      <c r="K32" s="531"/>
      <c r="L32" s="2135"/>
      <c r="M32" s="2132"/>
      <c r="N32" s="2132"/>
      <c r="O32" s="2137"/>
      <c r="P32" s="3430"/>
      <c r="Q32" s="2602"/>
      <c r="R32" s="1569"/>
      <c r="S32" s="1570"/>
      <c r="T32" s="1569"/>
      <c r="U32" s="1570"/>
      <c r="V32" s="1569"/>
      <c r="W32" s="1570"/>
      <c r="X32" s="1571"/>
      <c r="Y32" s="3430"/>
      <c r="Z32" s="2599"/>
      <c r="AA32" s="1577">
        <v>1</v>
      </c>
      <c r="AB32" s="1577">
        <v>1</v>
      </c>
      <c r="AC32" s="1577">
        <v>1</v>
      </c>
    </row>
    <row r="33" spans="1:29" ht="21" thickBot="1">
      <c r="A33" s="532"/>
      <c r="B33" s="566" t="s">
        <v>547</v>
      </c>
      <c r="C33" s="580" t="s">
        <v>3014</v>
      </c>
      <c r="D33" s="575">
        <v>100</v>
      </c>
      <c r="E33" s="583" t="s">
        <v>3050</v>
      </c>
      <c r="F33" s="540">
        <f>SUMIF(106:106,E33,107:107)-SUMIF(106:106,C33,107:107)+100</f>
        <v>98</v>
      </c>
      <c r="G33" s="580" t="s">
        <v>3050</v>
      </c>
      <c r="H33" s="540">
        <f>SUMIF(106:106,G33,107:107)-SUMIF(106:106,C33,107:107)+100</f>
        <v>98</v>
      </c>
      <c r="I33" s="580" t="s">
        <v>3050</v>
      </c>
      <c r="J33" s="540">
        <f>SUMIF(106:106,I33,107:107)-SUMIF(106:106,C33,107:107)+100</f>
        <v>98</v>
      </c>
      <c r="K33" s="535">
        <v>2</v>
      </c>
      <c r="L33" s="2142"/>
      <c r="M33" s="2132"/>
      <c r="N33" s="2132"/>
      <c r="O33" s="2141"/>
      <c r="P33" s="3430"/>
      <c r="Q33" s="1573" t="str">
        <f t="shared" si="8"/>
        <v>临街状况</v>
      </c>
      <c r="R33" s="1574" t="s">
        <v>8</v>
      </c>
      <c r="S33" s="1575">
        <f t="shared" ref="S33:S47" si="9">F33</f>
        <v>98</v>
      </c>
      <c r="T33" s="1574" t="s">
        <v>8</v>
      </c>
      <c r="U33" s="1575">
        <f t="shared" ref="U33:U47" si="10">H33</f>
        <v>98</v>
      </c>
      <c r="V33" s="1574" t="s">
        <v>8</v>
      </c>
      <c r="W33" s="1575">
        <f t="shared" ref="W33:W47" si="11">J33</f>
        <v>98</v>
      </c>
      <c r="X33" s="1568"/>
      <c r="Y33" s="3430"/>
      <c r="Z33" s="1576" t="str">
        <f t="shared" ref="Z33:Z47" si="12">Q33</f>
        <v>临街状况</v>
      </c>
      <c r="AA33" s="1577">
        <f t="shared" si="3"/>
        <v>1.0204081632653061</v>
      </c>
      <c r="AB33" s="1577">
        <f t="shared" si="4"/>
        <v>1.0204081632653061</v>
      </c>
      <c r="AC33" s="1577">
        <f t="shared" si="5"/>
        <v>1.0204081632653061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30"/>
      <c r="Q34" s="1573" t="str">
        <f t="shared" si="8"/>
        <v>毗邻道路的类型与等级</v>
      </c>
      <c r="R34" s="1574" t="s">
        <v>8</v>
      </c>
      <c r="S34" s="1575">
        <f t="shared" si="9"/>
        <v>100</v>
      </c>
      <c r="T34" s="1574" t="s">
        <v>8</v>
      </c>
      <c r="U34" s="1575">
        <f t="shared" si="10"/>
        <v>100</v>
      </c>
      <c r="V34" s="1574" t="s">
        <v>8</v>
      </c>
      <c r="W34" s="1575">
        <f t="shared" si="11"/>
        <v>100</v>
      </c>
      <c r="X34" s="1568"/>
      <c r="Y34" s="3430"/>
      <c r="Z34" s="1576" t="str">
        <f t="shared" si="12"/>
        <v>毗邻道路的类型与等级</v>
      </c>
      <c r="AA34" s="1577">
        <f t="shared" si="3"/>
        <v>1</v>
      </c>
      <c r="AB34" s="1577">
        <f t="shared" si="4"/>
        <v>1</v>
      </c>
      <c r="AC34" s="1577">
        <f t="shared" si="5"/>
        <v>1</v>
      </c>
    </row>
    <row r="35" spans="1:29" ht="21" hidden="1" thickBot="1">
      <c r="A35" s="532"/>
      <c r="B35" s="566"/>
      <c r="C35" s="554"/>
      <c r="D35" s="557"/>
      <c r="E35" s="576"/>
      <c r="F35" s="555"/>
      <c r="G35" s="554"/>
      <c r="H35" s="555"/>
      <c r="I35" s="576"/>
      <c r="J35" s="555"/>
      <c r="K35" s="581"/>
      <c r="L35" s="2142"/>
      <c r="M35" s="2132"/>
      <c r="N35" s="2132"/>
      <c r="O35" s="2141"/>
      <c r="P35" s="3430"/>
      <c r="Q35" s="1573"/>
      <c r="R35" s="1574"/>
      <c r="S35" s="1575"/>
      <c r="T35" s="1574"/>
      <c r="U35" s="1575"/>
      <c r="V35" s="1574"/>
      <c r="W35" s="1575"/>
      <c r="X35" s="1568"/>
      <c r="Y35" s="3430"/>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30"/>
      <c r="Q36" s="1573" t="str">
        <f t="shared" si="8"/>
        <v>土地级别</v>
      </c>
      <c r="R36" s="1574" t="s">
        <v>8</v>
      </c>
      <c r="S36" s="1575">
        <f t="shared" si="9"/>
        <v>100</v>
      </c>
      <c r="T36" s="1574" t="s">
        <v>8</v>
      </c>
      <c r="U36" s="1575">
        <f t="shared" si="10"/>
        <v>100</v>
      </c>
      <c r="V36" s="1574" t="s">
        <v>8</v>
      </c>
      <c r="W36" s="1575">
        <f t="shared" si="11"/>
        <v>100</v>
      </c>
      <c r="X36" s="1568"/>
      <c r="Y36" s="3430"/>
      <c r="Z36" s="1576" t="str">
        <f t="shared" si="12"/>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30"/>
      <c r="Q37" s="1573">
        <f t="shared" si="8"/>
        <v>111</v>
      </c>
      <c r="R37" s="1574" t="s">
        <v>8</v>
      </c>
      <c r="S37" s="1575">
        <f t="shared" si="9"/>
        <v>100</v>
      </c>
      <c r="T37" s="1574" t="s">
        <v>8</v>
      </c>
      <c r="U37" s="1575">
        <f t="shared" si="10"/>
        <v>100</v>
      </c>
      <c r="V37" s="1574" t="s">
        <v>8</v>
      </c>
      <c r="W37" s="1575">
        <f t="shared" si="11"/>
        <v>100</v>
      </c>
      <c r="X37" s="1568"/>
      <c r="Y37" s="3430"/>
      <c r="Z37" s="1576">
        <f t="shared" si="12"/>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31" t="s">
        <v>550</v>
      </c>
      <c r="Q38" s="1573">
        <f t="shared" si="8"/>
        <v>111</v>
      </c>
      <c r="R38" s="1574" t="s">
        <v>8</v>
      </c>
      <c r="S38" s="1575">
        <f t="shared" si="9"/>
        <v>100</v>
      </c>
      <c r="T38" s="1574" t="s">
        <v>8</v>
      </c>
      <c r="U38" s="1575">
        <f t="shared" si="10"/>
        <v>100</v>
      </c>
      <c r="V38" s="1574" t="s">
        <v>8</v>
      </c>
      <c r="W38" s="1575">
        <f t="shared" si="11"/>
        <v>100</v>
      </c>
      <c r="X38" s="1568"/>
      <c r="Y38" s="3432" t="s">
        <v>550</v>
      </c>
      <c r="Z38" s="1576">
        <f t="shared" si="12"/>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32"/>
      <c r="Q39" s="1573">
        <f t="shared" si="8"/>
        <v>111</v>
      </c>
      <c r="R39" s="1578" t="s">
        <v>8</v>
      </c>
      <c r="S39" s="1579">
        <f t="shared" si="9"/>
        <v>100</v>
      </c>
      <c r="T39" s="1578" t="s">
        <v>8</v>
      </c>
      <c r="U39" s="1579">
        <f t="shared" si="10"/>
        <v>100</v>
      </c>
      <c r="V39" s="1578" t="s">
        <v>8</v>
      </c>
      <c r="W39" s="1579">
        <f t="shared" si="11"/>
        <v>100</v>
      </c>
      <c r="X39" s="1580"/>
      <c r="Y39" s="3432"/>
      <c r="Z39" s="1581">
        <f t="shared" si="12"/>
        <v>111</v>
      </c>
      <c r="AA39" s="1577">
        <f t="shared" si="3"/>
        <v>1</v>
      </c>
      <c r="AB39" s="1577">
        <f t="shared" si="4"/>
        <v>1</v>
      </c>
      <c r="AC39" s="1577">
        <f t="shared" si="5"/>
        <v>1</v>
      </c>
    </row>
    <row r="40" spans="1:29" ht="20.25">
      <c r="A40" s="2931" t="s">
        <v>2755</v>
      </c>
      <c r="B40" s="595" t="s">
        <v>552</v>
      </c>
      <c r="C40" s="596">
        <f>'数据-基础表'!A3</f>
        <v>15168.4</v>
      </c>
      <c r="D40" s="597">
        <v>100</v>
      </c>
      <c r="E40" s="3205">
        <v>97852.2</v>
      </c>
      <c r="F40" s="597">
        <f>LOOKUP(E40,119:119,120:120)-LOOKUP(C40,119:119,120:120)+100</f>
        <v>103</v>
      </c>
      <c r="G40" s="596">
        <v>54138.7</v>
      </c>
      <c r="H40" s="597">
        <f>LOOKUP(G40,119:119,120:120)-LOOKUP(C40,119:119,120:120)+100</f>
        <v>101</v>
      </c>
      <c r="I40" s="598">
        <v>42255.3</v>
      </c>
      <c r="J40" s="597">
        <f>LOOKUP(I40,119:119,120:120)-LOOKUP(C40,119:119,120:120)+100</f>
        <v>101</v>
      </c>
      <c r="K40" s="581"/>
      <c r="L40" s="2142"/>
      <c r="M40" s="2132"/>
      <c r="N40" s="2132"/>
      <c r="O40" s="2141"/>
      <c r="P40" s="3432"/>
      <c r="Q40" s="1573" t="str">
        <f>B40</f>
        <v>宗地面积</v>
      </c>
      <c r="R40" s="1574" t="s">
        <v>8</v>
      </c>
      <c r="S40" s="1575">
        <f t="shared" si="9"/>
        <v>103</v>
      </c>
      <c r="T40" s="1574" t="s">
        <v>8</v>
      </c>
      <c r="U40" s="1575">
        <f t="shared" si="10"/>
        <v>101</v>
      </c>
      <c r="V40" s="1574" t="s">
        <v>8</v>
      </c>
      <c r="W40" s="1575">
        <f t="shared" si="11"/>
        <v>101</v>
      </c>
      <c r="X40" s="1568"/>
      <c r="Y40" s="3432"/>
      <c r="Z40" s="1576" t="str">
        <f t="shared" si="12"/>
        <v>宗地面积</v>
      </c>
      <c r="AA40" s="1577">
        <f t="shared" si="3"/>
        <v>0.970873786407767</v>
      </c>
      <c r="AB40" s="1577">
        <f t="shared" si="4"/>
        <v>0.99009900990099009</v>
      </c>
      <c r="AC40" s="1577">
        <f t="shared" si="5"/>
        <v>0.99009900990099009</v>
      </c>
    </row>
    <row r="41" spans="1:29" ht="20.25">
      <c r="A41" s="594"/>
      <c r="B41" s="527" t="s">
        <v>553</v>
      </c>
      <c r="C41" s="599" t="s">
        <v>3146</v>
      </c>
      <c r="D41" s="540">
        <v>100</v>
      </c>
      <c r="E41" s="599" t="s">
        <v>3016</v>
      </c>
      <c r="F41" s="540">
        <f>SUMIF(121:121,E41,122:122)-SUMIF(121:121,C41,122:122)+100</f>
        <v>104</v>
      </c>
      <c r="G41" s="599" t="s">
        <v>3016</v>
      </c>
      <c r="H41" s="540">
        <f>SUMIF(121:121,G41,122:122)-SUMIF(121:121,C41,122:122)+100</f>
        <v>104</v>
      </c>
      <c r="I41" s="599" t="s">
        <v>3016</v>
      </c>
      <c r="J41" s="540">
        <f>SUMIF(121:121,I41,122:122)-SUMIF(121:121,C41,122:122)+100</f>
        <v>104</v>
      </c>
      <c r="K41" s="584">
        <v>2</v>
      </c>
      <c r="L41" s="2142"/>
      <c r="M41" s="2132"/>
      <c r="N41" s="2132"/>
      <c r="O41" s="2141"/>
      <c r="P41" s="3432"/>
      <c r="Q41" s="1573" t="str">
        <f t="shared" ref="Q41:Q47" si="13">B41</f>
        <v>宗地形状</v>
      </c>
      <c r="R41" s="1574" t="s">
        <v>8</v>
      </c>
      <c r="S41" s="1575">
        <f t="shared" si="9"/>
        <v>104</v>
      </c>
      <c r="T41" s="1574" t="s">
        <v>8</v>
      </c>
      <c r="U41" s="1575">
        <f t="shared" si="10"/>
        <v>104</v>
      </c>
      <c r="V41" s="1574" t="s">
        <v>8</v>
      </c>
      <c r="W41" s="1575">
        <f t="shared" si="11"/>
        <v>104</v>
      </c>
      <c r="X41" s="1568"/>
      <c r="Y41" s="3432"/>
      <c r="Z41" s="1576" t="str">
        <f t="shared" si="12"/>
        <v>宗地形状</v>
      </c>
      <c r="AA41" s="1577">
        <f t="shared" si="3"/>
        <v>0.96153846153846156</v>
      </c>
      <c r="AB41" s="1577">
        <f t="shared" si="4"/>
        <v>0.96153846153846156</v>
      </c>
      <c r="AC41" s="1577">
        <f t="shared" si="5"/>
        <v>0.96153846153846156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32"/>
      <c r="Q42" s="1573" t="str">
        <f t="shared" si="13"/>
        <v>临街宽度及深度</v>
      </c>
      <c r="R42" s="1574" t="s">
        <v>8</v>
      </c>
      <c r="S42" s="1575">
        <f t="shared" si="9"/>
        <v>100</v>
      </c>
      <c r="T42" s="1574" t="s">
        <v>8</v>
      </c>
      <c r="U42" s="1575">
        <f t="shared" si="10"/>
        <v>100</v>
      </c>
      <c r="V42" s="1574" t="s">
        <v>8</v>
      </c>
      <c r="W42" s="1575">
        <f t="shared" si="11"/>
        <v>100</v>
      </c>
      <c r="X42" s="1568"/>
      <c r="Y42" s="3432"/>
      <c r="Z42" s="1576" t="str">
        <f t="shared" si="12"/>
        <v>临街宽度及深度</v>
      </c>
      <c r="AA42" s="1577">
        <f t="shared" si="3"/>
        <v>1</v>
      </c>
      <c r="AB42" s="1577">
        <f t="shared" si="4"/>
        <v>1</v>
      </c>
      <c r="AC42" s="1577">
        <f t="shared" si="5"/>
        <v>1</v>
      </c>
    </row>
    <row r="43" spans="1:29" s="1220" customFormat="1" ht="20.25">
      <c r="A43" s="600"/>
      <c r="B43" s="1895" t="s">
        <v>2424</v>
      </c>
      <c r="C43" s="601" t="s">
        <v>3013</v>
      </c>
      <c r="D43" s="255">
        <v>100</v>
      </c>
      <c r="E43" s="601" t="s">
        <v>3013</v>
      </c>
      <c r="F43" s="540">
        <f>SUMIF(125:125,E43,126:126)-SUMIF(125:125,C43,126:126)+100</f>
        <v>100</v>
      </c>
      <c r="G43" s="601" t="s">
        <v>3013</v>
      </c>
      <c r="H43" s="540">
        <f>SUMIF(125:125,G43,126:126)-SUMIF(125:125,C43,126:126)+100</f>
        <v>100</v>
      </c>
      <c r="I43" s="601" t="s">
        <v>3013</v>
      </c>
      <c r="J43" s="540">
        <f>SUMIF(125:125,I43,126:126)-SUMIF(125:125,C43,126:126)+100</f>
        <v>100</v>
      </c>
      <c r="K43" s="584">
        <v>2</v>
      </c>
      <c r="L43" s="2135"/>
      <c r="M43" s="2132"/>
      <c r="N43" s="2132"/>
      <c r="O43" s="2137"/>
      <c r="P43" s="3432"/>
      <c r="Q43" s="1573" t="str">
        <f t="shared" si="13"/>
        <v>宗地开发程度</v>
      </c>
      <c r="R43" s="1569" t="s">
        <v>8</v>
      </c>
      <c r="S43" s="1570">
        <f t="shared" si="9"/>
        <v>100</v>
      </c>
      <c r="T43" s="1569" t="s">
        <v>8</v>
      </c>
      <c r="U43" s="1570">
        <f t="shared" si="10"/>
        <v>100</v>
      </c>
      <c r="V43" s="1569" t="s">
        <v>8</v>
      </c>
      <c r="W43" s="1570">
        <f t="shared" si="11"/>
        <v>100</v>
      </c>
      <c r="X43" s="1571"/>
      <c r="Y43" s="3432"/>
      <c r="Z43" s="1150" t="str">
        <f t="shared" si="12"/>
        <v>宗地开发程度</v>
      </c>
      <c r="AA43" s="1572">
        <f t="shared" si="3"/>
        <v>1</v>
      </c>
      <c r="AB43" s="1572">
        <f t="shared" si="4"/>
        <v>1</v>
      </c>
      <c r="AC43" s="1572">
        <f t="shared" si="5"/>
        <v>1</v>
      </c>
    </row>
    <row r="44" spans="1:29" ht="20.25">
      <c r="A44" s="594"/>
      <c r="B44" s="527" t="s">
        <v>555</v>
      </c>
      <c r="C44" s="599" t="s">
        <v>3010</v>
      </c>
      <c r="D44" s="540">
        <v>100</v>
      </c>
      <c r="E44" s="599" t="s">
        <v>3028</v>
      </c>
      <c r="F44" s="540">
        <f>SUMIF(127:127,E44,128:128)-SUMIF(127:127,C44,128:128)+100</f>
        <v>94</v>
      </c>
      <c r="G44" s="599" t="s">
        <v>3028</v>
      </c>
      <c r="H44" s="540">
        <f>SUMIF(127:127,G44,128:128)-SUMIF(127:127,C44,128:128)+100</f>
        <v>94</v>
      </c>
      <c r="I44" s="599" t="s">
        <v>3028</v>
      </c>
      <c r="J44" s="540">
        <f>SUMIF(127:127,I44,128:128)-SUMIF(127:127,C44,128:128)+100</f>
        <v>94</v>
      </c>
      <c r="K44" s="584">
        <v>3</v>
      </c>
      <c r="L44" s="2142"/>
      <c r="M44" s="2132"/>
      <c r="N44" s="2132"/>
      <c r="O44" s="2141"/>
      <c r="P44" s="3432" t="s">
        <v>550</v>
      </c>
      <c r="Q44" s="1573" t="str">
        <f t="shared" si="13"/>
        <v>工程地质条件</v>
      </c>
      <c r="R44" s="1574" t="s">
        <v>8</v>
      </c>
      <c r="S44" s="1575">
        <f t="shared" si="9"/>
        <v>94</v>
      </c>
      <c r="T44" s="1574" t="s">
        <v>8</v>
      </c>
      <c r="U44" s="1575">
        <f t="shared" si="10"/>
        <v>94</v>
      </c>
      <c r="V44" s="1574" t="s">
        <v>8</v>
      </c>
      <c r="W44" s="1575">
        <f t="shared" si="11"/>
        <v>94</v>
      </c>
      <c r="X44" s="1568"/>
      <c r="Y44" s="3432" t="s">
        <v>550</v>
      </c>
      <c r="Z44" s="1576" t="str">
        <f t="shared" si="12"/>
        <v>工程地质条件</v>
      </c>
      <c r="AA44" s="1577">
        <f t="shared" si="3"/>
        <v>1.0638297872340425</v>
      </c>
      <c r="AB44" s="1577">
        <f t="shared" si="4"/>
        <v>1.0638297872340425</v>
      </c>
      <c r="AC44" s="1577">
        <f t="shared" si="5"/>
        <v>1.0638297872340425</v>
      </c>
    </row>
    <row r="45" spans="1:29" ht="21" thickBot="1">
      <c r="A45" s="594"/>
      <c r="B45" s="3181" t="s">
        <v>3005</v>
      </c>
      <c r="C45" s="3185" t="s">
        <v>3031</v>
      </c>
      <c r="D45" s="540">
        <v>100</v>
      </c>
      <c r="E45" s="3185" t="s">
        <v>3032</v>
      </c>
      <c r="F45" s="540">
        <f>SUMIF(129:129,E45,130:130)-SUMIF(129:129,C45,130:130)+100</f>
        <v>95</v>
      </c>
      <c r="G45" s="3185" t="s">
        <v>3042</v>
      </c>
      <c r="H45" s="540">
        <f>SUMIF(129:129,G45,130:130)-SUMIF(129:129,C45,130:130)+100</f>
        <v>95</v>
      </c>
      <c r="I45" s="3185" t="s">
        <v>3042</v>
      </c>
      <c r="J45" s="540">
        <f>SUMIF(129:129,I45,130:130)-SUMIF(129:129,C45,130:130)+100</f>
        <v>95</v>
      </c>
      <c r="K45" s="581"/>
      <c r="L45" s="2142"/>
      <c r="M45" s="2132"/>
      <c r="N45" s="2132"/>
      <c r="O45" s="2141"/>
      <c r="P45" s="3432"/>
      <c r="Q45" s="1573" t="str">
        <f t="shared" si="13"/>
        <v>临海情况</v>
      </c>
      <c r="R45" s="1574" t="s">
        <v>8</v>
      </c>
      <c r="S45" s="1575">
        <f t="shared" si="9"/>
        <v>95</v>
      </c>
      <c r="T45" s="1574" t="s">
        <v>8</v>
      </c>
      <c r="U45" s="1575">
        <f t="shared" si="10"/>
        <v>95</v>
      </c>
      <c r="V45" s="1574" t="s">
        <v>8</v>
      </c>
      <c r="W45" s="1575">
        <f t="shared" si="11"/>
        <v>95</v>
      </c>
      <c r="X45" s="1568"/>
      <c r="Y45" s="3432"/>
      <c r="Z45" s="1576" t="str">
        <f t="shared" si="12"/>
        <v>临海情况</v>
      </c>
      <c r="AA45" s="1577">
        <f t="shared" si="3"/>
        <v>1.0526315789473684</v>
      </c>
      <c r="AB45" s="1577">
        <f t="shared" si="4"/>
        <v>1.0526315789473684</v>
      </c>
      <c r="AC45" s="1577">
        <f t="shared" si="5"/>
        <v>1.0526315789473684</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32"/>
      <c r="Q46" s="1573">
        <f t="shared" si="13"/>
        <v>111</v>
      </c>
      <c r="R46" s="1574" t="s">
        <v>8</v>
      </c>
      <c r="S46" s="1575">
        <f t="shared" si="9"/>
        <v>100</v>
      </c>
      <c r="T46" s="1574" t="s">
        <v>8</v>
      </c>
      <c r="U46" s="1575">
        <f t="shared" si="10"/>
        <v>100</v>
      </c>
      <c r="V46" s="1574" t="s">
        <v>8</v>
      </c>
      <c r="W46" s="1575">
        <f t="shared" si="11"/>
        <v>100</v>
      </c>
      <c r="X46" s="1568"/>
      <c r="Y46" s="3432"/>
      <c r="Z46" s="1576">
        <f t="shared" si="12"/>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32"/>
      <c r="Q47" s="1573">
        <f t="shared" si="13"/>
        <v>111</v>
      </c>
      <c r="R47" s="1578" t="s">
        <v>8</v>
      </c>
      <c r="S47" s="1579">
        <f t="shared" si="9"/>
        <v>100</v>
      </c>
      <c r="T47" s="1578" t="s">
        <v>8</v>
      </c>
      <c r="U47" s="1579">
        <f t="shared" si="10"/>
        <v>100</v>
      </c>
      <c r="V47" s="1578" t="s">
        <v>8</v>
      </c>
      <c r="W47" s="1579">
        <f t="shared" si="11"/>
        <v>100</v>
      </c>
      <c r="X47" s="1580"/>
      <c r="Y47" s="3432"/>
      <c r="Z47" s="1581">
        <f t="shared" si="12"/>
        <v>111</v>
      </c>
      <c r="AA47" s="1577">
        <f t="shared" si="3"/>
        <v>1</v>
      </c>
      <c r="AB47" s="1577">
        <f t="shared" si="4"/>
        <v>1</v>
      </c>
      <c r="AC47" s="1577">
        <f t="shared" si="5"/>
        <v>1</v>
      </c>
    </row>
    <row r="48" spans="1:29" ht="20.25">
      <c r="A48" s="607" t="s">
        <v>556</v>
      </c>
      <c r="B48" s="608" t="s">
        <v>3006</v>
      </c>
      <c r="C48" s="609" t="s">
        <v>1</v>
      </c>
      <c r="D48" s="610"/>
      <c r="E48" s="611">
        <v>7824</v>
      </c>
      <c r="F48" s="612"/>
      <c r="G48" s="613">
        <v>8048</v>
      </c>
      <c r="H48" s="614"/>
      <c r="I48" s="611">
        <v>11052</v>
      </c>
      <c r="J48" s="614"/>
      <c r="K48" s="1340"/>
      <c r="L48" s="2144"/>
      <c r="M48" s="2132"/>
      <c r="N48" s="2132"/>
      <c r="O48" s="2145"/>
      <c r="P48" s="3427" t="str">
        <f>A48</f>
        <v>成交单价</v>
      </c>
      <c r="Q48" s="3427"/>
      <c r="R48" s="3441">
        <f>E48</f>
        <v>7824</v>
      </c>
      <c r="S48" s="3441"/>
      <c r="T48" s="3441">
        <f>G48</f>
        <v>8048</v>
      </c>
      <c r="U48" s="3441"/>
      <c r="V48" s="3441">
        <f>I48</f>
        <v>11052</v>
      </c>
      <c r="W48" s="3441"/>
      <c r="X48" s="1560"/>
      <c r="Y48" s="1582"/>
      <c r="Z48" s="1560"/>
      <c r="AA48" s="1560"/>
      <c r="AB48" s="1560"/>
      <c r="AC48" s="1560"/>
    </row>
    <row r="49" spans="1:29" ht="21" thickBot="1">
      <c r="A49" s="615" t="s">
        <v>2693</v>
      </c>
      <c r="B49" s="616"/>
      <c r="C49" s="617">
        <f>R50</f>
        <v>10604</v>
      </c>
      <c r="D49" s="618"/>
      <c r="E49" s="617">
        <f>R49</f>
        <v>9917</v>
      </c>
      <c r="F49" s="619"/>
      <c r="G49" s="620">
        <f>T49</f>
        <v>10403</v>
      </c>
      <c r="H49" s="618"/>
      <c r="I49" s="617">
        <f>V49</f>
        <v>11492</v>
      </c>
      <c r="J49" s="618"/>
      <c r="K49" s="1341"/>
      <c r="L49" s="2144"/>
      <c r="M49" s="2132"/>
      <c r="N49" s="2132"/>
      <c r="O49" s="2145"/>
      <c r="P49" s="3427" t="str">
        <f>A49</f>
        <v>比较价格（元/平方米）</v>
      </c>
      <c r="Q49" s="3427"/>
      <c r="R49" s="3453">
        <f>ROUND(PRODUCT(R48,AA9:AA47),0)</f>
        <v>9917</v>
      </c>
      <c r="S49" s="3453"/>
      <c r="T49" s="3453">
        <f>ROUND(PRODUCT(T48,AB9:AB47),0)</f>
        <v>10403</v>
      </c>
      <c r="U49" s="3453"/>
      <c r="V49" s="3453">
        <f>ROUND(PRODUCT(V48,AC9:AC47),0)</f>
        <v>11492</v>
      </c>
      <c r="W49" s="3453"/>
      <c r="X49" s="1560"/>
      <c r="Y49" s="1560"/>
      <c r="Z49" s="1560"/>
      <c r="AA49" s="1560"/>
      <c r="AB49" s="1560"/>
      <c r="AC49" s="1560"/>
    </row>
    <row r="50" spans="1:29" ht="21" thickBot="1">
      <c r="A50" s="621" t="s">
        <v>2932</v>
      </c>
      <c r="B50" s="622"/>
      <c r="C50" s="623">
        <f>R50</f>
        <v>10604</v>
      </c>
      <c r="D50" s="623"/>
      <c r="E50" s="623"/>
      <c r="F50" s="623"/>
      <c r="G50" s="623"/>
      <c r="H50" s="623"/>
      <c r="I50" s="623"/>
      <c r="J50" s="623"/>
      <c r="K50" s="1342"/>
      <c r="L50" s="2144"/>
      <c r="M50" s="2132"/>
      <c r="N50" s="2132"/>
      <c r="O50" s="2145"/>
      <c r="P50" s="3450" t="str">
        <f>A50</f>
        <v>估价对象XX用房的比较价格（楼面单价，元/平方米）</v>
      </c>
      <c r="Q50" s="3451"/>
      <c r="R50" s="3452">
        <f>ROUND(AVERAGE(R49:V49),0)</f>
        <v>10604</v>
      </c>
      <c r="S50" s="3452"/>
      <c r="T50" s="3452"/>
      <c r="U50" s="3452"/>
      <c r="V50" s="3452"/>
      <c r="W50" s="3452"/>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0.26751022494887522</v>
      </c>
      <c r="F53" s="627" t="str">
        <f>IF(OR(E53&gt;=0.3,E53&lt;=-0.3),"超过30%","")</f>
        <v/>
      </c>
      <c r="G53" s="626">
        <f>IF(G48&lt;G49,G49/G48-1,G48/G49-1)</f>
        <v>0.29261928429423456</v>
      </c>
      <c r="H53" s="627" t="str">
        <f>IF(OR(G53&gt;=0.3,G53&lt;=-0.3),"超过30%","")</f>
        <v/>
      </c>
      <c r="I53" s="626">
        <f>IF(I48&lt;I49,I49/I48-1,I48/I49-1)</f>
        <v>3.981179876945351E-2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4.9006756075425928E-2</v>
      </c>
      <c r="F54" s="627" t="str">
        <f>IF(OR(E54&gt;=0.2,E54&lt;=-0.2),"超过20%","")</f>
        <v/>
      </c>
      <c r="G54" s="626">
        <f>IF(G49&lt;I49,I49/G49-1,G49/I49-1)</f>
        <v>0.10468134192059986</v>
      </c>
      <c r="H54" s="627" t="str">
        <f>IF(OR(G54&gt;=0.2,G54&lt;=-0.2),"超过20%","")</f>
        <v/>
      </c>
      <c r="I54" s="626">
        <f>IF(I49&lt;E49,E49/I49-1,I49/E49-1)</f>
        <v>0.15881819098517691</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2.8629856850715729E-2</v>
      </c>
      <c r="F55" s="627" t="str">
        <f>IF(OR(E55&gt;=0.3,E55&lt;=-0.3),"超过30%","")</f>
        <v/>
      </c>
      <c r="G55" s="626">
        <f>IF(G48&lt;I48,I48/G48-1,G48/I48-1)</f>
        <v>0.37326043737574555</v>
      </c>
      <c r="H55" s="627" t="str">
        <f>IF(OR(G55&gt;=0.3,G55&lt;=-0.3),"超过30%","")</f>
        <v>超过30%</v>
      </c>
      <c r="I55" s="626">
        <f>IF(I48&lt;E48,E48/I48-1,I48/E48-1)</f>
        <v>0.41257668711656437</v>
      </c>
      <c r="J55" s="627" t="str">
        <f>IF(OR(I55&gt;=0.3,I55&lt;=-0.3),"超过30%","")</f>
        <v>超过30%</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2293</v>
      </c>
      <c r="E57" s="631" t="s">
        <v>562</v>
      </c>
      <c r="F57" s="632" t="s">
        <v>563</v>
      </c>
      <c r="G57" s="3411" t="s">
        <v>2281</v>
      </c>
      <c r="H57" s="3412"/>
      <c r="I57" s="1556" t="s">
        <v>1723</v>
      </c>
      <c r="J57" s="1556" t="str">
        <f>项目基本情况!F41</f>
        <v>广东省汕头市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10604</v>
      </c>
      <c r="C58" s="635">
        <v>1</v>
      </c>
      <c r="D58" s="2228">
        <v>1</v>
      </c>
      <c r="E58" s="635">
        <f>'数据-汇总表'!E8+'数据-汇总表'!E9</f>
        <v>60846.74</v>
      </c>
      <c r="F58" s="636">
        <f t="shared" ref="F58:F67" si="14">ROUND(B58*E58/10000,0)</f>
        <v>64522</v>
      </c>
      <c r="G58" s="3413"/>
      <c r="H58" s="3414"/>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5">IF($C$57="北京市系数",I59,J59)</f>
        <v>0</v>
      </c>
      <c r="D59" s="2229">
        <v>0.25</v>
      </c>
      <c r="E59" s="639">
        <v>0</v>
      </c>
      <c r="F59" s="636">
        <f t="shared" si="14"/>
        <v>0</v>
      </c>
      <c r="G59" s="3415" t="s">
        <v>2282</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6">ROUND($C$50*C60*D60,0)</f>
        <v>0</v>
      </c>
      <c r="C60" s="378">
        <f t="shared" si="15"/>
        <v>0</v>
      </c>
      <c r="D60" s="2229">
        <v>0.25</v>
      </c>
      <c r="E60" s="639">
        <v>0</v>
      </c>
      <c r="F60" s="636">
        <f t="shared" si="14"/>
        <v>0</v>
      </c>
      <c r="G60" s="3415"/>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6"/>
        <v>0</v>
      </c>
      <c r="C61" s="378">
        <f t="shared" si="15"/>
        <v>0</v>
      </c>
      <c r="D61" s="2229">
        <v>0.25</v>
      </c>
      <c r="E61" s="639">
        <v>0</v>
      </c>
      <c r="F61" s="636">
        <f t="shared" si="14"/>
        <v>0</v>
      </c>
      <c r="G61" s="3415"/>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6"/>
        <v>0</v>
      </c>
      <c r="C62" s="378">
        <f t="shared" si="15"/>
        <v>0</v>
      </c>
      <c r="D62" s="2229">
        <v>0.25</v>
      </c>
      <c r="E62" s="639">
        <v>0</v>
      </c>
      <c r="F62" s="636">
        <f t="shared" si="14"/>
        <v>0</v>
      </c>
      <c r="G62" s="3415"/>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2327</v>
      </c>
      <c r="B63" s="638">
        <f t="shared" si="16"/>
        <v>0</v>
      </c>
      <c r="C63" s="378">
        <f t="shared" si="15"/>
        <v>0</v>
      </c>
      <c r="D63" s="2229">
        <v>0.25</v>
      </c>
      <c r="E63" s="641">
        <f>'数据-汇总表'!E11</f>
        <v>0</v>
      </c>
      <c r="F63" s="636">
        <f t="shared" si="14"/>
        <v>0</v>
      </c>
      <c r="G63" s="1945" t="s">
        <v>2283</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6"/>
        <v>0</v>
      </c>
      <c r="C64" s="378">
        <f t="shared" si="15"/>
        <v>0</v>
      </c>
      <c r="D64" s="2229">
        <v>0.25</v>
      </c>
      <c r="E64" s="641">
        <f>'数据-汇总表'!E12</f>
        <v>0</v>
      </c>
      <c r="F64" s="636">
        <f t="shared" si="14"/>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6"/>
        <v>0</v>
      </c>
      <c r="C65" s="378">
        <f t="shared" si="15"/>
        <v>0</v>
      </c>
      <c r="D65" s="2229">
        <v>0.25</v>
      </c>
      <c r="E65" s="641">
        <f>'数据-汇总表'!E13</f>
        <v>5864.9200000000019</v>
      </c>
      <c r="F65" s="636">
        <f t="shared" si="14"/>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6"/>
        <v>0</v>
      </c>
      <c r="C66" s="378">
        <f t="shared" si="15"/>
        <v>0</v>
      </c>
      <c r="D66" s="2229">
        <v>0.25</v>
      </c>
      <c r="E66" s="641">
        <f>'数据-汇总表'!E14</f>
        <v>0</v>
      </c>
      <c r="F66" s="636">
        <f t="shared" si="14"/>
        <v>0</v>
      </c>
      <c r="G66" s="1945" t="s">
        <v>2282</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6"/>
        <v>0</v>
      </c>
      <c r="C67" s="378">
        <f t="shared" si="15"/>
        <v>0</v>
      </c>
      <c r="D67" s="2229">
        <v>0.25</v>
      </c>
      <c r="E67" s="641">
        <f>'数据-汇总表'!E15</f>
        <v>0</v>
      </c>
      <c r="F67" s="636">
        <f t="shared" si="14"/>
        <v>0</v>
      </c>
      <c r="G67" s="1947" t="s">
        <v>2283</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2294</v>
      </c>
      <c r="E68" s="643">
        <f>IF(B48="楼面地价",SUM(E58:E67),'数据-汇总表'!D3)</f>
        <v>66711.66</v>
      </c>
      <c r="F68" s="644">
        <f>IF(B48="楼面地价",SUM(F58:F67),ROUND(C50*E68/10000,0))</f>
        <v>64522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7">EDATE(D70,-3)</f>
        <v>43040</v>
      </c>
      <c r="F70" s="2823">
        <f t="shared" si="17"/>
        <v>42948</v>
      </c>
      <c r="G70" s="2823">
        <f t="shared" si="17"/>
        <v>42856</v>
      </c>
      <c r="H70" s="2823">
        <f t="shared" si="17"/>
        <v>42767</v>
      </c>
      <c r="I70" s="2823">
        <f t="shared" si="17"/>
        <v>42675</v>
      </c>
      <c r="J70" s="2823">
        <f t="shared" si="17"/>
        <v>42583</v>
      </c>
      <c r="K70" s="2823">
        <f t="shared" si="17"/>
        <v>42491</v>
      </c>
      <c r="L70" s="2823">
        <f t="shared" si="17"/>
        <v>42401</v>
      </c>
      <c r="M70" s="2823">
        <f t="shared" si="17"/>
        <v>42309</v>
      </c>
      <c r="N70" s="2823">
        <f t="shared" si="17"/>
        <v>42217</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92" t="s">
        <v>2532</v>
      </c>
      <c r="B72" s="2593"/>
      <c r="C72" s="2818" t="str">
        <f>YEAR(C70)&amp;"-"&amp;ROUNDUP(MONTH(C70)/3,0)</f>
        <v>2018-2</v>
      </c>
      <c r="D72" s="2825" t="str">
        <f>YEAR(D70)&amp;"-"&amp;ROUNDUP(MONTH(D70)/3,0)</f>
        <v>2018-1</v>
      </c>
      <c r="E72" s="2825" t="str">
        <f t="shared" ref="E72:N72" si="18">YEAR(E70)&amp;"-"&amp;ROUNDUP(MONTH(E70)/3,0)</f>
        <v>2017-4</v>
      </c>
      <c r="F72" s="2825" t="str">
        <f t="shared" si="18"/>
        <v>2017-3</v>
      </c>
      <c r="G72" s="2825" t="str">
        <f t="shared" si="18"/>
        <v>2017-2</v>
      </c>
      <c r="H72" s="2825" t="str">
        <f t="shared" si="18"/>
        <v>2017-1</v>
      </c>
      <c r="I72" s="2825" t="str">
        <f t="shared" si="18"/>
        <v>2016-4</v>
      </c>
      <c r="J72" s="2825" t="str">
        <f t="shared" si="18"/>
        <v>2016-3</v>
      </c>
      <c r="K72" s="2825" t="str">
        <f t="shared" si="18"/>
        <v>2016-2</v>
      </c>
      <c r="L72" s="2825" t="str">
        <f t="shared" si="18"/>
        <v>2016-1</v>
      </c>
      <c r="M72" s="2825" t="str">
        <f t="shared" si="18"/>
        <v>2015-4</v>
      </c>
      <c r="N72" s="2825" t="str">
        <f t="shared" si="18"/>
        <v>2015-3</v>
      </c>
      <c r="O72" s="2159"/>
      <c r="P72" s="2160"/>
      <c r="Q72" s="2161"/>
      <c r="R72" s="2161"/>
      <c r="S72" s="2161"/>
      <c r="T72" s="2161"/>
      <c r="U72" s="2161"/>
      <c r="V72" s="2161"/>
      <c r="W72" s="2161"/>
      <c r="X72" s="2161"/>
      <c r="Y72" s="2161"/>
      <c r="Z72" s="2161"/>
      <c r="AA72" s="2161"/>
      <c r="AB72" s="2161"/>
      <c r="AC72" s="2161"/>
    </row>
    <row r="73" spans="1:29" s="1220" customFormat="1" ht="27" customHeight="1">
      <c r="A73" s="2830" t="s">
        <v>2647</v>
      </c>
      <c r="B73" s="479" t="str">
        <f>"北京市平均增长率"&amp;TEXT(SUMIF(基准地价!N21:N25,A73,基准地价!P21:P25),"0.00%")</f>
        <v>北京市平均增长率2.27%</v>
      </c>
      <c r="C73" s="894">
        <v>100</v>
      </c>
      <c r="D73" s="730">
        <f t="shared" ref="D73:I73" si="19">C73-3</f>
        <v>97</v>
      </c>
      <c r="E73" s="730">
        <f t="shared" si="19"/>
        <v>94</v>
      </c>
      <c r="F73" s="730">
        <f t="shared" si="19"/>
        <v>91</v>
      </c>
      <c r="G73" s="730">
        <f t="shared" si="19"/>
        <v>88</v>
      </c>
      <c r="H73" s="730">
        <f t="shared" si="19"/>
        <v>85</v>
      </c>
      <c r="I73" s="730">
        <f t="shared" si="19"/>
        <v>82</v>
      </c>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2646</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2" t="s">
        <v>3009</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0（含）-2</v>
      </c>
      <c r="D81" s="682" t="str">
        <f t="shared" ref="D81:L81" si="20">D82&amp;"（含）"&amp;"-"&amp;E82</f>
        <v>2（含）-4</v>
      </c>
      <c r="E81" s="682" t="str">
        <f t="shared" si="20"/>
        <v>4（含）-6</v>
      </c>
      <c r="F81" s="682" t="str">
        <f t="shared" si="20"/>
        <v>6（含）-8</v>
      </c>
      <c r="G81" s="682" t="str">
        <f t="shared" si="20"/>
        <v>8（含）-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2</v>
      </c>
      <c r="E82" s="541">
        <v>4</v>
      </c>
      <c r="F82" s="541">
        <v>6</v>
      </c>
      <c r="G82" s="541">
        <v>8</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hidden="1"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hidden="1"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hidden="1"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2548</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2550</v>
      </c>
      <c r="C104" s="2622" t="s">
        <v>2551</v>
      </c>
      <c r="D104" s="2622" t="s">
        <v>2552</v>
      </c>
      <c r="E104" s="2622" t="s">
        <v>2553</v>
      </c>
      <c r="F104" s="2622" t="s">
        <v>2554</v>
      </c>
      <c r="G104" s="2622" t="s">
        <v>2555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6"/>
      <c r="O107" s="2166"/>
      <c r="P107" s="2165"/>
      <c r="Q107" s="2158"/>
      <c r="R107" s="2145"/>
      <c r="S107" s="2145"/>
      <c r="T107" s="2145"/>
      <c r="U107" s="2145"/>
      <c r="V107" s="2145"/>
      <c r="W107" s="2145"/>
      <c r="X107" s="2145"/>
      <c r="Y107" s="2145"/>
      <c r="Z107" s="2145"/>
      <c r="AA107" s="2145"/>
      <c r="AB107" s="2145"/>
      <c r="AC107" s="2145"/>
    </row>
    <row r="108" spans="1:29" ht="27.75" hidden="1"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hidden="1"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30000</v>
      </c>
      <c r="E119" s="730">
        <v>60000</v>
      </c>
      <c r="F119" s="730">
        <v>90000</v>
      </c>
      <c r="G119" s="730">
        <v>120000</v>
      </c>
      <c r="H119" s="730">
        <v>150000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3" t="s">
        <v>3015</v>
      </c>
      <c r="D121" s="3183" t="s">
        <v>3017</v>
      </c>
      <c r="E121" s="3183" t="s">
        <v>3018</v>
      </c>
      <c r="F121" s="3183" t="s">
        <v>3019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hidden="1"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hidden="1"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6" t="s">
        <v>3020</v>
      </c>
      <c r="D125" s="1376" t="s">
        <v>3021</v>
      </c>
      <c r="E125" s="1376" t="s">
        <v>3022</v>
      </c>
      <c r="F125" s="1376" t="s">
        <v>3023</v>
      </c>
      <c r="G125" s="1376" t="s">
        <v>3024</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4" t="s">
        <v>3025</v>
      </c>
      <c r="D127" s="3184" t="s">
        <v>3026</v>
      </c>
      <c r="E127" s="3183" t="s">
        <v>3027</v>
      </c>
      <c r="F127" s="3183" t="s">
        <v>3029</v>
      </c>
      <c r="G127" s="3183" t="s">
        <v>3030</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97</v>
      </c>
      <c r="E128" s="679">
        <f t="shared" si="29"/>
        <v>94</v>
      </c>
      <c r="F128" s="679">
        <f t="shared" si="29"/>
        <v>91</v>
      </c>
      <c r="G128" s="679">
        <f t="shared" si="29"/>
        <v>88</v>
      </c>
      <c r="H128" s="679">
        <f t="shared" si="29"/>
        <v>85</v>
      </c>
      <c r="I128" s="679">
        <f t="shared" si="29"/>
        <v>82</v>
      </c>
      <c r="J128" s="679">
        <f t="shared" si="29"/>
        <v>79</v>
      </c>
      <c r="K128" s="679">
        <f t="shared" si="29"/>
        <v>76</v>
      </c>
      <c r="L128" s="679">
        <f t="shared" si="29"/>
        <v>73</v>
      </c>
      <c r="M128" s="680">
        <f t="shared" si="29"/>
        <v>70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t="str">
        <f>B45</f>
        <v>临海情况</v>
      </c>
      <c r="C129" s="3184" t="s">
        <v>3031</v>
      </c>
      <c r="D129" s="3184" t="s">
        <v>3032</v>
      </c>
      <c r="E129" s="3184" t="s">
        <v>3033</v>
      </c>
      <c r="F129" s="3184" t="s">
        <v>3034</v>
      </c>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v>100</v>
      </c>
      <c r="D130" s="692">
        <v>95</v>
      </c>
      <c r="E130" s="692">
        <v>90</v>
      </c>
      <c r="F130" s="692">
        <v>85</v>
      </c>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hidden="1"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hidden="1"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9" sqref="C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2">
        <f>MATCH(B1,'数据-取费表'!A6:A16,0)+5</f>
        <v>9</v>
      </c>
    </row>
    <row r="2" spans="1:31" s="2041" customFormat="1" ht="18" customHeight="1">
      <c r="A2" s="2101" t="s">
        <v>467</v>
      </c>
      <c r="B2" s="2105">
        <f ca="1">C36</f>
        <v>65806</v>
      </c>
      <c r="C2" s="2104"/>
      <c r="D2" s="2104"/>
      <c r="E2" s="2104"/>
      <c r="F2" s="2104"/>
      <c r="G2" s="2104"/>
      <c r="H2" s="2104"/>
      <c r="I2" s="2104"/>
      <c r="J2" s="2104"/>
      <c r="K2" s="2104"/>
    </row>
    <row r="3" spans="1:31" s="2041" customFormat="1" ht="18" customHeight="1">
      <c r="A3" s="2106" t="s">
        <v>1685</v>
      </c>
      <c r="B3" s="2107">
        <f ca="1">ROUND(B2*10000/IF(B1="",'数据-汇总表'!E3,INDIRECT("'数据-取费表'!K"&amp;$K$1)),0)</f>
        <v>9747</v>
      </c>
      <c r="C3" s="2104"/>
      <c r="D3" s="2104"/>
      <c r="E3" s="2104"/>
      <c r="F3" s="2104"/>
      <c r="G3" s="2104"/>
      <c r="H3" s="2104"/>
      <c r="I3" s="2104"/>
      <c r="J3" s="2104"/>
      <c r="K3" s="2104"/>
    </row>
    <row r="4" spans="1:31" s="2041" customFormat="1" ht="18" customHeight="1">
      <c r="A4" s="426" t="s">
        <v>468</v>
      </c>
      <c r="B4" s="427">
        <f ca="1">ROUND(B2*10000/IF(B1="",'数据-汇总表'!D3,INDIRECT("'数据-取费表'!R"&amp;$K$1)),0)</f>
        <v>43384</v>
      </c>
      <c r="C4" s="428"/>
      <c r="D4" s="422"/>
      <c r="E4" s="422"/>
      <c r="F4" s="422"/>
      <c r="G4" s="422"/>
      <c r="H4" s="422"/>
      <c r="I4" s="422"/>
      <c r="J4" s="422"/>
      <c r="K4" s="422"/>
    </row>
    <row r="5" spans="1:31" s="2041" customFormat="1" ht="18" customHeight="1" thickBot="1">
      <c r="A5" s="429"/>
      <c r="B5" s="430">
        <f ca="1">ROUND(B2/(IF(B1="",'数据-汇总表'!D3,INDIRECT("'数据-取费表'!R"&amp;$K$1))/666.67),0)</f>
        <v>2892</v>
      </c>
      <c r="C5" s="431" t="s">
        <v>469</v>
      </c>
      <c r="D5" s="422"/>
      <c r="E5" s="422"/>
      <c r="F5" s="422"/>
      <c r="G5" s="422"/>
      <c r="H5" s="422"/>
      <c r="I5" s="422"/>
      <c r="J5" s="422"/>
      <c r="K5" s="422"/>
    </row>
    <row r="6" spans="1:31" s="2111" customFormat="1" ht="16.5" customHeight="1">
      <c r="A6" s="2852" t="s">
        <v>1843</v>
      </c>
      <c r="B6" s="2853"/>
      <c r="C6" s="2854">
        <f ca="1">SUM(C10:K10)</f>
        <v>135764</v>
      </c>
      <c r="D6" s="2853"/>
      <c r="E6" s="2853"/>
      <c r="F6" s="2853"/>
      <c r="G6" s="2853"/>
      <c r="H6" s="2853"/>
      <c r="I6" s="2853"/>
      <c r="J6" s="2853"/>
      <c r="K6" s="2855"/>
    </row>
    <row r="7" spans="1:31" s="2113" customFormat="1" ht="15">
      <c r="A7" s="2856" t="s">
        <v>470</v>
      </c>
      <c r="B7" s="2857" t="s">
        <v>471</v>
      </c>
      <c r="C7" s="436" t="s">
        <v>923</v>
      </c>
      <c r="D7" s="436" t="s">
        <v>2987</v>
      </c>
      <c r="E7" s="436" t="s">
        <v>3062</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58">
        <f>'不动产比较法-住宅'!B3</f>
        <v>20686</v>
      </c>
      <c r="D8" s="2858">
        <f>'不动产比较法-商业'!B3</f>
        <v>32123</v>
      </c>
      <c r="E8" s="2858">
        <f ca="1">不动产收益法!B3</f>
        <v>9482</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57055.89</v>
      </c>
      <c r="D9" s="441">
        <f>SUMIF('数据-汇总表'!$C19:$C33,'剩余法-待开发'!D7,'数据-汇总表'!$E19:$E33)</f>
        <v>3790.85</v>
      </c>
      <c r="E9" s="441">
        <f>SUMIF('数据-汇总表'!$C19:$C33,'剩余法-待开发'!E7,'数据-汇总表'!$E19:$E33)</f>
        <v>5864.9200000000019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2">
        <f>'不动产比较法-住宅'!B2</f>
        <v>118026</v>
      </c>
      <c r="D10" s="3052">
        <f>'不动产比较法-商业'!B2</f>
        <v>12177</v>
      </c>
      <c r="E10" s="3052">
        <f ca="1">不动产收益法!B2</f>
        <v>5561</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50">
        <f ca="1">IF(B1="",'数据-取费表'!P16,INDIRECT("'数据-取费表'!p"&amp;$K$1)+INDIRECT("'数据-取费表'!t"&amp;$K$1))</f>
        <v>20254</v>
      </c>
      <c r="D13" s="2868"/>
      <c r="E13" s="2869"/>
      <c r="F13" s="2870"/>
      <c r="G13" s="2836"/>
      <c r="H13" s="2837"/>
      <c r="I13" s="2837"/>
      <c r="J13" s="2837"/>
      <c r="K13" s="2838"/>
    </row>
    <row r="14" spans="1:31" s="2116" customFormat="1" ht="13.5" customHeight="1">
      <c r="A14" s="2866" t="s">
        <v>1850</v>
      </c>
      <c r="B14" s="2867" t="s">
        <v>480</v>
      </c>
      <c r="C14" s="53">
        <f ca="1">ROUND(C13*F14,0)</f>
        <v>608</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856</v>
      </c>
      <c r="D15" s="2868"/>
      <c r="E15" s="2869"/>
      <c r="F15" s="2871">
        <f>'数据-取费表'!B34</f>
        <v>0.05</v>
      </c>
      <c r="G15" s="2836" t="s">
        <v>483</v>
      </c>
      <c r="H15" s="2837"/>
      <c r="I15" s="2837"/>
      <c r="J15" s="2837"/>
      <c r="K15" s="2838"/>
    </row>
    <row r="16" spans="1:31" s="2117" customFormat="1" ht="13.5" customHeight="1">
      <c r="A16" s="2866" t="s">
        <v>1852</v>
      </c>
      <c r="B16" s="2867" t="s">
        <v>484</v>
      </c>
      <c r="C16" s="53">
        <f ca="1">ROUND(D16*E16/10000,0)</f>
        <v>1350</v>
      </c>
      <c r="D16" s="2868">
        <f ca="1">IF(B1="",'数据-汇总表'!E3,INDIRECT("'数据-取费表'!K"&amp;$K$1)+INDIRECT("'数据-取费表'!S"&amp;$K$1))</f>
        <v>67516.63</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304</v>
      </c>
      <c r="D17" s="475"/>
      <c r="E17" s="2872"/>
      <c r="F17" s="2873">
        <f>'数据-取费表'!B36</f>
        <v>1.4999999999999999E-2</v>
      </c>
      <c r="G17" s="261" t="s">
        <v>486</v>
      </c>
      <c r="H17" s="2839"/>
      <c r="I17" s="2839"/>
      <c r="J17" s="2839"/>
      <c r="K17" s="279"/>
    </row>
    <row r="18" spans="1:14" s="2116" customFormat="1" ht="13.5" customHeight="1">
      <c r="A18" s="2874" t="s">
        <v>1854</v>
      </c>
      <c r="B18" s="2875" t="s">
        <v>487</v>
      </c>
      <c r="C18" s="2876">
        <f ca="1">SUM(C13:C17)</f>
        <v>23372</v>
      </c>
      <c r="D18" s="2877"/>
      <c r="E18" s="468"/>
      <c r="F18" s="468"/>
      <c r="G18" s="2840" t="s">
        <v>2430</v>
      </c>
      <c r="H18" s="2841"/>
      <c r="I18" s="2841"/>
      <c r="J18" s="2841"/>
      <c r="K18" s="2842"/>
    </row>
    <row r="19" spans="1:14" s="2116" customFormat="1" ht="13.5" customHeight="1">
      <c r="A19" s="2874" t="s">
        <v>1855</v>
      </c>
      <c r="B19" s="2875" t="s">
        <v>488</v>
      </c>
      <c r="C19" s="2832">
        <f ca="1">ROUND(D19*E19/10000,0)</f>
        <v>0</v>
      </c>
      <c r="D19" s="2878">
        <f ca="1">D16</f>
        <v>67516.63</v>
      </c>
      <c r="E19" s="2832">
        <f>'数据-取费表'!B32</f>
        <v>0</v>
      </c>
      <c r="F19" s="468"/>
      <c r="G19" s="2836" t="s">
        <v>489</v>
      </c>
      <c r="H19" s="2837"/>
      <c r="I19" s="2841"/>
      <c r="J19" s="2841"/>
      <c r="K19" s="2842"/>
    </row>
    <row r="20" spans="1:14" s="2116" customFormat="1" ht="13.5" customHeight="1">
      <c r="A20" s="2874" t="s">
        <v>1856</v>
      </c>
      <c r="B20" s="2875" t="s">
        <v>490</v>
      </c>
      <c r="C20" s="2832">
        <f ca="1">C21+C22-IF(B1="",'数据-取费表'!B29,IF(G20="已全部缴纳",C21+C22,H20))</f>
        <v>811</v>
      </c>
      <c r="D20" s="2878"/>
      <c r="E20" s="2832"/>
      <c r="F20" s="2879"/>
      <c r="G20" s="3112"/>
      <c r="H20" s="2834"/>
      <c r="I20" s="2835" t="s">
        <v>2651</v>
      </c>
      <c r="J20" s="2841"/>
      <c r="K20" s="2842"/>
    </row>
    <row r="21" spans="1:14" s="2116" customFormat="1" ht="13.5" customHeight="1">
      <c r="A21" s="2866" t="s">
        <v>1857</v>
      </c>
      <c r="B21" s="2867" t="s">
        <v>491</v>
      </c>
      <c r="C21" s="53">
        <f ca="1">ROUND(D21*E21/10000,0)</f>
        <v>685</v>
      </c>
      <c r="D21" s="2868">
        <f ca="1">IF(B1="",'数据-汇总表'!E5,IF(INDIRECT("'数据-取费表'!c"&amp;$K$1)="住宅",INDIRECT("'数据-取费表'!k"&amp;$K$1),0))</f>
        <v>57055.89</v>
      </c>
      <c r="E21" s="53">
        <f>'数据-取费表'!B27</f>
        <v>120</v>
      </c>
      <c r="F21" s="2871"/>
      <c r="G21" s="26"/>
      <c r="H21" s="51"/>
      <c r="I21" s="51"/>
      <c r="J21" s="51"/>
      <c r="K21" s="2843"/>
    </row>
    <row r="22" spans="1:14" s="2116" customFormat="1" ht="13.5" customHeight="1">
      <c r="A22" s="2866" t="s">
        <v>1858</v>
      </c>
      <c r="B22" s="2867" t="s">
        <v>492</v>
      </c>
      <c r="C22" s="53">
        <f ca="1">ROUND(D22*E22/10000,0)</f>
        <v>126</v>
      </c>
      <c r="D22" s="2868">
        <f ca="1">IF(B1="",'数据-汇总表'!E6,IF(INDIRECT("'数据-取费表'!c"&amp;$K$1)="住宅",INDIRECT("'数据-取费表'!s"&amp;$K$1),INDIRECT("'数据-取费表'!k"&amp;$K$1)+INDIRECT("'数据-取费表'!s"&amp;$K$1)))</f>
        <v>10460.740000000005</v>
      </c>
      <c r="E22" s="53">
        <f>'数据-取费表'!B28</f>
        <v>120</v>
      </c>
      <c r="F22" s="2871"/>
      <c r="G22" s="26"/>
      <c r="H22" s="51"/>
      <c r="I22" s="51"/>
      <c r="J22" s="51"/>
      <c r="K22" s="2843"/>
    </row>
    <row r="23" spans="1:14" s="2116" customFormat="1" ht="13.5" customHeight="1">
      <c r="A23" s="2874" t="s">
        <v>1859</v>
      </c>
      <c r="B23" s="3058" t="s">
        <v>2834</v>
      </c>
      <c r="C23" s="2876">
        <f ca="1">ROUND((C18+C19+C20)*F23,0)</f>
        <v>484</v>
      </c>
      <c r="D23" s="468"/>
      <c r="E23" s="468"/>
      <c r="F23" s="2880">
        <f>'数据-取费表'!B37</f>
        <v>0.02</v>
      </c>
      <c r="G23" s="2836" t="s">
        <v>2431</v>
      </c>
      <c r="H23" s="2837"/>
      <c r="I23" s="2837"/>
      <c r="J23" s="2837"/>
      <c r="K23" s="2838"/>
      <c r="L23" s="2118"/>
      <c r="M23" s="2118"/>
      <c r="N23" s="2118"/>
    </row>
    <row r="24" spans="1:14" s="2116" customFormat="1" ht="13.5" customHeight="1">
      <c r="A24" s="2874" t="s">
        <v>1860</v>
      </c>
      <c r="B24" s="3058" t="s">
        <v>2837</v>
      </c>
      <c r="C24" s="2876">
        <f ca="1">ROUND(C6*F24,0)</f>
        <v>4073</v>
      </c>
      <c r="D24" s="475"/>
      <c r="E24" s="473"/>
      <c r="F24" s="2880">
        <f>'数据-取费表'!B38</f>
        <v>0.03</v>
      </c>
      <c r="G24" s="2845" t="s">
        <v>499</v>
      </c>
      <c r="H24" s="2839"/>
      <c r="I24" s="2839"/>
      <c r="J24" s="2839"/>
      <c r="K24" s="279"/>
      <c r="L24" s="2118"/>
      <c r="M24" s="2118"/>
      <c r="N24" s="2118"/>
    </row>
    <row r="25" spans="1:14" s="2119" customFormat="1" ht="13.5" customHeight="1">
      <c r="A25" s="2874" t="s">
        <v>1861</v>
      </c>
      <c r="B25" s="3058" t="s">
        <v>2835</v>
      </c>
      <c r="C25" s="467">
        <f>ROUND(F25/(1+'数据-取费表'!C42),4)</f>
        <v>2.9000000000000001E-2</v>
      </c>
      <c r="D25" s="462" t="s">
        <v>2829</v>
      </c>
      <c r="E25" s="469"/>
      <c r="F25" s="2880">
        <f>'数据-取费表'!B48+'数据-取费表'!B49</f>
        <v>3.0499999999999999E-2</v>
      </c>
      <c r="G25" s="2844" t="s">
        <v>2289</v>
      </c>
      <c r="H25" s="2837"/>
      <c r="I25" s="2837"/>
      <c r="J25" s="2837"/>
      <c r="K25" s="2838"/>
    </row>
    <row r="26" spans="1:14" s="2118" customFormat="1" ht="13.5" customHeight="1">
      <c r="A26" s="2874" t="s">
        <v>1862</v>
      </c>
      <c r="B26" s="3059" t="s">
        <v>2836</v>
      </c>
      <c r="C26" s="2881">
        <f ca="1">C28</f>
        <v>1365</v>
      </c>
      <c r="D26" s="467">
        <f ca="1">C27</f>
        <v>0.10009999999999999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1857</v>
      </c>
      <c r="B27" s="2882" t="s">
        <v>496</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1858</v>
      </c>
      <c r="B28" s="2882" t="s">
        <v>2838</v>
      </c>
      <c r="C28" s="2884">
        <f ca="1">ROUND(IF('数据-取费表'!B22&lt;=1,(C18+C19+C20+C23+C24)*F26*'数据-取费表'!B24/2,(C18+C19+C20+C23+C24)*(POWER((1+F26),'数据-取费表'!B24/2)-1)),0)</f>
        <v>1365</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1863</v>
      </c>
      <c r="B29" s="2875" t="s">
        <v>497</v>
      </c>
      <c r="C29" s="2876">
        <f ca="1">ROUND(C6*F29/(1+'数据-取费表'!C42),0)</f>
        <v>7241</v>
      </c>
      <c r="D29" s="468"/>
      <c r="E29" s="468"/>
      <c r="F29" s="3060">
        <f>'数据-取费表'!B41</f>
        <v>5.6000000000000001E-2</v>
      </c>
      <c r="G29" s="2845" t="s">
        <v>498</v>
      </c>
      <c r="H29" s="2837"/>
      <c r="I29" s="2837"/>
      <c r="J29" s="2837"/>
      <c r="K29" s="2838"/>
    </row>
    <row r="30" spans="1:14" s="2121" customFormat="1" ht="13.5" customHeight="1">
      <c r="A30" s="1636" t="s">
        <v>1864</v>
      </c>
      <c r="B30" s="2886" t="s">
        <v>500</v>
      </c>
      <c r="C30" s="2881">
        <f ca="1">C31</f>
        <v>37346</v>
      </c>
      <c r="D30" s="477">
        <f ca="1">C32</f>
        <v>0.12909999999999999</v>
      </c>
      <c r="E30" s="469" t="s">
        <v>495</v>
      </c>
      <c r="F30" s="471"/>
      <c r="G30" s="2844" t="s">
        <v>2971</v>
      </c>
      <c r="H30" s="2837"/>
      <c r="I30" s="2837"/>
      <c r="J30" s="2837"/>
      <c r="K30" s="2838"/>
    </row>
    <row r="31" spans="1:14" s="2120" customFormat="1" ht="13.5" customHeight="1">
      <c r="A31" s="803" t="s">
        <v>1857</v>
      </c>
      <c r="B31" s="2882"/>
      <c r="C31" s="450">
        <f ca="1">C18+C19+C20+C23+C24+C26+C29</f>
        <v>37346</v>
      </c>
      <c r="D31" s="472"/>
      <c r="E31" s="473"/>
      <c r="F31" s="474"/>
      <c r="G31" s="261"/>
      <c r="H31" s="2839"/>
      <c r="I31" s="2839"/>
      <c r="J31" s="2839"/>
      <c r="K31" s="279"/>
    </row>
    <row r="32" spans="1:14" s="2120" customFormat="1" ht="13.5" customHeight="1">
      <c r="A32" s="803" t="s">
        <v>1858</v>
      </c>
      <c r="B32" s="2882"/>
      <c r="C32" s="53">
        <f ca="1">ROUND(C25+D26,4)</f>
        <v>0.12909999999999999</v>
      </c>
      <c r="D32" s="472"/>
      <c r="E32" s="473"/>
      <c r="F32" s="474"/>
      <c r="G32" s="261"/>
      <c r="H32" s="2839"/>
      <c r="I32" s="2839"/>
      <c r="J32" s="2839"/>
      <c r="K32" s="279"/>
    </row>
    <row r="33" spans="1:11" s="2122" customFormat="1" ht="13.5" customHeight="1">
      <c r="A33" s="3057" t="s">
        <v>2833</v>
      </c>
      <c r="B33" s="3055" t="s">
        <v>2831</v>
      </c>
      <c r="C33" s="478">
        <f ca="1">C35</f>
        <v>7185</v>
      </c>
      <c r="D33" s="467">
        <f ca="1">C34</f>
        <v>0.25729999999999997</v>
      </c>
      <c r="E33" s="469" t="s">
        <v>495</v>
      </c>
      <c r="F33" s="479">
        <f ca="1">IF(B1="",'数据-取费表'!Q16,INDIRECT("'数据-取费表'!q"&amp;$K$1))</f>
        <v>0.25</v>
      </c>
      <c r="G33" s="2840"/>
      <c r="H33" s="2841"/>
      <c r="I33" s="2841"/>
      <c r="J33" s="2841"/>
      <c r="K33" s="2842"/>
    </row>
    <row r="34" spans="1:11" s="2123" customFormat="1" ht="13.5" customHeight="1">
      <c r="A34" s="375" t="s">
        <v>1857</v>
      </c>
      <c r="B34" s="2887" t="s">
        <v>501</v>
      </c>
      <c r="C34" s="472">
        <f ca="1">ROUND((1+C25)*F33,4)</f>
        <v>0.25729999999999997</v>
      </c>
      <c r="D34" s="472"/>
      <c r="E34" s="473"/>
      <c r="F34" s="480"/>
      <c r="G34" s="261" t="s">
        <v>2290</v>
      </c>
      <c r="H34" s="2839"/>
      <c r="I34" s="2839"/>
      <c r="J34" s="2839"/>
      <c r="K34" s="279"/>
    </row>
    <row r="35" spans="1:11" s="2123" customFormat="1" ht="13.5" customHeight="1" thickBot="1">
      <c r="A35" s="1637" t="s">
        <v>1858</v>
      </c>
      <c r="B35" s="3056" t="s">
        <v>2839</v>
      </c>
      <c r="C35" s="1629">
        <f ca="1">ROUND((C18+C19+C20+C23+C24)*F33,0)</f>
        <v>7185</v>
      </c>
      <c r="D35" s="1630"/>
      <c r="E35" s="2888"/>
      <c r="F35" s="1631"/>
      <c r="G35" s="2846"/>
      <c r="H35" s="2847"/>
      <c r="I35" s="2847"/>
      <c r="J35" s="2847"/>
      <c r="K35" s="2848"/>
    </row>
    <row r="36" spans="1:11" s="2085" customFormat="1" ht="13.5" customHeight="1" thickBot="1">
      <c r="A36" s="284" t="s">
        <v>1845</v>
      </c>
      <c r="B36" s="2850"/>
      <c r="C36" s="2889">
        <f ca="1">ROUND((C6-C30-C33)/(1+D30+D33),0)</f>
        <v>65806</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46" t="str">
        <f>项目基本情况!B1</f>
        <v>广东省汕头市龙湖区海湾公园片区（335-00-02-096）出让国有建设用地使用权市场价格预评估</v>
      </c>
      <c r="C37" s="3246"/>
      <c r="D37" s="3246"/>
      <c r="E37" s="3246"/>
      <c r="F37" s="3246"/>
      <c r="G37" s="3246"/>
      <c r="H37" s="3246"/>
      <c r="I37" s="3246"/>
    </row>
    <row r="38" spans="1:9">
      <c r="A38" s="1657"/>
      <c r="B38" s="1657"/>
    </row>
    <row r="39" spans="1:9">
      <c r="A39" s="1655" t="s">
        <v>1902</v>
      </c>
      <c r="B39" s="1655" t="s">
        <v>2046</v>
      </c>
    </row>
    <row r="40" spans="1:9">
      <c r="A40" s="1655"/>
      <c r="B40" s="1655" t="str">
        <f>项目基本情况!B5</f>
        <v>广东锦峰地产投资有限公司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梁津、王鹏</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3"/>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2652</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20254</v>
      </c>
      <c r="D13" s="451"/>
      <c r="E13" s="365"/>
      <c r="F13" s="452"/>
      <c r="G13" s="444"/>
      <c r="H13" s="447"/>
      <c r="I13" s="447"/>
      <c r="J13" s="447"/>
      <c r="K13" s="448"/>
    </row>
    <row r="14" spans="1:41" s="2116" customFormat="1" ht="13.5" customHeight="1">
      <c r="A14" s="1634" t="s">
        <v>1850</v>
      </c>
      <c r="B14" s="449" t="s">
        <v>480</v>
      </c>
      <c r="C14" s="53">
        <f ca="1">ROUND(C13*F14,0)</f>
        <v>608</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856</v>
      </c>
      <c r="D15" s="451"/>
      <c r="E15" s="365"/>
      <c r="F15" s="453">
        <f>'数据-取费表'!B34</f>
        <v>0.05</v>
      </c>
      <c r="G15" s="444" t="s">
        <v>502</v>
      </c>
      <c r="H15" s="447"/>
      <c r="I15" s="447"/>
      <c r="J15" s="447"/>
      <c r="K15" s="448"/>
    </row>
    <row r="16" spans="1:41" s="2117" customFormat="1" ht="13.5" customHeight="1">
      <c r="A16" s="1634" t="s">
        <v>1852</v>
      </c>
      <c r="B16" s="449" t="s">
        <v>484</v>
      </c>
      <c r="C16" s="53">
        <f ca="1">ROUND(D16*E16/10000,0)</f>
        <v>1350</v>
      </c>
      <c r="D16" s="451">
        <f ca="1">IF(B1="",'数据-汇总表'!E3,INDIRECT("'数据-取费表'!K"&amp;$K$1)+INDIRECT("'数据-取费表'!S"&amp;$K$1))</f>
        <v>67516.63</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304</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23372</v>
      </c>
      <c r="D18" s="461"/>
      <c r="E18" s="462"/>
      <c r="F18" s="462"/>
      <c r="G18" s="1327" t="s">
        <v>2432</v>
      </c>
      <c r="H18" s="447"/>
      <c r="I18" s="447"/>
      <c r="J18" s="447"/>
      <c r="K18" s="448"/>
    </row>
    <row r="19" spans="1:14" s="2119" customFormat="1" ht="13.5" customHeight="1">
      <c r="A19" s="1635" t="s">
        <v>1855</v>
      </c>
      <c r="B19" s="459" t="s">
        <v>493</v>
      </c>
      <c r="C19" s="460">
        <f ca="1">ROUND(C18*F19,0)</f>
        <v>467</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53">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1859</v>
      </c>
      <c r="B21" s="461" t="s">
        <v>494</v>
      </c>
      <c r="C21" s="470">
        <f ca="1">C22</f>
        <v>1132</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4" t="s">
        <v>1849</v>
      </c>
      <c r="B22" s="1328" t="s">
        <v>2435</v>
      </c>
      <c r="C22" s="487">
        <f ca="1">ROUND(IF('数据-取费表'!B22&lt;=1,(C18+C19)*F21*'数据-取费表'!B20/2,(C18+C19)*(POWER((1+F21),'数据-取费表'!B20/2)-1)),0)</f>
        <v>1132</v>
      </c>
      <c r="D22" s="472"/>
      <c r="E22" s="473"/>
      <c r="F22" s="474"/>
      <c r="G22" s="2591"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55" t="s">
        <v>2832</v>
      </c>
      <c r="C24" s="478">
        <f ca="1">C25</f>
        <v>5960</v>
      </c>
      <c r="D24" s="489">
        <f ca="1">C26</f>
        <v>7.4999999999999997E-3</v>
      </c>
      <c r="E24" s="469" t="s">
        <v>507</v>
      </c>
      <c r="F24" s="479">
        <f ca="1">IF(B1="",'数据-取费表'!Q16,INDIRECT("'数据-取费表'!q"&amp;$K$1))</f>
        <v>0.25</v>
      </c>
      <c r="G24" s="444"/>
      <c r="H24" s="447"/>
      <c r="I24" s="447"/>
      <c r="J24" s="447"/>
      <c r="K24" s="448"/>
    </row>
    <row r="25" spans="1:14" s="2120" customFormat="1" ht="13.5" customHeight="1">
      <c r="A25" s="1634" t="s">
        <v>1849</v>
      </c>
      <c r="B25" s="1328" t="s">
        <v>2436</v>
      </c>
      <c r="C25" s="490">
        <f ca="1">ROUND((C18+C19)*F24,0)</f>
        <v>5960</v>
      </c>
      <c r="D25" s="472"/>
      <c r="E25" s="473"/>
      <c r="F25" s="480"/>
      <c r="G25" s="1326" t="s">
        <v>2433</v>
      </c>
      <c r="H25" s="457"/>
      <c r="I25" s="457"/>
      <c r="J25" s="457"/>
      <c r="K25" s="458"/>
    </row>
    <row r="26" spans="1:14" s="2120" customFormat="1" ht="13.5" customHeight="1">
      <c r="A26" s="1634" t="s">
        <v>1850</v>
      </c>
      <c r="B26" s="1328" t="s">
        <v>509</v>
      </c>
      <c r="C26" s="491">
        <f ca="1">ROUND(F20*F24,4)</f>
        <v>7.4999999999999997E-3</v>
      </c>
      <c r="D26" s="472"/>
      <c r="E26" s="481"/>
      <c r="F26" s="480"/>
      <c r="G26" s="1326" t="s">
        <v>510</v>
      </c>
      <c r="H26" s="457"/>
      <c r="I26" s="457"/>
      <c r="J26" s="457"/>
      <c r="K26" s="458"/>
    </row>
    <row r="27" spans="1:14" s="2120" customFormat="1" ht="13.5" customHeight="1">
      <c r="A27" s="1638" t="s">
        <v>1868</v>
      </c>
      <c r="B27" s="459" t="s">
        <v>511</v>
      </c>
      <c r="C27" s="3054">
        <f>ROUND(F27/(1+'数据-取费表'!C42),4)</f>
        <v>5.33E-2</v>
      </c>
      <c r="D27" s="462" t="s">
        <v>2830</v>
      </c>
      <c r="E27" s="462"/>
      <c r="F27" s="466">
        <f>'数据-取费表'!B41</f>
        <v>5.6000000000000001E-2</v>
      </c>
      <c r="G27" s="1960" t="s">
        <v>2291</v>
      </c>
      <c r="H27" s="447"/>
      <c r="I27" s="447"/>
      <c r="J27" s="447"/>
      <c r="K27" s="448"/>
    </row>
    <row r="28" spans="1:14" s="2121" customFormat="1" ht="13.5" customHeight="1">
      <c r="A28" s="1638" t="s">
        <v>1869</v>
      </c>
      <c r="B28" s="476" t="s">
        <v>512</v>
      </c>
      <c r="C28" s="470">
        <f ca="1">ROUND((C18+C19+C21+C24)/(1-C20-D21-D24-C27),0)</f>
        <v>34072</v>
      </c>
      <c r="D28" s="477"/>
      <c r="E28" s="469"/>
      <c r="F28" s="471"/>
      <c r="G28" s="1327" t="s">
        <v>2434</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506"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433" t="s">
        <v>522</v>
      </c>
      <c r="D6" s="3434"/>
      <c r="E6" s="3459" t="s">
        <v>523</v>
      </c>
      <c r="F6" s="3460"/>
      <c r="G6" s="3433" t="s">
        <v>524</v>
      </c>
      <c r="H6" s="3434"/>
      <c r="I6" s="3433" t="s">
        <v>525</v>
      </c>
      <c r="J6" s="3434"/>
      <c r="K6" s="514" t="s">
        <v>526</v>
      </c>
      <c r="L6" s="2133"/>
      <c r="M6" s="2134"/>
      <c r="N6" s="2134"/>
      <c r="O6" s="2134"/>
      <c r="P6" s="3435" t="s">
        <v>527</v>
      </c>
      <c r="Q6" s="3436"/>
      <c r="R6" s="3421" t="s">
        <v>523</v>
      </c>
      <c r="S6" s="3422"/>
      <c r="T6" s="3421" t="s">
        <v>524</v>
      </c>
      <c r="U6" s="3422"/>
      <c r="V6" s="3441" t="s">
        <v>525</v>
      </c>
      <c r="W6" s="3441"/>
      <c r="X6" s="1568"/>
      <c r="Y6" s="3421" t="s">
        <v>527</v>
      </c>
      <c r="Z6" s="3422"/>
      <c r="AA6" s="3416" t="s">
        <v>523</v>
      </c>
      <c r="AB6" s="3417" t="s">
        <v>524</v>
      </c>
      <c r="AC6" s="3416" t="s">
        <v>525</v>
      </c>
    </row>
    <row r="7" spans="1:29" ht="15">
      <c r="A7" s="515"/>
      <c r="B7" s="516"/>
      <c r="C7" s="3446" t="s">
        <v>2926</v>
      </c>
      <c r="D7" s="3445"/>
      <c r="E7" s="3461" t="s">
        <v>2927</v>
      </c>
      <c r="F7" s="3462"/>
      <c r="G7" s="3446" t="s">
        <v>2928</v>
      </c>
      <c r="H7" s="3445"/>
      <c r="I7" s="3446" t="s">
        <v>2929</v>
      </c>
      <c r="J7" s="3445"/>
      <c r="K7" s="514"/>
      <c r="L7" s="2133"/>
      <c r="M7" s="2134"/>
      <c r="N7" s="2134"/>
      <c r="O7" s="2134"/>
      <c r="P7" s="3437"/>
      <c r="Q7" s="3438"/>
      <c r="R7" s="3423"/>
      <c r="S7" s="3424"/>
      <c r="T7" s="3423"/>
      <c r="U7" s="3424"/>
      <c r="V7" s="3441"/>
      <c r="W7" s="3441"/>
      <c r="X7" s="1568"/>
      <c r="Y7" s="3423"/>
      <c r="Z7" s="3424"/>
      <c r="AA7" s="3417"/>
      <c r="AB7" s="3417"/>
      <c r="AC7" s="3417"/>
    </row>
    <row r="8" spans="1:29" ht="15.75" thickBot="1">
      <c r="A8" s="517"/>
      <c r="B8" s="518"/>
      <c r="C8" s="3463" t="s">
        <v>2930</v>
      </c>
      <c r="D8" s="3443"/>
      <c r="E8" s="3464" t="s">
        <v>2930</v>
      </c>
      <c r="F8" s="3465"/>
      <c r="G8" s="3463" t="s">
        <v>2930</v>
      </c>
      <c r="H8" s="3443"/>
      <c r="I8" s="3463" t="s">
        <v>2930</v>
      </c>
      <c r="J8" s="3443"/>
      <c r="K8" s="514" t="s">
        <v>528</v>
      </c>
      <c r="L8" s="2133"/>
      <c r="M8" s="2134"/>
      <c r="N8" s="2134"/>
      <c r="O8" s="2134"/>
      <c r="P8" s="3439"/>
      <c r="Q8" s="3440"/>
      <c r="R8" s="3423"/>
      <c r="S8" s="3424"/>
      <c r="T8" s="3425"/>
      <c r="U8" s="3426"/>
      <c r="V8" s="3441"/>
      <c r="W8" s="3441"/>
      <c r="X8" s="1568"/>
      <c r="Y8" s="3425"/>
      <c r="Z8" s="3426"/>
      <c r="AA8" s="3418"/>
      <c r="AB8" s="3418"/>
      <c r="AC8" s="3418"/>
    </row>
    <row r="9" spans="1:29" s="1220" customFormat="1" ht="15.75" thickBot="1">
      <c r="A9" s="2936"/>
      <c r="B9" s="2943" t="s">
        <v>529</v>
      </c>
      <c r="C9" s="519">
        <f>'数据-取费表'!B2</f>
        <v>43244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19" t="s">
        <v>530</v>
      </c>
      <c r="Q9" s="3428"/>
      <c r="R9" s="1569" t="s">
        <v>8</v>
      </c>
      <c r="S9" s="1570">
        <f t="shared" ref="S9:S17" si="0">F9</f>
        <v>0</v>
      </c>
      <c r="T9" s="1569" t="s">
        <v>8</v>
      </c>
      <c r="U9" s="1570">
        <f t="shared" ref="U9:U17" si="1">H9</f>
        <v>0</v>
      </c>
      <c r="V9" s="1569" t="s">
        <v>8</v>
      </c>
      <c r="W9" s="1570">
        <f t="shared" ref="W9:W17" si="2">J9</f>
        <v>0</v>
      </c>
      <c r="X9" s="1571"/>
      <c r="Y9" s="3419" t="s">
        <v>530</v>
      </c>
      <c r="Z9" s="3420"/>
      <c r="AA9" s="1572" t="e">
        <f>D9/F9</f>
        <v>#DIV/0!</v>
      </c>
      <c r="AB9" s="1572" t="e">
        <f>D9/H9</f>
        <v>#DIV/0!</v>
      </c>
      <c r="AC9" s="1572" t="e">
        <f>D9/J9</f>
        <v>#DIV/0!</v>
      </c>
    </row>
    <row r="10" spans="1:29" s="1220"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19" t="s">
        <v>533</v>
      </c>
      <c r="Q10" s="3420"/>
      <c r="R10" s="1569" t="s">
        <v>8</v>
      </c>
      <c r="S10" s="1570">
        <f t="shared" si="0"/>
        <v>0</v>
      </c>
      <c r="T10" s="1569" t="s">
        <v>8</v>
      </c>
      <c r="U10" s="1570">
        <f t="shared" si="1"/>
        <v>0</v>
      </c>
      <c r="V10" s="1569" t="s">
        <v>8</v>
      </c>
      <c r="W10" s="1570">
        <f t="shared" si="2"/>
        <v>0</v>
      </c>
      <c r="X10" s="1571"/>
      <c r="Y10" s="3419" t="s">
        <v>533</v>
      </c>
      <c r="Z10" s="3420"/>
      <c r="AA10" s="1572" t="e">
        <f t="shared" ref="AA10:AA42" si="3">D10/F10</f>
        <v>#DIV/0!</v>
      </c>
      <c r="AB10" s="1572" t="e">
        <f t="shared" ref="AB10:AB42" si="4">D10/H10</f>
        <v>#DIV/0!</v>
      </c>
      <c r="AC10" s="1572" t="e">
        <f t="shared" ref="AC10:AC42" si="5">D10/J10</f>
        <v>#DIV/0!</v>
      </c>
    </row>
    <row r="11" spans="1:29" s="1220" customFormat="1" ht="15">
      <c r="A11" s="2938"/>
      <c r="B11" s="2945"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27" t="s">
        <v>535</v>
      </c>
      <c r="Q11" s="1151" t="str">
        <f t="shared" ref="Q11:Q17" si="6">B11</f>
        <v>用途</v>
      </c>
      <c r="R11" s="1569" t="s">
        <v>8</v>
      </c>
      <c r="S11" s="1570">
        <f t="shared" si="0"/>
        <v>100</v>
      </c>
      <c r="T11" s="1569" t="s">
        <v>8</v>
      </c>
      <c r="U11" s="1570">
        <f t="shared" si="1"/>
        <v>100</v>
      </c>
      <c r="V11" s="1569" t="s">
        <v>8</v>
      </c>
      <c r="W11" s="1570">
        <f t="shared" si="2"/>
        <v>100</v>
      </c>
      <c r="X11" s="1571"/>
      <c r="Y11" s="3384" t="s">
        <v>536</v>
      </c>
      <c r="Z11" s="1150" t="str">
        <f t="shared" ref="Z11:Z17" si="7">Q11</f>
        <v>用途</v>
      </c>
      <c r="AA11" s="1572">
        <f t="shared" si="3"/>
        <v>1</v>
      </c>
      <c r="AB11" s="1572">
        <f t="shared" si="4"/>
        <v>1</v>
      </c>
      <c r="AC11" s="1572">
        <f t="shared" si="5"/>
        <v>1</v>
      </c>
    </row>
    <row r="12" spans="1:29" s="1338" customFormat="1" ht="27">
      <c r="A12" s="2939"/>
      <c r="B12" s="2944" t="s">
        <v>2757</v>
      </c>
      <c r="C12" s="528"/>
      <c r="D12" s="255">
        <v>100</v>
      </c>
      <c r="E12" s="528"/>
      <c r="F12" s="255">
        <f>ROUND(100/'数据-取费表'!G16,0)</f>
        <v>106</v>
      </c>
      <c r="G12" s="528"/>
      <c r="H12" s="255">
        <f>ROUND(100/'数据-取费表'!G16,0)</f>
        <v>106</v>
      </c>
      <c r="I12" s="528"/>
      <c r="J12" s="255">
        <f>ROUND(100/'数据-取费表'!G16,0)</f>
        <v>106</v>
      </c>
      <c r="K12" s="531"/>
      <c r="L12" s="2138"/>
      <c r="M12" s="2178"/>
      <c r="N12" s="2178"/>
      <c r="O12" s="2139"/>
      <c r="P12" s="3427"/>
      <c r="Q12" s="1151" t="str">
        <f t="shared" si="6"/>
        <v>土地使用年限（年）</v>
      </c>
      <c r="R12" s="1569" t="s">
        <v>8</v>
      </c>
      <c r="S12" s="1570">
        <f t="shared" si="0"/>
        <v>106</v>
      </c>
      <c r="T12" s="1569" t="s">
        <v>8</v>
      </c>
      <c r="U12" s="1570">
        <f t="shared" si="1"/>
        <v>106</v>
      </c>
      <c r="V12" s="1569" t="s">
        <v>8</v>
      </c>
      <c r="W12" s="1570">
        <f t="shared" si="2"/>
        <v>106</v>
      </c>
      <c r="X12" s="1571"/>
      <c r="Y12" s="3384"/>
      <c r="Z12" s="1150" t="str">
        <f t="shared" si="7"/>
        <v>土地使用年限（年）</v>
      </c>
      <c r="AA12" s="1572">
        <f t="shared" si="3"/>
        <v>0.94339622641509435</v>
      </c>
      <c r="AB12" s="1572">
        <f t="shared" si="4"/>
        <v>0.94339622641509435</v>
      </c>
      <c r="AC12" s="1572">
        <f t="shared" si="5"/>
        <v>0.94339622641509435</v>
      </c>
    </row>
    <row r="13" spans="1:29" ht="15">
      <c r="A13" s="2940"/>
      <c r="B13" s="294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27"/>
      <c r="Q13" s="1151" t="str">
        <f t="shared" si="6"/>
        <v>容积率</v>
      </c>
      <c r="R13" s="1569" t="s">
        <v>8</v>
      </c>
      <c r="S13" s="1570" t="e">
        <f t="shared" si="0"/>
        <v>#N/A</v>
      </c>
      <c r="T13" s="1569" t="s">
        <v>8</v>
      </c>
      <c r="U13" s="1570" t="e">
        <f t="shared" si="1"/>
        <v>#N/A</v>
      </c>
      <c r="V13" s="1569" t="s">
        <v>8</v>
      </c>
      <c r="W13" s="1570" t="e">
        <f t="shared" si="2"/>
        <v>#N/A</v>
      </c>
      <c r="X13" s="1571"/>
      <c r="Y13" s="3384"/>
      <c r="Z13" s="1150" t="str">
        <f t="shared" si="7"/>
        <v>容积率</v>
      </c>
      <c r="AA13" s="1572" t="e">
        <f t="shared" si="3"/>
        <v>#N/A</v>
      </c>
      <c r="AB13" s="1572" t="e">
        <f t="shared" si="4"/>
        <v>#N/A</v>
      </c>
      <c r="AC13" s="1572"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27"/>
      <c r="Q14" s="1151">
        <f t="shared" si="6"/>
        <v>111</v>
      </c>
      <c r="R14" s="1569" t="s">
        <v>8</v>
      </c>
      <c r="S14" s="1570">
        <f t="shared" si="0"/>
        <v>100</v>
      </c>
      <c r="T14" s="1569" t="s">
        <v>8</v>
      </c>
      <c r="U14" s="1570">
        <f t="shared" si="1"/>
        <v>100</v>
      </c>
      <c r="V14" s="1569" t="s">
        <v>8</v>
      </c>
      <c r="W14" s="1570">
        <f t="shared" si="2"/>
        <v>100</v>
      </c>
      <c r="X14" s="1571"/>
      <c r="Y14" s="3384"/>
      <c r="Z14" s="1150">
        <f t="shared" si="7"/>
        <v>111</v>
      </c>
      <c r="AA14" s="1572">
        <f>D14/F14</f>
        <v>1</v>
      </c>
      <c r="AB14" s="1572">
        <f>D14/H14</f>
        <v>1</v>
      </c>
      <c r="AC14" s="1572">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27"/>
      <c r="Q15" s="1151">
        <f t="shared" si="6"/>
        <v>111</v>
      </c>
      <c r="R15" s="1569" t="s">
        <v>8</v>
      </c>
      <c r="S15" s="1570">
        <f t="shared" si="0"/>
        <v>100</v>
      </c>
      <c r="T15" s="1569" t="s">
        <v>8</v>
      </c>
      <c r="U15" s="1570">
        <f t="shared" si="1"/>
        <v>100</v>
      </c>
      <c r="V15" s="1569" t="s">
        <v>8</v>
      </c>
      <c r="W15" s="1570">
        <f t="shared" si="2"/>
        <v>100</v>
      </c>
      <c r="X15" s="1571"/>
      <c r="Y15" s="3384"/>
      <c r="Z15" s="1150">
        <f t="shared" si="7"/>
        <v>111</v>
      </c>
      <c r="AA15" s="1572">
        <f t="shared" si="3"/>
        <v>1</v>
      </c>
      <c r="AB15" s="1572">
        <f t="shared" si="4"/>
        <v>1</v>
      </c>
      <c r="AC15" s="1572">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27"/>
      <c r="Q16" s="1151">
        <f t="shared" si="6"/>
        <v>111</v>
      </c>
      <c r="R16" s="1569" t="s">
        <v>8</v>
      </c>
      <c r="S16" s="1570">
        <f t="shared" si="0"/>
        <v>100</v>
      </c>
      <c r="T16" s="1569" t="s">
        <v>8</v>
      </c>
      <c r="U16" s="1570">
        <f t="shared" si="1"/>
        <v>100</v>
      </c>
      <c r="V16" s="1569" t="s">
        <v>8</v>
      </c>
      <c r="W16" s="1570">
        <f t="shared" si="2"/>
        <v>100</v>
      </c>
      <c r="X16" s="1571"/>
      <c r="Y16" s="3384"/>
      <c r="Z16" s="1150">
        <f t="shared" si="7"/>
        <v>111</v>
      </c>
      <c r="AA16" s="1572">
        <f t="shared" si="3"/>
        <v>1</v>
      </c>
      <c r="AB16" s="1572">
        <f t="shared" si="4"/>
        <v>1</v>
      </c>
      <c r="AC16" s="1572">
        <f t="shared" si="5"/>
        <v>1</v>
      </c>
    </row>
    <row r="17" spans="1:29" ht="57">
      <c r="A17" s="2934"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29" t="s">
        <v>540</v>
      </c>
      <c r="Q17" s="1573" t="str">
        <f t="shared" si="6"/>
        <v>产业集聚程度</v>
      </c>
      <c r="R17" s="1574" t="s">
        <v>8</v>
      </c>
      <c r="S17" s="1575">
        <f t="shared" si="0"/>
        <v>100</v>
      </c>
      <c r="T17" s="1574" t="s">
        <v>8</v>
      </c>
      <c r="U17" s="1575">
        <f t="shared" si="1"/>
        <v>100</v>
      </c>
      <c r="V17" s="1574" t="s">
        <v>8</v>
      </c>
      <c r="W17" s="1575">
        <f t="shared" si="2"/>
        <v>100</v>
      </c>
      <c r="X17" s="1568"/>
      <c r="Y17" s="342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30"/>
      <c r="Q18" s="1573"/>
      <c r="R18" s="1574"/>
      <c r="S18" s="1575"/>
      <c r="T18" s="1574"/>
      <c r="U18" s="1575"/>
      <c r="V18" s="1574"/>
      <c r="W18" s="1575"/>
      <c r="X18" s="1568"/>
      <c r="Y18" s="343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30"/>
      <c r="Q19" s="1573" t="str">
        <f>B19</f>
        <v>交通便捷度</v>
      </c>
      <c r="R19" s="1574" t="s">
        <v>8</v>
      </c>
      <c r="S19" s="1575">
        <f>F19</f>
        <v>100</v>
      </c>
      <c r="T19" s="1574" t="s">
        <v>8</v>
      </c>
      <c r="U19" s="1575">
        <f>H19</f>
        <v>100</v>
      </c>
      <c r="V19" s="1574" t="s">
        <v>8</v>
      </c>
      <c r="W19" s="1575">
        <f>J19</f>
        <v>100</v>
      </c>
      <c r="X19" s="1568"/>
      <c r="Y19" s="343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30"/>
      <c r="Q20" s="1573"/>
      <c r="R20" s="1574"/>
      <c r="S20" s="1575"/>
      <c r="T20" s="1574"/>
      <c r="U20" s="1575"/>
      <c r="V20" s="1574"/>
      <c r="W20" s="1575"/>
      <c r="X20" s="1568"/>
      <c r="Y20" s="343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30"/>
      <c r="Q21" s="1573" t="str">
        <f t="shared" ref="Q21:Q35" si="8">B21</f>
        <v>区域土地利用方向</v>
      </c>
      <c r="R21" s="1574" t="s">
        <v>8</v>
      </c>
      <c r="S21" s="1575">
        <f>F21</f>
        <v>100</v>
      </c>
      <c r="T21" s="1574" t="s">
        <v>8</v>
      </c>
      <c r="U21" s="1575">
        <f>H21</f>
        <v>100</v>
      </c>
      <c r="V21" s="1574" t="s">
        <v>8</v>
      </c>
      <c r="W21" s="1575">
        <f>J21</f>
        <v>100</v>
      </c>
      <c r="X21" s="1568"/>
      <c r="Y21" s="343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30"/>
      <c r="Q22" s="1573"/>
      <c r="R22" s="1574"/>
      <c r="S22" s="1575"/>
      <c r="T22" s="1574"/>
      <c r="U22" s="1575"/>
      <c r="V22" s="1574"/>
      <c r="W22" s="1575"/>
      <c r="X22" s="1568"/>
      <c r="Y22" s="343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30"/>
      <c r="Q23" s="1573" t="str">
        <f t="shared" si="8"/>
        <v>环境状况</v>
      </c>
      <c r="R23" s="1574" t="s">
        <v>8</v>
      </c>
      <c r="S23" s="1575">
        <f>F23</f>
        <v>100</v>
      </c>
      <c r="T23" s="1574" t="s">
        <v>8</v>
      </c>
      <c r="U23" s="1575">
        <f>H23</f>
        <v>100</v>
      </c>
      <c r="V23" s="1574" t="s">
        <v>8</v>
      </c>
      <c r="W23" s="1575">
        <f>J23</f>
        <v>100</v>
      </c>
      <c r="X23" s="1568"/>
      <c r="Y23" s="343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30"/>
      <c r="Q24" s="1573"/>
      <c r="R24" s="1574"/>
      <c r="S24" s="1575"/>
      <c r="T24" s="1574"/>
      <c r="U24" s="1575"/>
      <c r="V24" s="1574"/>
      <c r="W24" s="1575"/>
      <c r="X24" s="1568"/>
      <c r="Y24" s="3430"/>
      <c r="Z24" s="1576"/>
      <c r="AA24" s="1577">
        <v>1</v>
      </c>
      <c r="AB24" s="1577">
        <v>1</v>
      </c>
      <c r="AC24" s="1577">
        <v>1</v>
      </c>
    </row>
    <row r="25" spans="1:29" s="1220" customFormat="1" ht="42.75">
      <c r="A25" s="577"/>
      <c r="B25" s="261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30"/>
      <c r="Q25" s="1151" t="str">
        <f t="shared" si="8"/>
        <v>公共配套设施</v>
      </c>
      <c r="R25" s="1569" t="s">
        <v>8</v>
      </c>
      <c r="S25" s="1570">
        <f>F25</f>
        <v>100</v>
      </c>
      <c r="T25" s="1569" t="s">
        <v>8</v>
      </c>
      <c r="U25" s="1570">
        <f>H25</f>
        <v>100</v>
      </c>
      <c r="V25" s="1569" t="s">
        <v>8</v>
      </c>
      <c r="W25" s="1570">
        <f>J25</f>
        <v>100</v>
      </c>
      <c r="X25" s="1571"/>
      <c r="Y25" s="3430"/>
      <c r="Z25" s="1150" t="str">
        <f>Q25</f>
        <v>公共配套设施</v>
      </c>
      <c r="AA25" s="1577">
        <f>D25/F25</f>
        <v>1</v>
      </c>
      <c r="AB25" s="1577">
        <f>D25/H25</f>
        <v>1</v>
      </c>
      <c r="AC25" s="1577">
        <f>D25/J25</f>
        <v>1</v>
      </c>
    </row>
    <row r="26" spans="1:29" s="1220" customFormat="1" ht="15">
      <c r="A26" s="577"/>
      <c r="B26" s="595"/>
      <c r="C26" s="2616"/>
      <c r="D26" s="555"/>
      <c r="E26" s="554"/>
      <c r="F26" s="555"/>
      <c r="G26" s="554"/>
      <c r="H26" s="555"/>
      <c r="I26" s="576"/>
      <c r="J26" s="555"/>
      <c r="K26" s="531"/>
      <c r="L26" s="2135"/>
      <c r="M26" s="2136"/>
      <c r="N26" s="2136"/>
      <c r="O26" s="2137"/>
      <c r="P26" s="3430"/>
      <c r="Q26" s="1151"/>
      <c r="R26" s="1569"/>
      <c r="S26" s="1570"/>
      <c r="T26" s="1569"/>
      <c r="U26" s="1570"/>
      <c r="V26" s="1569"/>
      <c r="W26" s="1570"/>
      <c r="X26" s="1571"/>
      <c r="Y26" s="3430"/>
      <c r="Z26" s="1150"/>
      <c r="AA26" s="1572">
        <v>1</v>
      </c>
      <c r="AB26" s="1572">
        <v>1</v>
      </c>
      <c r="AC26" s="1572">
        <v>1</v>
      </c>
    </row>
    <row r="27" spans="1:29" s="1220" customFormat="1" ht="28.5">
      <c r="A27" s="577"/>
      <c r="B27" s="261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30"/>
      <c r="Q27" s="2602" t="str">
        <f>B27</f>
        <v>基础设施水平</v>
      </c>
      <c r="R27" s="1569" t="s">
        <v>8</v>
      </c>
      <c r="S27" s="1570">
        <f>F27</f>
        <v>100</v>
      </c>
      <c r="T27" s="1569" t="s">
        <v>8</v>
      </c>
      <c r="U27" s="1570">
        <f>H27</f>
        <v>100</v>
      </c>
      <c r="V27" s="1569" t="s">
        <v>8</v>
      </c>
      <c r="W27" s="1570">
        <f>J27</f>
        <v>100</v>
      </c>
      <c r="X27" s="1571"/>
      <c r="Y27" s="3430"/>
      <c r="Z27" s="2599" t="str">
        <f>Q27</f>
        <v>基础设施水平</v>
      </c>
      <c r="AA27" s="1577">
        <f>D27/F27</f>
        <v>1</v>
      </c>
      <c r="AB27" s="1577">
        <f>D27/H27</f>
        <v>1</v>
      </c>
      <c r="AC27" s="1577">
        <f>D27/J27</f>
        <v>1</v>
      </c>
    </row>
    <row r="28" spans="1:29" s="1220" customFormat="1" ht="15">
      <c r="A28" s="577"/>
      <c r="B28" s="595"/>
      <c r="C28" s="2616"/>
      <c r="D28" s="555"/>
      <c r="E28" s="579"/>
      <c r="F28" s="555"/>
      <c r="G28" s="579"/>
      <c r="H28" s="555"/>
      <c r="I28" s="579"/>
      <c r="J28" s="555"/>
      <c r="K28" s="531"/>
      <c r="L28" s="2135"/>
      <c r="M28" s="2136"/>
      <c r="N28" s="2136"/>
      <c r="O28" s="2137"/>
      <c r="P28" s="3430"/>
      <c r="Q28" s="2602"/>
      <c r="R28" s="1569"/>
      <c r="S28" s="1570"/>
      <c r="T28" s="1569"/>
      <c r="U28" s="1570"/>
      <c r="V28" s="1569"/>
      <c r="W28" s="1570"/>
      <c r="X28" s="1571"/>
      <c r="Y28" s="3430"/>
      <c r="Z28" s="2599"/>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30"/>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430"/>
      <c r="Z29" s="1576" t="str">
        <f t="shared" ref="Z29:Z42" si="12">Q29</f>
        <v>临街状况</v>
      </c>
      <c r="AA29" s="1577">
        <f t="shared" si="3"/>
        <v>1</v>
      </c>
      <c r="AB29" s="1577">
        <f t="shared" si="4"/>
        <v>1</v>
      </c>
      <c r="AC29" s="1577">
        <f t="shared" si="5"/>
        <v>1</v>
      </c>
    </row>
    <row r="30" spans="1:29" ht="27">
      <c r="A30" s="532"/>
      <c r="B30" s="922"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30"/>
      <c r="Q30" s="1573" t="str">
        <f t="shared" si="8"/>
        <v>毗邻道路的类型与等级</v>
      </c>
      <c r="R30" s="1574" t="s">
        <v>8</v>
      </c>
      <c r="S30" s="1575">
        <f t="shared" si="9"/>
        <v>100</v>
      </c>
      <c r="T30" s="1574" t="s">
        <v>8</v>
      </c>
      <c r="U30" s="1575">
        <f t="shared" si="10"/>
        <v>100</v>
      </c>
      <c r="V30" s="1574" t="s">
        <v>8</v>
      </c>
      <c r="W30" s="1575">
        <f t="shared" si="11"/>
        <v>100</v>
      </c>
      <c r="X30" s="1568"/>
      <c r="Y30" s="3430"/>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30"/>
      <c r="Q31" s="1573"/>
      <c r="R31" s="1574"/>
      <c r="S31" s="1575"/>
      <c r="T31" s="1574"/>
      <c r="U31" s="1575"/>
      <c r="V31" s="1574"/>
      <c r="W31" s="1575"/>
      <c r="X31" s="1568"/>
      <c r="Y31" s="3430"/>
      <c r="Z31" s="1576"/>
      <c r="AA31" s="1577">
        <v>1</v>
      </c>
      <c r="AB31" s="1577">
        <v>1</v>
      </c>
      <c r="AC31" s="1577">
        <v>1</v>
      </c>
    </row>
    <row r="32" spans="1:29" ht="15">
      <c r="A32" s="532"/>
      <c r="B32" s="527"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30"/>
      <c r="Q32" s="1573" t="str">
        <f t="shared" si="8"/>
        <v>土地级别</v>
      </c>
      <c r="R32" s="1574" t="s">
        <v>8</v>
      </c>
      <c r="S32" s="1575">
        <f t="shared" si="9"/>
        <v>100</v>
      </c>
      <c r="T32" s="1574" t="s">
        <v>8</v>
      </c>
      <c r="U32" s="1575">
        <f t="shared" si="10"/>
        <v>100</v>
      </c>
      <c r="V32" s="1574" t="s">
        <v>8</v>
      </c>
      <c r="W32" s="1575">
        <f t="shared" si="11"/>
        <v>100</v>
      </c>
      <c r="X32" s="1568"/>
      <c r="Y32" s="3430"/>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30"/>
      <c r="Q33" s="1573">
        <f t="shared" si="8"/>
        <v>111</v>
      </c>
      <c r="R33" s="1574" t="s">
        <v>8</v>
      </c>
      <c r="S33" s="1575">
        <f t="shared" si="9"/>
        <v>100</v>
      </c>
      <c r="T33" s="1574" t="s">
        <v>8</v>
      </c>
      <c r="U33" s="1575">
        <f t="shared" si="10"/>
        <v>100</v>
      </c>
      <c r="V33" s="1574" t="s">
        <v>8</v>
      </c>
      <c r="W33" s="1575">
        <f t="shared" si="11"/>
        <v>100</v>
      </c>
      <c r="X33" s="1568"/>
      <c r="Y33" s="3430"/>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31" t="s">
        <v>550</v>
      </c>
      <c r="Q34" s="1573">
        <f t="shared" si="8"/>
        <v>111</v>
      </c>
      <c r="R34" s="1574" t="s">
        <v>8</v>
      </c>
      <c r="S34" s="1575">
        <f t="shared" si="9"/>
        <v>100</v>
      </c>
      <c r="T34" s="1574" t="s">
        <v>8</v>
      </c>
      <c r="U34" s="1575">
        <f t="shared" si="10"/>
        <v>100</v>
      </c>
      <c r="V34" s="1574" t="s">
        <v>8</v>
      </c>
      <c r="W34" s="1575">
        <f t="shared" si="11"/>
        <v>100</v>
      </c>
      <c r="X34" s="1568"/>
      <c r="Y34" s="3432" t="s">
        <v>550</v>
      </c>
      <c r="Z34" s="1576">
        <f t="shared" si="12"/>
        <v>111</v>
      </c>
      <c r="AA34" s="1577">
        <f t="shared" si="3"/>
        <v>1</v>
      </c>
      <c r="AB34" s="1577">
        <f t="shared" si="4"/>
        <v>1</v>
      </c>
      <c r="AC34" s="1577">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32"/>
      <c r="Q35" s="1573">
        <f t="shared" si="8"/>
        <v>111</v>
      </c>
      <c r="R35" s="1578" t="s">
        <v>8</v>
      </c>
      <c r="S35" s="1579">
        <f t="shared" si="9"/>
        <v>100</v>
      </c>
      <c r="T35" s="1578" t="s">
        <v>8</v>
      </c>
      <c r="U35" s="1579">
        <f t="shared" si="10"/>
        <v>100</v>
      </c>
      <c r="V35" s="1578" t="s">
        <v>8</v>
      </c>
      <c r="W35" s="1579">
        <f t="shared" si="11"/>
        <v>100</v>
      </c>
      <c r="X35" s="1580"/>
      <c r="Y35" s="3432"/>
      <c r="Z35" s="1581">
        <f t="shared" si="12"/>
        <v>111</v>
      </c>
      <c r="AA35" s="1577">
        <f t="shared" si="3"/>
        <v>1</v>
      </c>
      <c r="AB35" s="1577">
        <f t="shared" si="4"/>
        <v>1</v>
      </c>
      <c r="AC35" s="1577">
        <f t="shared" si="5"/>
        <v>1</v>
      </c>
    </row>
    <row r="36" spans="1:29" ht="15">
      <c r="A36" s="293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32"/>
      <c r="Q36" s="1573" t="str">
        <f>B36</f>
        <v>宗地面积</v>
      </c>
      <c r="R36" s="1574" t="s">
        <v>8</v>
      </c>
      <c r="S36" s="1575" t="e">
        <f t="shared" si="9"/>
        <v>#N/A</v>
      </c>
      <c r="T36" s="1574" t="s">
        <v>8</v>
      </c>
      <c r="U36" s="1575" t="e">
        <f t="shared" si="10"/>
        <v>#N/A</v>
      </c>
      <c r="V36" s="1574" t="s">
        <v>8</v>
      </c>
      <c r="W36" s="1575" t="e">
        <f t="shared" si="11"/>
        <v>#N/A</v>
      </c>
      <c r="X36" s="1568"/>
      <c r="Y36" s="3432"/>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32"/>
      <c r="Q37" s="1573" t="str">
        <f t="shared" ref="Q37:Q42" si="13">B37</f>
        <v>宗地形状</v>
      </c>
      <c r="R37" s="1574" t="s">
        <v>8</v>
      </c>
      <c r="S37" s="1575">
        <f t="shared" si="9"/>
        <v>100</v>
      </c>
      <c r="T37" s="1574" t="s">
        <v>8</v>
      </c>
      <c r="U37" s="1575">
        <f t="shared" si="10"/>
        <v>100</v>
      </c>
      <c r="V37" s="1574" t="s">
        <v>8</v>
      </c>
      <c r="W37" s="1575">
        <f t="shared" si="11"/>
        <v>100</v>
      </c>
      <c r="X37" s="1568"/>
      <c r="Y37" s="3432"/>
      <c r="Z37" s="1576" t="str">
        <f t="shared" si="12"/>
        <v>宗地形状</v>
      </c>
      <c r="AA37" s="1577">
        <f t="shared" si="3"/>
        <v>1</v>
      </c>
      <c r="AB37" s="1577">
        <f t="shared" si="4"/>
        <v>1</v>
      </c>
      <c r="AC37" s="1577">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32"/>
      <c r="Q38" s="1573" t="str">
        <f t="shared" si="13"/>
        <v>宗地开发程度</v>
      </c>
      <c r="R38" s="1569" t="s">
        <v>8</v>
      </c>
      <c r="S38" s="1570">
        <f t="shared" si="9"/>
        <v>100</v>
      </c>
      <c r="T38" s="1569" t="s">
        <v>8</v>
      </c>
      <c r="U38" s="1570">
        <f t="shared" si="10"/>
        <v>100</v>
      </c>
      <c r="V38" s="1569" t="s">
        <v>8</v>
      </c>
      <c r="W38" s="1570">
        <f t="shared" si="11"/>
        <v>100</v>
      </c>
      <c r="X38" s="1571"/>
      <c r="Y38" s="3432"/>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2" t="s">
        <v>601</v>
      </c>
      <c r="Q39" s="1573" t="str">
        <f t="shared" si="13"/>
        <v>工程地质条件</v>
      </c>
      <c r="R39" s="1574" t="s">
        <v>8</v>
      </c>
      <c r="S39" s="1575">
        <f t="shared" si="9"/>
        <v>100</v>
      </c>
      <c r="T39" s="1574" t="s">
        <v>8</v>
      </c>
      <c r="U39" s="1575">
        <f t="shared" si="10"/>
        <v>100</v>
      </c>
      <c r="V39" s="1574" t="s">
        <v>8</v>
      </c>
      <c r="W39" s="1575">
        <f t="shared" si="11"/>
        <v>100</v>
      </c>
      <c r="X39" s="1568"/>
      <c r="Y39" s="3432"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32"/>
      <c r="Q40" s="1573">
        <f t="shared" si="13"/>
        <v>111</v>
      </c>
      <c r="R40" s="1574" t="s">
        <v>8</v>
      </c>
      <c r="S40" s="1575">
        <f t="shared" si="9"/>
        <v>100</v>
      </c>
      <c r="T40" s="1574" t="s">
        <v>8</v>
      </c>
      <c r="U40" s="1575">
        <f t="shared" si="10"/>
        <v>100</v>
      </c>
      <c r="V40" s="1574" t="s">
        <v>8</v>
      </c>
      <c r="W40" s="1575">
        <f t="shared" si="11"/>
        <v>100</v>
      </c>
      <c r="X40" s="1568"/>
      <c r="Y40" s="3432"/>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32"/>
      <c r="Q41" s="1573">
        <f t="shared" si="13"/>
        <v>111</v>
      </c>
      <c r="R41" s="1574" t="s">
        <v>8</v>
      </c>
      <c r="S41" s="1575">
        <f t="shared" si="9"/>
        <v>100</v>
      </c>
      <c r="T41" s="1574" t="s">
        <v>8</v>
      </c>
      <c r="U41" s="1575">
        <f t="shared" si="10"/>
        <v>100</v>
      </c>
      <c r="V41" s="1574" t="s">
        <v>8</v>
      </c>
      <c r="W41" s="1575">
        <f t="shared" si="11"/>
        <v>100</v>
      </c>
      <c r="X41" s="1568"/>
      <c r="Y41" s="3432"/>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32"/>
      <c r="Q42" s="1573">
        <f t="shared" si="13"/>
        <v>111</v>
      </c>
      <c r="R42" s="1578" t="s">
        <v>8</v>
      </c>
      <c r="S42" s="1579">
        <f t="shared" si="9"/>
        <v>100</v>
      </c>
      <c r="T42" s="1578" t="s">
        <v>8</v>
      </c>
      <c r="U42" s="1579">
        <f t="shared" si="10"/>
        <v>100</v>
      </c>
      <c r="V42" s="1578" t="s">
        <v>8</v>
      </c>
      <c r="W42" s="1579">
        <f t="shared" si="11"/>
        <v>100</v>
      </c>
      <c r="X42" s="1580"/>
      <c r="Y42" s="3432"/>
      <c r="Z42" s="1581">
        <f t="shared" si="12"/>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4"/>
      <c r="M43" s="2134"/>
      <c r="N43" s="2134"/>
      <c r="O43" s="2145"/>
      <c r="P43" s="3427" t="str">
        <f>A43</f>
        <v>成交单价</v>
      </c>
      <c r="Q43" s="3427"/>
      <c r="R43" s="3441">
        <f>E43</f>
        <v>0</v>
      </c>
      <c r="S43" s="3441"/>
      <c r="T43" s="3441">
        <f>G43</f>
        <v>0</v>
      </c>
      <c r="U43" s="3441"/>
      <c r="V43" s="3441">
        <f>I43</f>
        <v>0</v>
      </c>
      <c r="W43" s="3441"/>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4"/>
      <c r="M44" s="2134"/>
      <c r="N44" s="2134"/>
      <c r="O44" s="2145"/>
      <c r="P44" s="3427" t="str">
        <f>A44</f>
        <v>比较价格（元/平方米）</v>
      </c>
      <c r="Q44" s="3427"/>
      <c r="R44" s="3453" t="e">
        <f>ROUND(PRODUCT(R43,AA9:AA42),0)</f>
        <v>#DIV/0!</v>
      </c>
      <c r="S44" s="3453"/>
      <c r="T44" s="3453" t="e">
        <f>ROUND(PRODUCT(T43,AB9:AB42),0)</f>
        <v>#DIV/0!</v>
      </c>
      <c r="U44" s="3453"/>
      <c r="V44" s="3453" t="e">
        <f>ROUND(PRODUCT(V43,AC9:AC42),0)</f>
        <v>#DIV/0!</v>
      </c>
      <c r="W44" s="3453"/>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4"/>
      <c r="M45" s="2134"/>
      <c r="N45" s="2134"/>
      <c r="O45" s="2145"/>
      <c r="P45" s="3450" t="str">
        <f>A45</f>
        <v>估价对象XX用房的比较价格（楼面单价，元/平方米）</v>
      </c>
      <c r="Q45" s="3451"/>
      <c r="R45" s="3452" t="e">
        <f>ROUND(AVERAGE(R44:V44),0)</f>
        <v>#DIV/0!</v>
      </c>
      <c r="S45" s="3452"/>
      <c r="T45" s="3452"/>
      <c r="U45" s="3452"/>
      <c r="V45" s="3452"/>
      <c r="W45" s="3452"/>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2293</v>
      </c>
      <c r="E52" s="631" t="s">
        <v>562</v>
      </c>
      <c r="F52" s="1951" t="s">
        <v>563</v>
      </c>
      <c r="G52" s="3454" t="s">
        <v>2284</v>
      </c>
      <c r="H52" s="3455"/>
      <c r="I52" s="1952" t="s">
        <v>1948</v>
      </c>
      <c r="J52" s="1556" t="str">
        <f>项目基本情况!F41</f>
        <v>广东省汕头市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60846.74</v>
      </c>
      <c r="F53" s="1950" t="e">
        <f t="shared" ref="F53:F62" si="14">ROUND(B53*E53/10000,0)</f>
        <v>#DIV/0!</v>
      </c>
      <c r="G53" s="3456"/>
      <c r="H53" s="3457"/>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5">IF($C$52="北京市系数",I54,J54)</f>
        <v>0</v>
      </c>
      <c r="D54" s="2229">
        <v>0.25</v>
      </c>
      <c r="E54" s="639"/>
      <c r="F54" s="1950" t="e">
        <f t="shared" si="14"/>
        <v>#DIV/0!</v>
      </c>
      <c r="G54" s="3458" t="s">
        <v>2285</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6">ROUND($C$45*C55*D55,0)</f>
        <v>#DIV/0!</v>
      </c>
      <c r="C55" s="378">
        <f t="shared" si="15"/>
        <v>0</v>
      </c>
      <c r="D55" s="2229">
        <v>0.25</v>
      </c>
      <c r="E55" s="639"/>
      <c r="F55" s="1950" t="e">
        <f t="shared" si="14"/>
        <v>#DIV/0!</v>
      </c>
      <c r="G55" s="3458"/>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6"/>
        <v>#DIV/0!</v>
      </c>
      <c r="C56" s="378">
        <f t="shared" si="15"/>
        <v>0</v>
      </c>
      <c r="D56" s="2229">
        <v>0.25</v>
      </c>
      <c r="E56" s="639"/>
      <c r="F56" s="1950" t="e">
        <f t="shared" si="14"/>
        <v>#DIV/0!</v>
      </c>
      <c r="G56" s="3458"/>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6"/>
        <v>#DIV/0!</v>
      </c>
      <c r="C57" s="378">
        <f t="shared" si="15"/>
        <v>0</v>
      </c>
      <c r="D57" s="2229">
        <v>0.25</v>
      </c>
      <c r="E57" s="639"/>
      <c r="F57" s="1950" t="e">
        <f t="shared" si="14"/>
        <v>#DIV/0!</v>
      </c>
      <c r="G57" s="3458"/>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2327</v>
      </c>
      <c r="B58" s="638" t="e">
        <f t="shared" si="16"/>
        <v>#DIV/0!</v>
      </c>
      <c r="C58" s="378">
        <f t="shared" si="15"/>
        <v>0</v>
      </c>
      <c r="D58" s="2229">
        <v>0.25</v>
      </c>
      <c r="E58" s="641">
        <f>'数据-汇总表'!E11</f>
        <v>0</v>
      </c>
      <c r="F58" s="1950" t="e">
        <f t="shared" si="14"/>
        <v>#DIV/0!</v>
      </c>
      <c r="G58" s="1956" t="s">
        <v>2286</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6"/>
        <v>#DIV/0!</v>
      </c>
      <c r="C59" s="378">
        <f t="shared" si="15"/>
        <v>0</v>
      </c>
      <c r="D59" s="2229">
        <v>0.25</v>
      </c>
      <c r="E59" s="641">
        <f>'数据-汇总表'!E12</f>
        <v>0</v>
      </c>
      <c r="F59" s="1950" t="e">
        <f t="shared" si="14"/>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6"/>
        <v>#DIV/0!</v>
      </c>
      <c r="C60" s="378">
        <f t="shared" si="15"/>
        <v>0</v>
      </c>
      <c r="D60" s="2229">
        <v>0.25</v>
      </c>
      <c r="E60" s="641">
        <f>'数据-汇总表'!E13</f>
        <v>5864.9200000000019</v>
      </c>
      <c r="F60" s="1950" t="e">
        <f t="shared" si="14"/>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6"/>
        <v>#DIV/0!</v>
      </c>
      <c r="C61" s="378">
        <f t="shared" si="15"/>
        <v>0</v>
      </c>
      <c r="D61" s="2229">
        <v>0.25</v>
      </c>
      <c r="E61" s="641">
        <f>'数据-汇总表'!E14</f>
        <v>0</v>
      </c>
      <c r="F61" s="1950" t="e">
        <f t="shared" si="14"/>
        <v>#DIV/0!</v>
      </c>
      <c r="G61" s="1956" t="s">
        <v>2285</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6"/>
        <v>#DIV/0!</v>
      </c>
      <c r="C62" s="378">
        <f t="shared" si="15"/>
        <v>0</v>
      </c>
      <c r="D62" s="2229">
        <v>0.25</v>
      </c>
      <c r="E62" s="641">
        <f>'数据-汇总表'!E15</f>
        <v>0</v>
      </c>
      <c r="F62" s="1950" t="e">
        <f t="shared" si="14"/>
        <v>#DIV/0!</v>
      </c>
      <c r="G62" s="1957" t="s">
        <v>2286</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2294</v>
      </c>
      <c r="E63" s="643">
        <f>IF(B43="楼面地价",SUM(E53:E62),'数据-汇总表'!D3)</f>
        <v>15168.4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7">EDATE(D65,-3)</f>
        <v>43040</v>
      </c>
      <c r="F65" s="2823">
        <f t="shared" si="17"/>
        <v>42948</v>
      </c>
      <c r="G65" s="2823">
        <f t="shared" si="17"/>
        <v>42856</v>
      </c>
      <c r="H65" s="2823">
        <f t="shared" si="17"/>
        <v>42767</v>
      </c>
      <c r="I65" s="2823">
        <f t="shared" si="17"/>
        <v>42675</v>
      </c>
      <c r="J65" s="2823">
        <f t="shared" si="17"/>
        <v>42583</v>
      </c>
      <c r="K65" s="2823">
        <f t="shared" si="17"/>
        <v>42491</v>
      </c>
      <c r="L65" s="2823">
        <f t="shared" si="17"/>
        <v>42401</v>
      </c>
      <c r="M65" s="2823">
        <f t="shared" si="17"/>
        <v>42309</v>
      </c>
      <c r="N65" s="2823">
        <f t="shared" si="17"/>
        <v>42217</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92" t="s">
        <v>2533</v>
      </c>
      <c r="B67" s="646"/>
      <c r="C67" s="2818" t="str">
        <f>YEAR(C65)&amp;"-"&amp;ROUNDUP(MONTH(C65)/3,0)</f>
        <v>2018-2</v>
      </c>
      <c r="D67" s="2825" t="str">
        <f t="shared" ref="D67:N67" si="18">YEAR(D65)&amp;"-"&amp;ROUNDUP(MONTH(D65)/3,0)</f>
        <v>2018-1</v>
      </c>
      <c r="E67" s="2825" t="str">
        <f t="shared" si="18"/>
        <v>2017-4</v>
      </c>
      <c r="F67" s="2825" t="str">
        <f t="shared" si="18"/>
        <v>2017-3</v>
      </c>
      <c r="G67" s="2825" t="str">
        <f t="shared" si="18"/>
        <v>2017-2</v>
      </c>
      <c r="H67" s="2825" t="str">
        <f t="shared" si="18"/>
        <v>2017-1</v>
      </c>
      <c r="I67" s="2825" t="str">
        <f t="shared" si="18"/>
        <v>2016-4</v>
      </c>
      <c r="J67" s="2825" t="str">
        <f t="shared" si="18"/>
        <v>2016-3</v>
      </c>
      <c r="K67" s="2825" t="str">
        <f t="shared" si="18"/>
        <v>2016-2</v>
      </c>
      <c r="L67" s="2825" t="str">
        <f t="shared" si="18"/>
        <v>2016-1</v>
      </c>
      <c r="M67" s="2825" t="str">
        <f t="shared" si="18"/>
        <v>2015-4</v>
      </c>
      <c r="N67" s="2825" t="str">
        <f t="shared" si="18"/>
        <v>2015-3</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2649</v>
      </c>
      <c r="B68" s="479" t="str">
        <f>"北京市平均增长率"&amp;TEXT(基准地价!P24,"0.00%")</f>
        <v>北京市平均增长率1.35%</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2548</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2550</v>
      </c>
      <c r="C95" s="2622" t="s">
        <v>2551</v>
      </c>
      <c r="D95" s="2622" t="s">
        <v>2552</v>
      </c>
      <c r="E95" s="2622" t="s">
        <v>2553</v>
      </c>
      <c r="F95" s="2622" t="s">
        <v>2554</v>
      </c>
      <c r="G95" s="2622" t="s">
        <v>2555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116" t="str">
        <f t="shared" si="24"/>
        <v>(含)-</v>
      </c>
      <c r="L109" s="3117" t="str">
        <f t="shared" si="24"/>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76"/>
      <c r="G1" s="1402"/>
      <c r="H1" s="1402"/>
      <c r="I1" s="1402"/>
      <c r="J1" s="1402"/>
      <c r="K1" s="1402"/>
      <c r="L1" s="1882" t="s">
        <v>2238</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2933</v>
      </c>
      <c r="G3" s="1039">
        <f>IF(F3="宗地容积率",'数据-汇总表'!I4,IF(F3="估价对象容积率",'数据-汇总表'!I6,'数据-汇总表'!I7))</f>
        <v>4.0599999999999996</v>
      </c>
      <c r="H3" s="1415" t="s">
        <v>929</v>
      </c>
      <c r="I3" s="1040">
        <v>8</v>
      </c>
      <c r="J3" s="1411" t="s">
        <v>930</v>
      </c>
      <c r="K3" s="1402"/>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2"/>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148">
        <f>ROUND(IF(E2="商业",IF(F16="增加",C6+C16,C6-C16)),0)</f>
        <v>0</v>
      </c>
      <c r="E5" s="1417"/>
      <c r="F5" s="1417"/>
      <c r="G5" s="1418"/>
      <c r="H5" s="1418"/>
      <c r="I5" s="1418"/>
      <c r="J5" s="1419"/>
      <c r="K5" s="1595"/>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20"/>
      <c r="AE6" s="1420"/>
      <c r="AF6" s="1420"/>
      <c r="AG6" s="1420"/>
      <c r="AH6" s="1420"/>
      <c r="AI6" s="1420"/>
      <c r="AJ6" s="1421"/>
    </row>
    <row r="7" spans="1:39" ht="24">
      <c r="A7" s="3467" t="str">
        <f>IF(E2="商业",IF(C8="不临58条商业街","",2),"")</f>
        <v/>
      </c>
      <c r="B7" s="1428" t="s">
        <v>932</v>
      </c>
      <c r="C7" s="1043" t="e">
        <f>IF(C8="不临58条商业街",1,ROUND(1+(1.6*E8+1.2*E9+0.8*E10+0.4*E11)*C9,4))</f>
        <v>#DIV/0!</v>
      </c>
      <c r="D7" s="1429" t="s">
        <v>933</v>
      </c>
      <c r="E7" s="1044"/>
      <c r="F7" s="1430"/>
      <c r="G7" s="1431"/>
      <c r="H7" s="1431"/>
      <c r="I7" s="1431"/>
      <c r="J7" s="1432"/>
      <c r="K7" s="1596"/>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4.0599999999999996</v>
      </c>
      <c r="AA7" s="2192"/>
      <c r="AB7" s="2192"/>
      <c r="AC7" s="2193"/>
      <c r="AD7" s="2953"/>
      <c r="AE7" s="2953"/>
      <c r="AF7" s="2953"/>
      <c r="AG7" s="2953"/>
      <c r="AH7" s="2953"/>
      <c r="AI7" s="2953"/>
      <c r="AJ7" s="2954"/>
    </row>
    <row r="8" spans="1:39" ht="15">
      <c r="A8" s="3468"/>
      <c r="B8" s="1415" t="s">
        <v>934</v>
      </c>
      <c r="C8" s="1530"/>
      <c r="D8" s="1045" t="s">
        <v>935</v>
      </c>
      <c r="E8" s="1046" t="e">
        <f>ROUND(C11/E7,4)</f>
        <v>#DIV/0!</v>
      </c>
      <c r="F8" s="1433" t="s">
        <v>936</v>
      </c>
      <c r="G8" s="1434"/>
      <c r="H8" s="1434"/>
      <c r="I8" s="1434"/>
      <c r="J8" s="1435"/>
      <c r="K8" s="1402"/>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77" t="s">
        <v>2783</v>
      </c>
      <c r="X8" s="3478"/>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68"/>
      <c r="B9" s="1415" t="s">
        <v>937</v>
      </c>
      <c r="C9" s="1047">
        <f>SUMIF(修正!C59:C119,C8,修正!E59:E119)</f>
        <v>0</v>
      </c>
      <c r="D9" s="1048" t="s">
        <v>938</v>
      </c>
      <c r="E9" s="1048" t="e">
        <f>ROUND(C11/E7,4)</f>
        <v>#DIV/0!</v>
      </c>
      <c r="F9" s="1433" t="s">
        <v>939</v>
      </c>
      <c r="G9" s="1434"/>
      <c r="H9" s="1434"/>
      <c r="I9" s="1434"/>
      <c r="J9" s="1435"/>
      <c r="K9" s="1402"/>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76" t="s">
        <v>2779</v>
      </c>
      <c r="X9" s="2955" t="s">
        <v>2780</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68"/>
      <c r="B10" s="1415" t="s">
        <v>940</v>
      </c>
      <c r="C10" s="1048">
        <f>SUMIF(修正!C59:C119,C8,修正!F59:F119)</f>
        <v>0</v>
      </c>
      <c r="D10" s="1048" t="s">
        <v>941</v>
      </c>
      <c r="E10" s="1048" t="e">
        <f>ROUND(C11/E7,4)</f>
        <v>#DIV/0!</v>
      </c>
      <c r="F10" s="1433" t="s">
        <v>942</v>
      </c>
      <c r="G10" s="1434"/>
      <c r="H10" s="1434"/>
      <c r="I10" s="1434"/>
      <c r="J10" s="1435"/>
      <c r="K10" s="1402"/>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76"/>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68"/>
      <c r="B11" s="1436" t="s">
        <v>943</v>
      </c>
      <c r="C11" s="1049">
        <f>C10/4</f>
        <v>0</v>
      </c>
      <c r="D11" s="1049" t="s">
        <v>944</v>
      </c>
      <c r="E11" s="1049" t="e">
        <f>ROUND(C11/E7,4)</f>
        <v>#DIV/0!</v>
      </c>
      <c r="F11" s="1437" t="s">
        <v>945</v>
      </c>
      <c r="G11" s="1438"/>
      <c r="H11" s="1438"/>
      <c r="I11" s="1438"/>
      <c r="J11" s="1439"/>
      <c r="K11" s="1402"/>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76" t="s">
        <v>2781</v>
      </c>
      <c r="X11" s="1048" t="s">
        <v>2766</v>
      </c>
      <c r="Y11" s="1654">
        <f>$G$3</f>
        <v>4.0599999999999996</v>
      </c>
      <c r="Z11" s="1654">
        <f t="shared" ref="Z11:AJ11" si="3">$G$3</f>
        <v>4.0599999999999996</v>
      </c>
      <c r="AA11" s="1654">
        <f t="shared" si="3"/>
        <v>4.0599999999999996</v>
      </c>
      <c r="AB11" s="1654">
        <f t="shared" si="3"/>
        <v>4.0599999999999996</v>
      </c>
      <c r="AC11" s="1654">
        <f t="shared" si="3"/>
        <v>4.0599999999999996</v>
      </c>
      <c r="AD11" s="1654">
        <f t="shared" si="3"/>
        <v>4.0599999999999996</v>
      </c>
      <c r="AE11" s="1654">
        <f t="shared" si="3"/>
        <v>4.0599999999999996</v>
      </c>
      <c r="AF11" s="1654">
        <f t="shared" si="3"/>
        <v>4.0599999999999996</v>
      </c>
      <c r="AG11" s="1654">
        <f t="shared" si="3"/>
        <v>4.0599999999999996</v>
      </c>
      <c r="AH11" s="1654">
        <f t="shared" si="3"/>
        <v>4.0599999999999996</v>
      </c>
      <c r="AI11" s="1654">
        <f t="shared" si="3"/>
        <v>4.0599999999999996</v>
      </c>
      <c r="AJ11" s="1654">
        <f t="shared" si="3"/>
        <v>4.0599999999999996</v>
      </c>
    </row>
    <row r="12" spans="1:39" ht="25.5" thickBot="1">
      <c r="A12" s="3467" t="s">
        <v>1872</v>
      </c>
      <c r="B12" s="1440" t="s">
        <v>946</v>
      </c>
      <c r="C12" s="1043">
        <f>ROUND(C15*D15*E15*F15*G15*H15*I15*J15,4)</f>
        <v>1</v>
      </c>
      <c r="D12" s="1441" t="s">
        <v>947</v>
      </c>
      <c r="E12" s="1442"/>
      <c r="F12" s="1442"/>
      <c r="G12" s="1443"/>
      <c r="H12" s="1443"/>
      <c r="I12" s="1443"/>
      <c r="J12" s="1444"/>
      <c r="K12" s="1402"/>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76"/>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69"/>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61">
        <v>12</v>
      </c>
      <c r="S13" s="2950"/>
      <c r="T13" s="2961" t="e">
        <f t="shared" si="0"/>
        <v>#DIV/0!</v>
      </c>
      <c r="U13" s="2950"/>
      <c r="V13" s="2961" t="e">
        <f t="shared" si="1"/>
        <v>#DIV/0!</v>
      </c>
      <c r="W13" s="3476"/>
      <c r="X13" s="2958"/>
      <c r="Y13" s="2957">
        <f>(-0.163*(Y12^2)-0.59*Y12+7617)*(10^(-4))/Y11</f>
        <v>0.18761083743842366</v>
      </c>
      <c r="Z13" s="2957">
        <f t="shared" ref="Z13:AJ13" si="5">(-0.163*(Z12^2)-0.59*Z12+7617)*(10^(-4))/Z11</f>
        <v>0.18761083743842366</v>
      </c>
      <c r="AA13" s="2957">
        <f t="shared" si="5"/>
        <v>0.18761083743842366</v>
      </c>
      <c r="AB13" s="2957">
        <f t="shared" si="5"/>
        <v>0.18761083743842366</v>
      </c>
      <c r="AC13" s="2957">
        <f t="shared" si="5"/>
        <v>0.18761083743842366</v>
      </c>
      <c r="AD13" s="2957">
        <f t="shared" si="5"/>
        <v>0.18761083743842366</v>
      </c>
      <c r="AE13" s="2957">
        <f t="shared" si="5"/>
        <v>0.18761083743842366</v>
      </c>
      <c r="AF13" s="2957">
        <f t="shared" si="5"/>
        <v>0.18761083743842366</v>
      </c>
      <c r="AG13" s="2957">
        <f t="shared" si="5"/>
        <v>0.18761083743842366</v>
      </c>
      <c r="AH13" s="2957">
        <f t="shared" si="5"/>
        <v>0.18761083743842366</v>
      </c>
      <c r="AI13" s="2957">
        <f t="shared" si="5"/>
        <v>0.18761083743842366</v>
      </c>
      <c r="AJ13" s="2957">
        <f t="shared" si="5"/>
        <v>0.18761083743842366</v>
      </c>
    </row>
    <row r="14" spans="1:39" ht="12.75" customHeight="1" thickBot="1">
      <c r="A14" s="3469"/>
      <c r="B14" s="1452"/>
      <c r="C14" s="1453"/>
      <c r="D14" s="1454"/>
      <c r="E14" s="1454"/>
      <c r="F14" s="1455"/>
      <c r="G14" s="1456" t="s">
        <v>949</v>
      </c>
      <c r="H14" s="1457"/>
      <c r="I14" s="1458"/>
      <c r="J14" s="1459"/>
      <c r="K14" s="1402"/>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70"/>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61">
        <v>14</v>
      </c>
      <c r="S15" s="2950"/>
      <c r="T15" s="2961" t="e">
        <f t="shared" si="0"/>
        <v>#DIV/0!</v>
      </c>
      <c r="U15" s="2950"/>
      <c r="V15" s="2961" t="e">
        <f t="shared" si="1"/>
        <v>#DIV/0!</v>
      </c>
      <c r="W15" s="2189"/>
      <c r="X15" s="2189"/>
      <c r="Y15" s="2189"/>
      <c r="Z15" s="2189"/>
      <c r="AA15" s="2189"/>
      <c r="AB15" s="2189"/>
      <c r="AC15" s="2190"/>
    </row>
    <row r="16" spans="1:39" ht="24">
      <c r="A16" s="3467"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6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96" t="s">
        <v>956</v>
      </c>
      <c r="C18" s="2797">
        <f>SUMIF(修正!C18:C39,E3,修正!E18:E39)</f>
        <v>0</v>
      </c>
      <c r="D18" s="2798"/>
      <c r="E18" s="2799"/>
      <c r="F18" s="2800"/>
      <c r="G18" s="2794"/>
      <c r="H18" s="2794"/>
      <c r="I18" s="2794"/>
      <c r="J18" s="2801"/>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43244</v>
      </c>
      <c r="H19" s="1476" t="s">
        <v>2934</v>
      </c>
      <c r="I19" s="2808" t="str">
        <f>IF(H19="季度增幅（自定义）",SUMIF(N21:N24,E2,O21:O24),"")</f>
        <v/>
      </c>
      <c r="J19" s="1472"/>
      <c r="K19" s="1482"/>
      <c r="L19" s="3063" t="s">
        <v>2841</v>
      </c>
      <c r="M19" s="3064">
        <f>ROUND(SUMIF(地价!B2:F2,E2,地价!B22:F22),0)</f>
        <v>0</v>
      </c>
      <c r="N19" s="2810" t="s">
        <v>1677</v>
      </c>
      <c r="O19" s="2809">
        <f>ROUNDDOWN(DATEDIF(E19,G19,"M")/3,0)</f>
        <v>17</v>
      </c>
      <c r="P19" s="1597"/>
      <c r="R19" s="2949"/>
      <c r="S19" s="2949"/>
      <c r="T19" s="2949"/>
      <c r="U19" s="2949"/>
      <c r="V19" s="2949"/>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802" t="s">
        <v>1837</v>
      </c>
      <c r="B20" s="2803" t="s">
        <v>972</v>
      </c>
      <c r="C20" s="2804" t="e">
        <f>ROUND(POWER(1+G20,J20-I20)*(POWER(1+G20,I20)-1)/(POWER(1+G20,J20)-1),4)</f>
        <v>#DIV/0!</v>
      </c>
      <c r="D20" s="2805" t="s">
        <v>973</v>
      </c>
      <c r="E20" s="3119">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2"/>
      <c r="L20" s="3065" t="s">
        <v>2842</v>
      </c>
      <c r="M20" s="3066">
        <f>ROUND(SUMPRODUCT((地价!A4:A22=YEAR(G19)&amp;"-"&amp;ROUNDUP(MONTH(G19)/3,0))*(地价!B2:F2=E2)*(地价!B4:F22)),0)</f>
        <v>0</v>
      </c>
      <c r="N20" s="2813" t="s">
        <v>2645</v>
      </c>
      <c r="O20" s="2811" t="s">
        <v>2644</v>
      </c>
      <c r="P20" s="2812" t="s">
        <v>2650</v>
      </c>
      <c r="R20" s="2949"/>
      <c r="S20" s="2949"/>
      <c r="T20" s="2949"/>
      <c r="U20" s="2949"/>
      <c r="V20" s="2949"/>
      <c r="W20" s="2195"/>
      <c r="X20" s="2195"/>
      <c r="Y20" s="2195"/>
      <c r="Z20" s="2195"/>
      <c r="AA20" s="2195"/>
      <c r="AB20" s="2195"/>
      <c r="AC20" s="2195"/>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4.0999999999999996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49"/>
      <c r="S24" s="2949"/>
      <c r="T24" s="2949"/>
      <c r="U24" s="2949"/>
      <c r="V24" s="2949"/>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821" t="s">
        <v>2648</v>
      </c>
      <c r="O25" s="2195"/>
      <c r="P25" s="1542">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49"/>
      <c r="S26" s="2949"/>
      <c r="T26" s="2949"/>
      <c r="U26" s="2949"/>
      <c r="V26" s="2949"/>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49"/>
      <c r="S27" s="2949"/>
      <c r="T27" s="2949"/>
      <c r="U27" s="2949"/>
      <c r="V27" s="2949"/>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49"/>
      <c r="S28" s="2949"/>
      <c r="T28" s="2949"/>
      <c r="U28" s="2949"/>
      <c r="V28" s="2949"/>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49"/>
      <c r="S29" s="2949"/>
      <c r="T29" s="2949"/>
      <c r="U29" s="2949"/>
      <c r="V29" s="2949"/>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73" t="s">
        <v>2960</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74"/>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74"/>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75"/>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43" t="s">
        <v>1007</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48" t="s">
        <v>1008</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432" t="s">
        <v>1010</v>
      </c>
      <c r="C46" s="2454" t="s">
        <v>1011</v>
      </c>
      <c r="D46" s="2455" t="s">
        <v>1012</v>
      </c>
      <c r="E46" s="2456" t="s">
        <v>1014</v>
      </c>
      <c r="F46" s="2457" t="s">
        <v>2250</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432" t="str">
        <f>估价对象房地状况!C18</f>
        <v>估价对象周边道路状况、公共交通通达情况、停车便捷程度，综合评价交通便捷度较好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432">
        <f>估价对象房地状况!C19</f>
        <v>0</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121" t="s">
        <v>2936</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120" t="s">
        <v>2935</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64" t="s">
        <v>1027</v>
      </c>
      <c r="B53" s="2433" t="str">
        <f>估价对象房地状况!C21</f>
        <v>估价对象所在区域公共配套设施齐备情况</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64" t="s">
        <v>1028</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65" t="s">
        <v>1029</v>
      </c>
      <c r="B55" s="2436" t="str">
        <f>估价对象房地状况!C20</f>
        <v>区域自然环境：；人文环境；综合评价环境状况一般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48" t="s">
        <v>1030</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432"/>
      <c r="C57" s="2454" t="s">
        <v>1011</v>
      </c>
      <c r="D57" s="2455" t="s">
        <v>1012</v>
      </c>
      <c r="E57" s="2456" t="s">
        <v>1014</v>
      </c>
      <c r="F57" s="2457" t="s">
        <v>2251</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432" t="str">
        <f>估价对象房地状况!C18</f>
        <v>估价对象周边道路状况、公共交通通达情况、停车便捷程度，综合评价交通便捷度较好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432">
        <f>估价对象房地状况!C19</f>
        <v>0</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121" t="s">
        <v>2937</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120" t="s">
        <v>2935</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433" t="str">
        <f>估价对象房地状况!C21</f>
        <v>估价对象所在区域公共配套设施齐备情况</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65" t="s">
        <v>1029</v>
      </c>
      <c r="B66" s="2437" t="str">
        <f>估价对象房地状况!C20</f>
        <v>区域自然环境：；人文环境；综合评价环境状况一般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48" t="s">
        <v>1032</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432"/>
      <c r="C68" s="2454" t="s">
        <v>1011</v>
      </c>
      <c r="D68" s="2455" t="s">
        <v>1012</v>
      </c>
      <c r="E68" s="2456" t="s">
        <v>1014</v>
      </c>
      <c r="F68" s="2457" t="s">
        <v>2252</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435" t="str">
        <f>估价对象房地状况!C15</f>
        <v>估价对象周边居住用地比例、居住小区规模和社区发展完善程度，综合评价居住社区成熟度一般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432" t="str">
        <f>估价对象房地状况!C18</f>
        <v>估价对象周边道路状况、公共交通通达情况、停车便捷程度，综合评价交通便捷度较好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432">
        <f>估价对象房地状况!C19</f>
        <v>0</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433" t="str">
        <f>估价对象房地状况!C21</f>
        <v>估价对象所在区域公共配套设施齐备情况</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120" t="s">
        <v>2935</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435" t="str">
        <f>估价对象房地状况!C20</f>
        <v>区域自然环境：；人文环境；综合评价环境状况一般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65" t="s">
        <v>1036</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1037</v>
      </c>
      <c r="B78" s="2449">
        <f>1+E80</f>
        <v>1</v>
      </c>
      <c r="C78" s="2468"/>
      <c r="D78" s="2451"/>
      <c r="E78" s="2452"/>
      <c r="F78" s="2453"/>
      <c r="G78" s="2447"/>
      <c r="H78" s="2447"/>
      <c r="I78" s="2447"/>
      <c r="J78" s="1066"/>
      <c r="K78" s="1066"/>
      <c r="L78" s="1066"/>
      <c r="M78" s="1066"/>
      <c r="N78" s="1066"/>
      <c r="AC78" s="1406"/>
      <c r="AD78" s="1405"/>
      <c r="AJ78" s="1404"/>
      <c r="AN78" s="1405"/>
    </row>
    <row r="79" spans="1:40" ht="24">
      <c r="A79" s="1067" t="s">
        <v>1009</v>
      </c>
      <c r="B79" s="2432"/>
      <c r="C79" s="2454" t="s">
        <v>1011</v>
      </c>
      <c r="D79" s="2455" t="s">
        <v>1012</v>
      </c>
      <c r="E79" s="2456" t="s">
        <v>1014</v>
      </c>
      <c r="F79" s="2457" t="s">
        <v>2253</v>
      </c>
      <c r="G79" s="2455" t="s">
        <v>1015</v>
      </c>
      <c r="H79" s="2438" t="s">
        <v>2418</v>
      </c>
      <c r="I79" s="2455" t="s">
        <v>1013</v>
      </c>
      <c r="J79" s="2458" t="s">
        <v>1016</v>
      </c>
      <c r="K79" s="2458" t="s">
        <v>1017</v>
      </c>
      <c r="L79" s="2458" t="s">
        <v>1018</v>
      </c>
      <c r="M79" s="2458" t="s">
        <v>1019</v>
      </c>
      <c r="N79" s="2458" t="s">
        <v>1020</v>
      </c>
      <c r="AC79" s="1406"/>
      <c r="AD79" s="1405"/>
      <c r="AJ79" s="1404"/>
      <c r="AN79" s="1405"/>
    </row>
    <row r="80" spans="1:40" ht="36">
      <c r="A80" s="1067" t="s">
        <v>1038</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7" t="s">
        <v>1034</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7" t="s">
        <v>1023</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7" t="s">
        <v>1035</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7" t="s">
        <v>1027</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7" t="s">
        <v>1028</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7" t="s">
        <v>1026</v>
      </c>
      <c r="B86" s="3120" t="s">
        <v>2935</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1039</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471" t="s">
        <v>1634</v>
      </c>
      <c r="B90" s="3471"/>
      <c r="C90" s="3471"/>
      <c r="D90" s="3471"/>
      <c r="E90" s="3471"/>
      <c r="F90" s="3471"/>
      <c r="G90" s="3471"/>
      <c r="H90" s="3471"/>
      <c r="I90" s="3471"/>
      <c r="J90" s="3471"/>
      <c r="K90" s="2474"/>
      <c r="L90" s="2474"/>
      <c r="M90" s="2474"/>
      <c r="N90" s="2474"/>
    </row>
    <row r="91" spans="1:40">
      <c r="A91" s="3472" t="s">
        <v>1444</v>
      </c>
      <c r="B91" s="3472" t="s">
        <v>1635</v>
      </c>
      <c r="C91" s="1140" t="s">
        <v>1636</v>
      </c>
      <c r="D91" s="1141"/>
      <c r="E91" s="1141"/>
      <c r="F91" s="1141"/>
      <c r="G91" s="1141"/>
      <c r="H91" s="1141"/>
      <c r="I91" s="1141"/>
      <c r="J91" s="1142"/>
      <c r="K91" s="1134"/>
      <c r="L91" s="1134"/>
      <c r="M91" s="1134"/>
      <c r="N91" s="1134"/>
    </row>
    <row r="92" spans="1:40">
      <c r="A92" s="3472"/>
      <c r="B92" s="3472"/>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79"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8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8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8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8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8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8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8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79" t="s">
        <v>1638</v>
      </c>
      <c r="B101" s="1147" t="s">
        <v>906</v>
      </c>
      <c r="C101" s="1148">
        <f>$G$3</f>
        <v>4.0599999999999996</v>
      </c>
      <c r="D101" s="1148">
        <f t="shared" ref="D101:N101" si="31">$G$3</f>
        <v>4.0599999999999996</v>
      </c>
      <c r="E101" s="1148">
        <f t="shared" si="31"/>
        <v>4.0599999999999996</v>
      </c>
      <c r="F101" s="1148">
        <f t="shared" si="31"/>
        <v>4.0599999999999996</v>
      </c>
      <c r="G101" s="1148">
        <f t="shared" si="31"/>
        <v>4.0599999999999996</v>
      </c>
      <c r="H101" s="1148">
        <f t="shared" si="31"/>
        <v>4.0599999999999996</v>
      </c>
      <c r="I101" s="1148">
        <f t="shared" si="31"/>
        <v>4.0599999999999996</v>
      </c>
      <c r="J101" s="1148">
        <f t="shared" si="31"/>
        <v>4.0599999999999996</v>
      </c>
      <c r="K101" s="1148">
        <f t="shared" si="31"/>
        <v>4.0599999999999996</v>
      </c>
      <c r="L101" s="1148">
        <f t="shared" si="31"/>
        <v>4.0599999999999996</v>
      </c>
      <c r="M101" s="1148">
        <f t="shared" si="31"/>
        <v>4.0599999999999996</v>
      </c>
      <c r="N101" s="1148">
        <f t="shared" si="31"/>
        <v>4.0599999999999996</v>
      </c>
    </row>
    <row r="102" spans="1:14">
      <c r="A102" s="3480"/>
      <c r="B102" s="1143">
        <v>1</v>
      </c>
      <c r="C102" s="1144">
        <f>1.9362/C101</f>
        <v>0.47689655172413797</v>
      </c>
      <c r="D102" s="1144">
        <f>1.9362/D101</f>
        <v>0.47689655172413797</v>
      </c>
      <c r="E102" s="1144">
        <f>1.8629/E101</f>
        <v>0.45884236453201976</v>
      </c>
      <c r="F102" s="1144">
        <f>1.8629/F101</f>
        <v>0.45884236453201976</v>
      </c>
      <c r="G102" s="1144">
        <f>1.8629/G101</f>
        <v>0.45884236453201976</v>
      </c>
      <c r="H102" s="1144">
        <f>1.8629/H101</f>
        <v>0.45884236453201976</v>
      </c>
      <c r="I102" s="1144">
        <f>1.8629/I101</f>
        <v>0.45884236453201976</v>
      </c>
      <c r="J102" s="1144">
        <f>1.942/J101</f>
        <v>0.47832512315270942</v>
      </c>
      <c r="K102" s="1144">
        <f>1.942/K101</f>
        <v>0.47832512315270942</v>
      </c>
      <c r="L102" s="1144">
        <f>1.942/L101</f>
        <v>0.47832512315270942</v>
      </c>
      <c r="M102" s="1144">
        <f>1.942/M101</f>
        <v>0.47832512315270942</v>
      </c>
      <c r="N102" s="1144">
        <f>1.942/N101</f>
        <v>0.47832512315270942</v>
      </c>
    </row>
    <row r="103" spans="1:14">
      <c r="A103" s="3480"/>
      <c r="B103" s="1143">
        <v>2</v>
      </c>
      <c r="C103" s="1144">
        <f>1.4198/C101</f>
        <v>0.34970443349753699</v>
      </c>
      <c r="D103" s="1144">
        <f>1.4198/D101</f>
        <v>0.34970443349753699</v>
      </c>
      <c r="E103" s="1144">
        <f>1.3372/E101</f>
        <v>0.32935960591133007</v>
      </c>
      <c r="F103" s="1144">
        <f>1.3372/F101</f>
        <v>0.32935960591133007</v>
      </c>
      <c r="G103" s="1144">
        <f>1.3372/G101</f>
        <v>0.32935960591133007</v>
      </c>
      <c r="H103" s="1144">
        <f>1.3372/H101</f>
        <v>0.32935960591133007</v>
      </c>
      <c r="I103" s="1144">
        <f>1.3372/I101</f>
        <v>0.32935960591133007</v>
      </c>
      <c r="J103" s="1144">
        <f>1.2799/J101</f>
        <v>0.31524630541871923</v>
      </c>
      <c r="K103" s="1144">
        <f>1.2799/K101</f>
        <v>0.31524630541871923</v>
      </c>
      <c r="L103" s="1144">
        <f>1.2799/L101</f>
        <v>0.31524630541871923</v>
      </c>
      <c r="M103" s="1144">
        <f>1.2799/M101</f>
        <v>0.31524630541871923</v>
      </c>
      <c r="N103" s="1144">
        <f>1.2799/N101</f>
        <v>0.31524630541871923</v>
      </c>
    </row>
    <row r="104" spans="1:14">
      <c r="A104" s="3480"/>
      <c r="B104" s="1143">
        <v>3</v>
      </c>
      <c r="C104" s="1144">
        <f>1.1594/C101</f>
        <v>0.28556650246305421</v>
      </c>
      <c r="D104" s="1144">
        <f>1.1594/D101</f>
        <v>0.28556650246305421</v>
      </c>
      <c r="E104" s="1144">
        <f>1.0788/E101</f>
        <v>0.26571428571428574</v>
      </c>
      <c r="F104" s="1144">
        <f>1.0788/F101</f>
        <v>0.26571428571428574</v>
      </c>
      <c r="G104" s="1144">
        <f>1.0788/G101</f>
        <v>0.26571428571428574</v>
      </c>
      <c r="H104" s="1144">
        <f>1.0788/H101</f>
        <v>0.26571428571428574</v>
      </c>
      <c r="I104" s="1144">
        <f>1.0788/I101</f>
        <v>0.26571428571428574</v>
      </c>
      <c r="J104" s="1144">
        <f>1.0072/J101</f>
        <v>0.24807881773399021</v>
      </c>
      <c r="K104" s="1144">
        <f>1.0072/K101</f>
        <v>0.24807881773399021</v>
      </c>
      <c r="L104" s="1144">
        <f>1.0072/L101</f>
        <v>0.24807881773399021</v>
      </c>
      <c r="M104" s="1144">
        <f>1.0072/M101</f>
        <v>0.24807881773399021</v>
      </c>
      <c r="N104" s="1144">
        <f>1.0072/N101</f>
        <v>0.24807881773399021</v>
      </c>
    </row>
    <row r="105" spans="1:14">
      <c r="A105" s="3480"/>
      <c r="B105" s="1143">
        <v>4</v>
      </c>
      <c r="C105" s="1144">
        <f>0.9622/C101</f>
        <v>0.23699507389162566</v>
      </c>
      <c r="D105" s="1144">
        <f>0.9622/D101</f>
        <v>0.23699507389162566</v>
      </c>
      <c r="E105" s="1144">
        <f>0.8656/E101</f>
        <v>0.21320197044334979</v>
      </c>
      <c r="F105" s="1144">
        <f>0.8656/F101</f>
        <v>0.21320197044334979</v>
      </c>
      <c r="G105" s="1144">
        <f>0.8656/G101</f>
        <v>0.21320197044334979</v>
      </c>
      <c r="H105" s="1144">
        <f>0.8656/H101</f>
        <v>0.21320197044334979</v>
      </c>
      <c r="I105" s="1144">
        <f>0.8656/I101</f>
        <v>0.21320197044334979</v>
      </c>
      <c r="J105" s="1144">
        <f>0.7525/J101</f>
        <v>0.18534482758620691</v>
      </c>
      <c r="K105" s="1144">
        <f>0.7525/K101</f>
        <v>0.18534482758620691</v>
      </c>
      <c r="L105" s="1144">
        <f>0.7525/L101</f>
        <v>0.18534482758620691</v>
      </c>
      <c r="M105" s="1144">
        <f>0.7525/M101</f>
        <v>0.18534482758620691</v>
      </c>
      <c r="N105" s="1144">
        <f>0.7525/N101</f>
        <v>0.18534482758620691</v>
      </c>
    </row>
    <row r="106" spans="1:14">
      <c r="A106" s="3480"/>
      <c r="B106" s="1143">
        <v>5</v>
      </c>
      <c r="C106" s="1144">
        <f>0.8417/C101</f>
        <v>0.20731527093596061</v>
      </c>
      <c r="D106" s="1144">
        <f>0.8417/D101</f>
        <v>0.20731527093596061</v>
      </c>
      <c r="E106" s="1144">
        <f>0.7371/E101</f>
        <v>0.18155172413793105</v>
      </c>
      <c r="F106" s="1144">
        <f>0.7371/F101</f>
        <v>0.18155172413793105</v>
      </c>
      <c r="G106" s="1144">
        <f>0.7371/G101</f>
        <v>0.18155172413793105</v>
      </c>
      <c r="H106" s="1144">
        <f>0.7371/H101</f>
        <v>0.18155172413793105</v>
      </c>
      <c r="I106" s="1144">
        <f>0.7371/I101</f>
        <v>0.18155172413793105</v>
      </c>
      <c r="J106" s="1144">
        <f>0.5659/J101</f>
        <v>0.13938423645320197</v>
      </c>
      <c r="K106" s="1144">
        <f>0.5659/K101</f>
        <v>0.13938423645320197</v>
      </c>
      <c r="L106" s="1144">
        <f>0.5659/L101</f>
        <v>0.13938423645320197</v>
      </c>
      <c r="M106" s="1144">
        <f>0.5659/M101</f>
        <v>0.13938423645320197</v>
      </c>
      <c r="N106" s="1144">
        <f>0.5659/N101</f>
        <v>0.13938423645320197</v>
      </c>
    </row>
    <row r="107" spans="1:14">
      <c r="A107" s="3480"/>
      <c r="B107" s="1143">
        <v>6</v>
      </c>
      <c r="C107" s="1144">
        <f>0.7608/C101</f>
        <v>0.18738916256157637</v>
      </c>
      <c r="D107" s="1144">
        <f>0.7608/D101</f>
        <v>0.18738916256157637</v>
      </c>
      <c r="E107" s="1144">
        <f>0.6482/E101</f>
        <v>0.15965517241379312</v>
      </c>
      <c r="F107" s="1144">
        <f>0.6482/F101</f>
        <v>0.15965517241379312</v>
      </c>
      <c r="G107" s="1144">
        <f>0.6482/G101</f>
        <v>0.15965517241379312</v>
      </c>
      <c r="H107" s="1144">
        <f>0.6482/H101</f>
        <v>0.15965517241379312</v>
      </c>
      <c r="I107" s="1144">
        <f>0.6482/I101</f>
        <v>0.15965517241379312</v>
      </c>
      <c r="J107" s="1144">
        <f>0.4525/J101</f>
        <v>0.11145320197044337</v>
      </c>
      <c r="K107" s="1144">
        <f>0.4525/K101</f>
        <v>0.11145320197044337</v>
      </c>
      <c r="L107" s="1144">
        <f>0.4525/L101</f>
        <v>0.11145320197044337</v>
      </c>
      <c r="M107" s="1144">
        <f>0.4525/M101</f>
        <v>0.11145320197044337</v>
      </c>
      <c r="N107" s="1144">
        <f>0.4525/N101</f>
        <v>0.11145320197044337</v>
      </c>
    </row>
    <row r="108" spans="1:14">
      <c r="A108" s="3480"/>
      <c r="B108" s="348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81"/>
      <c r="B109" s="3483"/>
      <c r="C109" s="1146">
        <f>(-0.163*(C108^2)-0.59*C108+7617)*(10^(-4))/C101</f>
        <v>0.18723763546798031</v>
      </c>
      <c r="D109" s="1146">
        <f>(-0.163*(D108^2)-0.59*D108+7617)*(10^(-4))/D101</f>
        <v>0.18723763546798031</v>
      </c>
      <c r="E109" s="1146">
        <f>(-0.161*(E108^2)-7.509*E108+6533)*(10^(-4))/E101</f>
        <v>0.15917793103448277</v>
      </c>
      <c r="F109" s="1146">
        <f>(-0.161*(F108^2)-7.509*F108+6533)*(10^(-4))/F101</f>
        <v>0.15917793103448277</v>
      </c>
      <c r="G109" s="1146">
        <f>(-0.161*(G108^2)-7.509*G108+6533)*(10^(-4))/G101</f>
        <v>0.15917793103448277</v>
      </c>
      <c r="H109" s="1146">
        <f>(-0.161*(H108^2)-7.509*H108+6533)*(10^(-4))/H101</f>
        <v>0.15917793103448277</v>
      </c>
      <c r="I109" s="1146">
        <f>(-0.161*(I108^2)-7.509*I108+6533)*(10^(-4))/I101</f>
        <v>0.15917793103448277</v>
      </c>
      <c r="J109" s="1146">
        <f>(-0.214*(J108^2)-21.991*J108+4665)*(10^(-4))/J101</f>
        <v>0.11023093596059115</v>
      </c>
      <c r="K109" s="1146">
        <f>(-0.214*(K108^2)-21.991*K108+4665)*(10^(-4))/K101</f>
        <v>0.11023093596059115</v>
      </c>
      <c r="L109" s="1146">
        <f>(-0.214*(L108^2)-21.991*L108+4665)*(10^(-4))/L101</f>
        <v>0.11023093596059115</v>
      </c>
      <c r="M109" s="1146">
        <f>(-0.214*(M108^2)-21.991*M108+4665)*(10^(-4))/M101</f>
        <v>0.11023093596059115</v>
      </c>
      <c r="N109" s="1146">
        <f>(-0.214*(N108^2)-21.991*N108+4665)*(10^(-4))/N101</f>
        <v>0.11023093596059115</v>
      </c>
    </row>
    <row r="110" spans="1:14">
      <c r="A110" s="3466" t="s">
        <v>1640</v>
      </c>
      <c r="B110" s="3466"/>
      <c r="C110" s="3466"/>
      <c r="D110" s="3466"/>
      <c r="E110" s="3466"/>
      <c r="F110" s="3466"/>
      <c r="G110" s="3466"/>
      <c r="H110" s="3466"/>
      <c r="I110" s="3466"/>
      <c r="J110" s="3466"/>
      <c r="K110" s="2472"/>
      <c r="L110" s="2472"/>
      <c r="M110" s="2472"/>
      <c r="N110" s="2472"/>
    </row>
    <row r="112" spans="1:14" ht="12.75" thickBot="1"/>
    <row r="113" spans="1:13" ht="25.5" thickBot="1">
      <c r="A113" s="1016" t="s">
        <v>896</v>
      </c>
      <c r="B113" s="2475">
        <f>G3</f>
        <v>4.0599999999999996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0.89529999999999998</v>
      </c>
      <c r="C115" s="1030">
        <f>B115</f>
        <v>0.89529999999999998</v>
      </c>
      <c r="D115" s="1030">
        <f>ROUND(0.8331-0.0109*B113,4)</f>
        <v>0.78879999999999995</v>
      </c>
      <c r="E115" s="1030">
        <f>D115</f>
        <v>0.78879999999999995</v>
      </c>
      <c r="F115" s="1030">
        <f>E115</f>
        <v>0.78879999999999995</v>
      </c>
      <c r="G115" s="1030">
        <f>F115</f>
        <v>0.78879999999999995</v>
      </c>
      <c r="H115" s="1030">
        <f>G115</f>
        <v>0.78879999999999995</v>
      </c>
      <c r="I115" s="1030">
        <f>ROUND(0.689-0.0155*B113,4)</f>
        <v>0.62609999999999999</v>
      </c>
      <c r="J115" s="1030">
        <f t="shared" ref="J115:M118" si="33">I115</f>
        <v>0.62609999999999999</v>
      </c>
      <c r="K115" s="1030">
        <f t="shared" si="33"/>
        <v>0.62609999999999999</v>
      </c>
      <c r="L115" s="1030">
        <f t="shared" si="33"/>
        <v>0.62609999999999999</v>
      </c>
      <c r="M115" s="1031">
        <f t="shared" si="33"/>
        <v>0.62609999999999999</v>
      </c>
    </row>
    <row r="116" spans="1:13" ht="12.75">
      <c r="A116" s="1029" t="s">
        <v>901</v>
      </c>
      <c r="B116" s="1030">
        <f>ROUND(0.949-0.012*B113,4)</f>
        <v>0.90029999999999999</v>
      </c>
      <c r="C116" s="1030">
        <f>B116</f>
        <v>0.90029999999999999</v>
      </c>
      <c r="D116" s="1030">
        <f>ROUND(0.8567-0.013*B113,4)</f>
        <v>0.80389999999999995</v>
      </c>
      <c r="E116" s="1030">
        <f t="shared" ref="E116:H117" si="34">D116</f>
        <v>0.80389999999999995</v>
      </c>
      <c r="F116" s="1030">
        <f t="shared" si="34"/>
        <v>0.80389999999999995</v>
      </c>
      <c r="G116" s="1030">
        <f t="shared" si="34"/>
        <v>0.80389999999999995</v>
      </c>
      <c r="H116" s="1030">
        <f t="shared" si="34"/>
        <v>0.80389999999999995</v>
      </c>
      <c r="I116" s="1030">
        <f>ROUND(0.7694-0.014*B113,4)</f>
        <v>0.71260000000000001</v>
      </c>
      <c r="J116" s="1030">
        <f t="shared" si="33"/>
        <v>0.71260000000000001</v>
      </c>
      <c r="K116" s="1030">
        <f t="shared" si="33"/>
        <v>0.71260000000000001</v>
      </c>
      <c r="L116" s="1030">
        <f t="shared" si="33"/>
        <v>0.71260000000000001</v>
      </c>
      <c r="M116" s="1031">
        <f t="shared" si="33"/>
        <v>0.71260000000000001</v>
      </c>
    </row>
    <row r="117" spans="1:13" ht="12.75">
      <c r="A117" s="1032" t="s">
        <v>902</v>
      </c>
      <c r="B117" s="1030">
        <f>ROUND(0.8808-0.006*B113,4)</f>
        <v>0.85640000000000005</v>
      </c>
      <c r="C117" s="1030">
        <f>B117</f>
        <v>0.85640000000000005</v>
      </c>
      <c r="D117" s="1030">
        <f>ROUND(0.8748-0.008*B113,4)</f>
        <v>0.84230000000000005</v>
      </c>
      <c r="E117" s="1030">
        <f t="shared" si="34"/>
        <v>0.84230000000000005</v>
      </c>
      <c r="F117" s="1030">
        <f t="shared" si="34"/>
        <v>0.84230000000000005</v>
      </c>
      <c r="G117" s="1030">
        <f t="shared" si="34"/>
        <v>0.84230000000000005</v>
      </c>
      <c r="H117" s="1030">
        <f t="shared" si="34"/>
        <v>0.84230000000000005</v>
      </c>
      <c r="I117" s="1030">
        <f>ROUND(0.7412-0.0095*B113,4)</f>
        <v>0.7026</v>
      </c>
      <c r="J117" s="1030">
        <f t="shared" si="33"/>
        <v>0.7026</v>
      </c>
      <c r="K117" s="1030">
        <f t="shared" si="33"/>
        <v>0.7026</v>
      </c>
      <c r="L117" s="1030">
        <f t="shared" si="33"/>
        <v>0.7026</v>
      </c>
      <c r="M117" s="1031">
        <f t="shared" si="33"/>
        <v>0.7026</v>
      </c>
    </row>
    <row r="118" spans="1:13" ht="13.5" thickBot="1">
      <c r="A118" s="1033" t="s">
        <v>903</v>
      </c>
      <c r="B118" s="1034">
        <f>ROUND(0.7275-0.01*B113,4)</f>
        <v>0.68689999999999996</v>
      </c>
      <c r="C118" s="1034">
        <f>B118</f>
        <v>0.68689999999999996</v>
      </c>
      <c r="D118" s="1034">
        <f>ROUND(0.7043-0.012*B113,4)</f>
        <v>0.65559999999999996</v>
      </c>
      <c r="E118" s="1034">
        <f>D118</f>
        <v>0.65559999999999996</v>
      </c>
      <c r="F118" s="1034">
        <f>E118</f>
        <v>0.65559999999999996</v>
      </c>
      <c r="G118" s="1034">
        <f>ROUND(0.6299-0.0122*B113,4)</f>
        <v>0.58040000000000003</v>
      </c>
      <c r="H118" s="1034">
        <f>G118</f>
        <v>0.58040000000000003</v>
      </c>
      <c r="I118" s="1034">
        <f>ROUND(0.5667-0.0136*B113,4)</f>
        <v>0.51149999999999995</v>
      </c>
      <c r="J118" s="1034">
        <f t="shared" si="33"/>
        <v>0.51149999999999995</v>
      </c>
      <c r="K118" s="1034">
        <f t="shared" si="33"/>
        <v>0.51149999999999995</v>
      </c>
      <c r="L118" s="1034">
        <f t="shared" si="33"/>
        <v>0.51149999999999995</v>
      </c>
      <c r="M118" s="1035">
        <f t="shared" si="33"/>
        <v>0.51149999999999995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72" t="s">
        <v>1008</v>
      </c>
      <c r="B18" s="1154" t="s">
        <v>1447</v>
      </c>
      <c r="C18" s="1131" t="s">
        <v>1448</v>
      </c>
      <c r="D18" s="1132"/>
      <c r="E18" s="1154">
        <v>1</v>
      </c>
      <c r="F18" s="1133" t="s">
        <v>1449</v>
      </c>
      <c r="G18" s="1134"/>
      <c r="H18" s="1105"/>
      <c r="I18" s="1105"/>
    </row>
    <row r="19" spans="1:9" s="1600" customFormat="1" ht="19.5" customHeight="1">
      <c r="A19" s="3472"/>
      <c r="B19" s="3472" t="s">
        <v>1450</v>
      </c>
      <c r="C19" s="1131" t="s">
        <v>1451</v>
      </c>
      <c r="D19" s="1132"/>
      <c r="E19" s="1154">
        <v>0.9</v>
      </c>
      <c r="F19" s="1133" t="s">
        <v>1452</v>
      </c>
      <c r="G19" s="1134"/>
      <c r="H19" s="1105"/>
      <c r="I19" s="1105"/>
    </row>
    <row r="20" spans="1:9" s="1600" customFormat="1" ht="19.5" customHeight="1">
      <c r="A20" s="3472"/>
      <c r="B20" s="3472"/>
      <c r="C20" s="1131" t="s">
        <v>1453</v>
      </c>
      <c r="D20" s="1132"/>
      <c r="E20" s="1154">
        <v>1.1000000000000001</v>
      </c>
      <c r="F20" s="1133" t="s">
        <v>1454</v>
      </c>
      <c r="G20" s="1134"/>
      <c r="H20" s="1105"/>
      <c r="I20" s="1105"/>
    </row>
    <row r="21" spans="1:9" s="1600" customFormat="1" ht="19.5" customHeight="1">
      <c r="A21" s="3472"/>
      <c r="B21" s="3472"/>
      <c r="C21" s="1131" t="s">
        <v>1455</v>
      </c>
      <c r="D21" s="1132"/>
      <c r="E21" s="1154">
        <v>0.8</v>
      </c>
      <c r="F21" s="1133" t="s">
        <v>1456</v>
      </c>
      <c r="G21" s="1134"/>
      <c r="H21" s="1105"/>
      <c r="I21" s="1105"/>
    </row>
    <row r="22" spans="1:9" s="1600" customFormat="1" ht="19.5" customHeight="1">
      <c r="A22" s="3472"/>
      <c r="B22" s="3472"/>
      <c r="C22" s="1131" t="s">
        <v>1457</v>
      </c>
      <c r="D22" s="1132"/>
      <c r="E22" s="1154">
        <v>0.5</v>
      </c>
      <c r="F22" s="1133"/>
      <c r="G22" s="1134"/>
      <c r="H22" s="1105"/>
      <c r="I22" s="1105"/>
    </row>
    <row r="23" spans="1:9" s="1600" customFormat="1" ht="19.5" customHeight="1">
      <c r="A23" s="3472" t="s">
        <v>1030</v>
      </c>
      <c r="B23" s="1154" t="s">
        <v>1447</v>
      </c>
      <c r="C23" s="1131" t="s">
        <v>1458</v>
      </c>
      <c r="D23" s="1132"/>
      <c r="E23" s="1154">
        <v>1</v>
      </c>
      <c r="F23" s="1133" t="s">
        <v>1459</v>
      </c>
      <c r="G23" s="1134"/>
      <c r="H23" s="1105"/>
      <c r="I23" s="1105"/>
    </row>
    <row r="24" spans="1:9" s="1600" customFormat="1" ht="19.5" customHeight="1">
      <c r="A24" s="3472"/>
      <c r="B24" s="3472" t="s">
        <v>1450</v>
      </c>
      <c r="C24" s="1131" t="s">
        <v>1460</v>
      </c>
      <c r="D24" s="1132"/>
      <c r="E24" s="1154">
        <v>0.5</v>
      </c>
      <c r="F24" s="1133"/>
      <c r="G24" s="1134"/>
      <c r="H24" s="1105"/>
      <c r="I24" s="1105"/>
    </row>
    <row r="25" spans="1:9" s="1600" customFormat="1" ht="19.5" customHeight="1">
      <c r="A25" s="3472"/>
      <c r="B25" s="3472"/>
      <c r="C25" s="1131" t="s">
        <v>1461</v>
      </c>
      <c r="D25" s="1132"/>
      <c r="E25" s="1154">
        <v>1.1000000000000001</v>
      </c>
      <c r="F25" s="1133"/>
      <c r="G25" s="1134"/>
      <c r="H25" s="1105"/>
      <c r="I25" s="1105"/>
    </row>
    <row r="26" spans="1:9" s="1600" customFormat="1" ht="19.5" customHeight="1">
      <c r="A26" s="3472"/>
      <c r="B26" s="3472"/>
      <c r="C26" s="1131" t="s">
        <v>1462</v>
      </c>
      <c r="D26" s="1132"/>
      <c r="E26" s="1154">
        <v>1.1000000000000001</v>
      </c>
      <c r="F26" s="1133"/>
      <c r="G26" s="1134"/>
      <c r="H26" s="1105"/>
      <c r="I26" s="1105"/>
    </row>
    <row r="27" spans="1:9" s="1600" customFormat="1" ht="19.5" customHeight="1">
      <c r="A27" s="3472"/>
      <c r="B27" s="3472"/>
      <c r="C27" s="1131" t="s">
        <v>1463</v>
      </c>
      <c r="D27" s="1132"/>
      <c r="E27" s="1154">
        <v>0.9</v>
      </c>
      <c r="F27" s="1133" t="s">
        <v>1464</v>
      </c>
      <c r="G27" s="1134"/>
      <c r="H27" s="1105"/>
      <c r="I27" s="1105"/>
    </row>
    <row r="28" spans="1:9" s="1600" customFormat="1" ht="19.5" customHeight="1">
      <c r="A28" s="3472"/>
      <c r="B28" s="3472"/>
      <c r="C28" s="1131" t="s">
        <v>1465</v>
      </c>
      <c r="D28" s="1132"/>
      <c r="E28" s="1154">
        <v>0.9</v>
      </c>
      <c r="F28" s="1133" t="s">
        <v>1466</v>
      </c>
      <c r="G28" s="1134"/>
      <c r="H28" s="1105"/>
      <c r="I28" s="1105"/>
    </row>
    <row r="29" spans="1:9" s="1600" customFormat="1" ht="19.5" customHeight="1">
      <c r="A29" s="3472"/>
      <c r="B29" s="3472"/>
      <c r="C29" s="1131" t="s">
        <v>1467</v>
      </c>
      <c r="D29" s="1132"/>
      <c r="E29" s="1154">
        <v>0.9</v>
      </c>
      <c r="F29" s="1133" t="s">
        <v>1468</v>
      </c>
      <c r="G29" s="1134"/>
      <c r="H29" s="1105"/>
      <c r="I29" s="1105"/>
    </row>
    <row r="30" spans="1:9" s="1600" customFormat="1" ht="19.5" customHeight="1">
      <c r="A30" s="3472"/>
      <c r="B30" s="3472"/>
      <c r="C30" s="1131" t="s">
        <v>1469</v>
      </c>
      <c r="D30" s="1132"/>
      <c r="E30" s="1154">
        <v>0.9</v>
      </c>
      <c r="F30" s="1133" t="s">
        <v>1470</v>
      </c>
      <c r="G30" s="1134"/>
      <c r="H30" s="1105"/>
      <c r="I30" s="1105"/>
    </row>
    <row r="31" spans="1:9" s="1600" customFormat="1" ht="19.5" customHeight="1">
      <c r="A31" s="3472"/>
      <c r="B31" s="3472"/>
      <c r="C31" s="1131" t="s">
        <v>1471</v>
      </c>
      <c r="D31" s="1132"/>
      <c r="E31" s="1154">
        <v>0.8</v>
      </c>
      <c r="F31" s="1133" t="s">
        <v>1472</v>
      </c>
      <c r="G31" s="1134"/>
      <c r="H31" s="1105"/>
      <c r="I31" s="1105"/>
    </row>
    <row r="32" spans="1:9" s="1600" customFormat="1" ht="19.5" customHeight="1">
      <c r="A32" s="3472"/>
      <c r="B32" s="3472"/>
      <c r="C32" s="1131" t="s">
        <v>1473</v>
      </c>
      <c r="D32" s="1132"/>
      <c r="E32" s="1154">
        <v>0.8</v>
      </c>
      <c r="F32" s="1133" t="s">
        <v>1474</v>
      </c>
      <c r="G32" s="1134"/>
      <c r="H32" s="1105"/>
      <c r="I32" s="1105"/>
    </row>
    <row r="33" spans="1:9" s="1600" customFormat="1" ht="19.5" customHeight="1">
      <c r="A33" s="3472" t="s">
        <v>1475</v>
      </c>
      <c r="B33" s="1154" t="s">
        <v>1447</v>
      </c>
      <c r="C33" s="1131" t="s">
        <v>1476</v>
      </c>
      <c r="D33" s="1132"/>
      <c r="E33" s="1154">
        <v>1</v>
      </c>
      <c r="F33" s="1133" t="s">
        <v>1477</v>
      </c>
      <c r="G33" s="1134"/>
      <c r="H33" s="1105"/>
      <c r="I33" s="1105"/>
    </row>
    <row r="34" spans="1:9" s="1600" customFormat="1" ht="19.5" customHeight="1">
      <c r="A34" s="3472"/>
      <c r="B34" s="1154" t="s">
        <v>1450</v>
      </c>
      <c r="C34" s="1131" t="s">
        <v>1478</v>
      </c>
      <c r="D34" s="1132"/>
      <c r="E34" s="1154">
        <v>1.5</v>
      </c>
      <c r="F34" s="1133" t="s">
        <v>1479</v>
      </c>
      <c r="G34" s="1134"/>
      <c r="H34" s="1105"/>
      <c r="I34" s="1105"/>
    </row>
    <row r="35" spans="1:9" s="1600" customFormat="1" ht="19.5" customHeight="1">
      <c r="A35" s="3472" t="s">
        <v>1433</v>
      </c>
      <c r="B35" s="1154" t="s">
        <v>1447</v>
      </c>
      <c r="C35" s="1131" t="s">
        <v>1480</v>
      </c>
      <c r="D35" s="1132"/>
      <c r="E35" s="1154">
        <v>1</v>
      </c>
      <c r="F35" s="1133" t="s">
        <v>1481</v>
      </c>
      <c r="G35" s="1134"/>
      <c r="H35" s="1105"/>
      <c r="I35" s="1105"/>
    </row>
    <row r="36" spans="1:9" s="1600" customFormat="1" ht="19.5" customHeight="1">
      <c r="A36" s="3472"/>
      <c r="B36" s="3472" t="s">
        <v>1450</v>
      </c>
      <c r="C36" s="1131" t="s">
        <v>1482</v>
      </c>
      <c r="D36" s="1132"/>
      <c r="E36" s="1154">
        <v>1</v>
      </c>
      <c r="F36" s="1133" t="s">
        <v>1483</v>
      </c>
      <c r="G36" s="1134"/>
      <c r="H36" s="1105"/>
      <c r="I36" s="1105"/>
    </row>
    <row r="37" spans="1:9" s="1600" customFormat="1" ht="19.5" customHeight="1">
      <c r="A37" s="3472"/>
      <c r="B37" s="3472"/>
      <c r="C37" s="1131" t="s">
        <v>1484</v>
      </c>
      <c r="D37" s="1132"/>
      <c r="E37" s="1154">
        <v>1.5</v>
      </c>
      <c r="F37" s="1133" t="s">
        <v>1485</v>
      </c>
      <c r="G37" s="1134"/>
      <c r="H37" s="1105"/>
      <c r="I37" s="1105"/>
    </row>
    <row r="38" spans="1:9" s="1600" customFormat="1" ht="19.5" customHeight="1">
      <c r="A38" s="3472"/>
      <c r="B38" s="3472"/>
      <c r="C38" s="1131" t="s">
        <v>1486</v>
      </c>
      <c r="D38" s="1132"/>
      <c r="E38" s="1154">
        <v>1</v>
      </c>
      <c r="F38" s="1133" t="s">
        <v>1487</v>
      </c>
      <c r="G38" s="1134"/>
      <c r="H38" s="1105"/>
      <c r="I38" s="1105"/>
    </row>
    <row r="39" spans="1:9" s="1600" customFormat="1" ht="19.5" customHeight="1">
      <c r="A39" s="3472"/>
      <c r="B39" s="347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72" t="s">
        <v>1502</v>
      </c>
      <c r="C61" s="1068" t="s">
        <v>1503</v>
      </c>
      <c r="D61" s="1068" t="s">
        <v>1504</v>
      </c>
      <c r="E61" s="1139">
        <v>0.5</v>
      </c>
      <c r="F61" s="1154">
        <v>80</v>
      </c>
      <c r="H61" s="1105">
        <f>SUMIF(C59:C119,基准地价!C8,E59:E119)</f>
        <v>0</v>
      </c>
    </row>
    <row r="62" spans="1:8" s="1105" customFormat="1" ht="24">
      <c r="A62" s="1154">
        <v>2</v>
      </c>
      <c r="B62" s="3472"/>
      <c r="C62" s="1068" t="s">
        <v>1505</v>
      </c>
      <c r="D62" s="1068" t="s">
        <v>1506</v>
      </c>
      <c r="E62" s="1139">
        <v>0.5</v>
      </c>
      <c r="F62" s="1154">
        <v>80</v>
      </c>
    </row>
    <row r="63" spans="1:8" s="1105" customFormat="1" ht="36">
      <c r="A63" s="1154">
        <v>3</v>
      </c>
      <c r="B63" s="3472"/>
      <c r="C63" s="1068" t="s">
        <v>1507</v>
      </c>
      <c r="D63" s="1068" t="s">
        <v>1508</v>
      </c>
      <c r="E63" s="1139">
        <v>0.5</v>
      </c>
      <c r="F63" s="1154">
        <v>80</v>
      </c>
    </row>
    <row r="64" spans="1:8" s="1105" customFormat="1" ht="36">
      <c r="A64" s="1154">
        <v>4</v>
      </c>
      <c r="B64" s="3472"/>
      <c r="C64" s="1068" t="s">
        <v>1509</v>
      </c>
      <c r="D64" s="1068" t="s">
        <v>1510</v>
      </c>
      <c r="E64" s="1139">
        <v>0.4</v>
      </c>
      <c r="F64" s="1154">
        <v>60</v>
      </c>
    </row>
    <row r="65" spans="1:6" s="1105" customFormat="1" ht="36">
      <c r="A65" s="1154">
        <v>5</v>
      </c>
      <c r="B65" s="3472"/>
      <c r="C65" s="1068" t="s">
        <v>1511</v>
      </c>
      <c r="D65" s="1068" t="s">
        <v>1512</v>
      </c>
      <c r="E65" s="1139">
        <v>0.2</v>
      </c>
      <c r="F65" s="1154">
        <v>30</v>
      </c>
    </row>
    <row r="66" spans="1:6" s="1105" customFormat="1" ht="36">
      <c r="A66" s="1154">
        <v>6</v>
      </c>
      <c r="B66" s="3472"/>
      <c r="C66" s="1068" t="s">
        <v>1513</v>
      </c>
      <c r="D66" s="1068" t="s">
        <v>1514</v>
      </c>
      <c r="E66" s="1139">
        <v>0.3</v>
      </c>
      <c r="F66" s="1154">
        <v>50</v>
      </c>
    </row>
    <row r="67" spans="1:6" s="1105" customFormat="1" ht="36">
      <c r="A67" s="1154">
        <v>7</v>
      </c>
      <c r="B67" s="3472"/>
      <c r="C67" s="1068" t="s">
        <v>1515</v>
      </c>
      <c r="D67" s="1068" t="s">
        <v>1516</v>
      </c>
      <c r="E67" s="1139">
        <v>0.2</v>
      </c>
      <c r="F67" s="1154">
        <v>30</v>
      </c>
    </row>
    <row r="68" spans="1:6" s="1105" customFormat="1" ht="36">
      <c r="A68" s="1154">
        <v>8</v>
      </c>
      <c r="B68" s="3472"/>
      <c r="C68" s="1068" t="s">
        <v>1517</v>
      </c>
      <c r="D68" s="1068" t="s">
        <v>1518</v>
      </c>
      <c r="E68" s="1139">
        <v>0.2</v>
      </c>
      <c r="F68" s="1154">
        <v>30</v>
      </c>
    </row>
    <row r="69" spans="1:6" s="1105" customFormat="1" ht="36">
      <c r="A69" s="1154">
        <v>9</v>
      </c>
      <c r="B69" s="3472"/>
      <c r="C69" s="1068" t="s">
        <v>1519</v>
      </c>
      <c r="D69" s="1068" t="s">
        <v>1520</v>
      </c>
      <c r="E69" s="1139">
        <v>0.2</v>
      </c>
      <c r="F69" s="1154">
        <v>30</v>
      </c>
    </row>
    <row r="70" spans="1:6" s="1105" customFormat="1" ht="48">
      <c r="A70" s="1154">
        <v>10</v>
      </c>
      <c r="B70" s="3472"/>
      <c r="C70" s="1068" t="s">
        <v>1521</v>
      </c>
      <c r="D70" s="1068" t="s">
        <v>1522</v>
      </c>
      <c r="E70" s="1139">
        <v>0.2</v>
      </c>
      <c r="F70" s="1154">
        <v>30</v>
      </c>
    </row>
    <row r="71" spans="1:6" s="1105" customFormat="1" ht="48">
      <c r="A71" s="1154">
        <v>11</v>
      </c>
      <c r="B71" s="3472"/>
      <c r="C71" s="1068" t="s">
        <v>1523</v>
      </c>
      <c r="D71" s="1068" t="s">
        <v>1524</v>
      </c>
      <c r="E71" s="1139">
        <v>0.2</v>
      </c>
      <c r="F71" s="1154">
        <v>30</v>
      </c>
    </row>
    <row r="72" spans="1:6" s="1105" customFormat="1" ht="36">
      <c r="A72" s="1154">
        <v>12</v>
      </c>
      <c r="B72" s="3472"/>
      <c r="C72" s="1068" t="s">
        <v>1525</v>
      </c>
      <c r="D72" s="1068" t="s">
        <v>1526</v>
      </c>
      <c r="E72" s="1139">
        <v>0.5</v>
      </c>
      <c r="F72" s="1154">
        <v>80</v>
      </c>
    </row>
    <row r="73" spans="1:6" s="1105" customFormat="1" ht="24">
      <c r="A73" s="1154">
        <v>13</v>
      </c>
      <c r="B73" s="3472"/>
      <c r="C73" s="1068" t="s">
        <v>1527</v>
      </c>
      <c r="D73" s="1068" t="s">
        <v>1528</v>
      </c>
      <c r="E73" s="1139">
        <v>0.4</v>
      </c>
      <c r="F73" s="1154">
        <v>60</v>
      </c>
    </row>
    <row r="74" spans="1:6" s="1105" customFormat="1" ht="24">
      <c r="A74" s="1154">
        <v>14</v>
      </c>
      <c r="B74" s="3472"/>
      <c r="C74" s="1068" t="s">
        <v>1529</v>
      </c>
      <c r="D74" s="1068" t="s">
        <v>1530</v>
      </c>
      <c r="E74" s="1139">
        <v>0.2</v>
      </c>
      <c r="F74" s="1154">
        <v>30</v>
      </c>
    </row>
    <row r="75" spans="1:6" s="1105" customFormat="1" ht="24">
      <c r="A75" s="1154">
        <v>15</v>
      </c>
      <c r="B75" s="3472"/>
      <c r="C75" s="1068" t="s">
        <v>1531</v>
      </c>
      <c r="D75" s="1068" t="s">
        <v>1532</v>
      </c>
      <c r="E75" s="1139">
        <v>0.2</v>
      </c>
      <c r="F75" s="1154">
        <v>30</v>
      </c>
    </row>
    <row r="76" spans="1:6" s="1105" customFormat="1" ht="24">
      <c r="A76" s="1154">
        <v>16</v>
      </c>
      <c r="B76" s="3472" t="s">
        <v>1533</v>
      </c>
      <c r="C76" s="1068" t="s">
        <v>1534</v>
      </c>
      <c r="D76" s="1068" t="s">
        <v>1535</v>
      </c>
      <c r="E76" s="1139">
        <v>0.5</v>
      </c>
      <c r="F76" s="1154">
        <v>80</v>
      </c>
    </row>
    <row r="77" spans="1:6" s="1105" customFormat="1" ht="24">
      <c r="A77" s="1154">
        <v>17</v>
      </c>
      <c r="B77" s="3472"/>
      <c r="C77" s="1068" t="s">
        <v>1536</v>
      </c>
      <c r="D77" s="1068" t="s">
        <v>1537</v>
      </c>
      <c r="E77" s="1139">
        <v>0.5</v>
      </c>
      <c r="F77" s="1154">
        <v>80</v>
      </c>
    </row>
    <row r="78" spans="1:6" s="1105" customFormat="1" ht="24">
      <c r="A78" s="1154">
        <v>18</v>
      </c>
      <c r="B78" s="3472"/>
      <c r="C78" s="1068" t="s">
        <v>1538</v>
      </c>
      <c r="D78" s="1068" t="s">
        <v>1539</v>
      </c>
      <c r="E78" s="1139">
        <v>0.2</v>
      </c>
      <c r="F78" s="1154">
        <v>30</v>
      </c>
    </row>
    <row r="79" spans="1:6" s="1105" customFormat="1" ht="24">
      <c r="A79" s="1154">
        <v>19</v>
      </c>
      <c r="B79" s="3472"/>
      <c r="C79" s="1068" t="s">
        <v>1540</v>
      </c>
      <c r="D79" s="1068" t="s">
        <v>1541</v>
      </c>
      <c r="E79" s="1139">
        <v>0.5</v>
      </c>
      <c r="F79" s="1154">
        <v>80</v>
      </c>
    </row>
    <row r="80" spans="1:6" s="1105" customFormat="1" ht="36">
      <c r="A80" s="1154">
        <v>20</v>
      </c>
      <c r="B80" s="3472"/>
      <c r="C80" s="1068" t="s">
        <v>1542</v>
      </c>
      <c r="D80" s="1068" t="s">
        <v>1543</v>
      </c>
      <c r="E80" s="1139">
        <v>0.2</v>
      </c>
      <c r="F80" s="1154">
        <v>30</v>
      </c>
    </row>
    <row r="81" spans="1:6" s="1105" customFormat="1" ht="36">
      <c r="A81" s="1154">
        <v>21</v>
      </c>
      <c r="B81" s="3472"/>
      <c r="C81" s="1068" t="s">
        <v>1544</v>
      </c>
      <c r="D81" s="1068" t="s">
        <v>1545</v>
      </c>
      <c r="E81" s="1139">
        <v>0.2</v>
      </c>
      <c r="F81" s="1154">
        <v>30</v>
      </c>
    </row>
    <row r="82" spans="1:6" s="1105" customFormat="1" ht="48">
      <c r="A82" s="1154">
        <v>22</v>
      </c>
      <c r="B82" s="3472"/>
      <c r="C82" s="1068" t="s">
        <v>1546</v>
      </c>
      <c r="D82" s="1068" t="s">
        <v>1547</v>
      </c>
      <c r="E82" s="1139">
        <v>0.2</v>
      </c>
      <c r="F82" s="1154">
        <v>30</v>
      </c>
    </row>
    <row r="83" spans="1:6" s="1105" customFormat="1" ht="48">
      <c r="A83" s="1154">
        <v>23</v>
      </c>
      <c r="B83" s="3472"/>
      <c r="C83" s="1068" t="s">
        <v>1548</v>
      </c>
      <c r="D83" s="1068" t="s">
        <v>1549</v>
      </c>
      <c r="E83" s="1139">
        <v>0.2</v>
      </c>
      <c r="F83" s="1154">
        <v>30</v>
      </c>
    </row>
    <row r="84" spans="1:6" s="1105" customFormat="1" ht="36">
      <c r="A84" s="1154">
        <v>24</v>
      </c>
      <c r="B84" s="3472"/>
      <c r="C84" s="1068" t="s">
        <v>1550</v>
      </c>
      <c r="D84" s="1068" t="s">
        <v>1551</v>
      </c>
      <c r="E84" s="1139">
        <v>0.2</v>
      </c>
      <c r="F84" s="1154">
        <v>30</v>
      </c>
    </row>
    <row r="85" spans="1:6" s="1105" customFormat="1" ht="36">
      <c r="A85" s="1154">
        <v>25</v>
      </c>
      <c r="B85" s="3472"/>
      <c r="C85" s="1068" t="s">
        <v>1552</v>
      </c>
      <c r="D85" s="1068" t="s">
        <v>1553</v>
      </c>
      <c r="E85" s="1139">
        <v>0.5</v>
      </c>
      <c r="F85" s="1154">
        <v>80</v>
      </c>
    </row>
    <row r="86" spans="1:6" s="1105" customFormat="1" ht="36">
      <c r="A86" s="1154">
        <v>26</v>
      </c>
      <c r="B86" s="3472"/>
      <c r="C86" s="1068" t="s">
        <v>1554</v>
      </c>
      <c r="D86" s="1068" t="s">
        <v>1555</v>
      </c>
      <c r="E86" s="1139">
        <v>0.2</v>
      </c>
      <c r="F86" s="1154">
        <v>30</v>
      </c>
    </row>
    <row r="87" spans="1:6" s="1105" customFormat="1" ht="36">
      <c r="A87" s="1154">
        <v>27</v>
      </c>
      <c r="B87" s="3472"/>
      <c r="C87" s="1068" t="s">
        <v>1556</v>
      </c>
      <c r="D87" s="1068" t="s">
        <v>1557</v>
      </c>
      <c r="E87" s="1139">
        <v>0.2</v>
      </c>
      <c r="F87" s="1154">
        <v>30</v>
      </c>
    </row>
    <row r="88" spans="1:6" s="1105" customFormat="1" ht="36">
      <c r="A88" s="1154">
        <v>28</v>
      </c>
      <c r="B88" s="3472"/>
      <c r="C88" s="1068" t="s">
        <v>1558</v>
      </c>
      <c r="D88" s="1068" t="s">
        <v>1559</v>
      </c>
      <c r="E88" s="1139">
        <v>0.2</v>
      </c>
      <c r="F88" s="1154">
        <v>30</v>
      </c>
    </row>
    <row r="89" spans="1:6" s="1105" customFormat="1" ht="24">
      <c r="A89" s="1154">
        <v>29</v>
      </c>
      <c r="B89" s="3472"/>
      <c r="C89" s="1068" t="s">
        <v>1560</v>
      </c>
      <c r="D89" s="1068" t="s">
        <v>1561</v>
      </c>
      <c r="E89" s="1139">
        <v>0.2</v>
      </c>
      <c r="F89" s="1154">
        <v>30</v>
      </c>
    </row>
    <row r="90" spans="1:6" s="1105" customFormat="1" ht="24">
      <c r="A90" s="1154">
        <v>30</v>
      </c>
      <c r="B90" s="3472"/>
      <c r="C90" s="1068" t="s">
        <v>1562</v>
      </c>
      <c r="D90" s="1068" t="s">
        <v>1563</v>
      </c>
      <c r="E90" s="1139">
        <v>0.2</v>
      </c>
      <c r="F90" s="1154">
        <v>30</v>
      </c>
    </row>
    <row r="91" spans="1:6" s="1105" customFormat="1" ht="36">
      <c r="A91" s="1154">
        <v>31</v>
      </c>
      <c r="B91" s="3472"/>
      <c r="C91" s="1068" t="s">
        <v>1564</v>
      </c>
      <c r="D91" s="1068" t="s">
        <v>1565</v>
      </c>
      <c r="E91" s="1139">
        <v>0.2</v>
      </c>
      <c r="F91" s="1154">
        <v>30</v>
      </c>
    </row>
    <row r="92" spans="1:6" s="1105" customFormat="1" ht="24">
      <c r="A92" s="1154">
        <v>32</v>
      </c>
      <c r="B92" s="3472" t="s">
        <v>1566</v>
      </c>
      <c r="C92" s="1154" t="s">
        <v>1567</v>
      </c>
      <c r="D92" s="1068" t="s">
        <v>1568</v>
      </c>
      <c r="E92" s="1139">
        <v>0.2</v>
      </c>
      <c r="F92" s="1154">
        <v>30</v>
      </c>
    </row>
    <row r="93" spans="1:6" s="1105" customFormat="1" ht="36">
      <c r="A93" s="1154">
        <v>33</v>
      </c>
      <c r="B93" s="3472"/>
      <c r="C93" s="1154" t="s">
        <v>1569</v>
      </c>
      <c r="D93" s="1068" t="s">
        <v>1570</v>
      </c>
      <c r="E93" s="1139">
        <v>0.2</v>
      </c>
      <c r="F93" s="1154">
        <v>30</v>
      </c>
    </row>
    <row r="94" spans="1:6" s="1105" customFormat="1" ht="48">
      <c r="A94" s="1154">
        <v>34</v>
      </c>
      <c r="B94" s="3472"/>
      <c r="C94" s="1154" t="s">
        <v>1571</v>
      </c>
      <c r="D94" s="1068" t="s">
        <v>1572</v>
      </c>
      <c r="E94" s="1139">
        <v>0.2</v>
      </c>
      <c r="F94" s="1154">
        <v>30</v>
      </c>
    </row>
    <row r="95" spans="1:6" s="1105" customFormat="1" ht="36">
      <c r="A95" s="1154">
        <v>35</v>
      </c>
      <c r="B95" s="3472"/>
      <c r="C95" s="1154" t="s">
        <v>1573</v>
      </c>
      <c r="D95" s="1068" t="s">
        <v>1574</v>
      </c>
      <c r="E95" s="1139">
        <v>0.2</v>
      </c>
      <c r="F95" s="1154">
        <v>30</v>
      </c>
    </row>
    <row r="96" spans="1:6" s="1105" customFormat="1" ht="48">
      <c r="A96" s="1154">
        <v>36</v>
      </c>
      <c r="B96" s="3472"/>
      <c r="C96" s="1068" t="s">
        <v>1575</v>
      </c>
      <c r="D96" s="1068" t="s">
        <v>1576</v>
      </c>
      <c r="E96" s="1139">
        <v>0.2</v>
      </c>
      <c r="F96" s="1154">
        <v>30</v>
      </c>
    </row>
    <row r="97" spans="1:6" s="1105" customFormat="1" ht="36">
      <c r="A97" s="1154">
        <v>37</v>
      </c>
      <c r="B97" s="3472"/>
      <c r="C97" s="1154" t="s">
        <v>1577</v>
      </c>
      <c r="D97" s="1068" t="s">
        <v>1578</v>
      </c>
      <c r="E97" s="1139">
        <v>0.2</v>
      </c>
      <c r="F97" s="1154">
        <v>30</v>
      </c>
    </row>
    <row r="98" spans="1:6" s="1105" customFormat="1" ht="36">
      <c r="A98" s="1154">
        <v>38</v>
      </c>
      <c r="B98" s="3472"/>
      <c r="C98" s="1154" t="s">
        <v>1579</v>
      </c>
      <c r="D98" s="1068" t="s">
        <v>1580</v>
      </c>
      <c r="E98" s="1139">
        <v>0.2</v>
      </c>
      <c r="F98" s="1154">
        <v>30</v>
      </c>
    </row>
    <row r="99" spans="1:6" s="1105" customFormat="1" ht="36">
      <c r="A99" s="1154">
        <v>39</v>
      </c>
      <c r="B99" s="3472" t="s">
        <v>1581</v>
      </c>
      <c r="C99" s="1154" t="s">
        <v>1582</v>
      </c>
      <c r="D99" s="1068" t="s">
        <v>1583</v>
      </c>
      <c r="E99" s="1139">
        <v>0.3</v>
      </c>
      <c r="F99" s="1154">
        <v>50</v>
      </c>
    </row>
    <row r="100" spans="1:6" s="1105" customFormat="1" ht="24">
      <c r="A100" s="1154">
        <v>40</v>
      </c>
      <c r="B100" s="3472"/>
      <c r="C100" s="1154" t="s">
        <v>1584</v>
      </c>
      <c r="D100" s="1068" t="s">
        <v>1585</v>
      </c>
      <c r="E100" s="1139">
        <v>0.2</v>
      </c>
      <c r="F100" s="1154">
        <v>30</v>
      </c>
    </row>
    <row r="101" spans="1:6" s="1105" customFormat="1" ht="36">
      <c r="A101" s="1154">
        <v>41</v>
      </c>
      <c r="B101" s="347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72" t="s">
        <v>1596</v>
      </c>
      <c r="C105" s="1154" t="s">
        <v>1597</v>
      </c>
      <c r="D105" s="1068" t="s">
        <v>1598</v>
      </c>
      <c r="E105" s="1139">
        <v>0.2</v>
      </c>
      <c r="F105" s="1154">
        <v>30</v>
      </c>
    </row>
    <row r="106" spans="1:6" s="1105" customFormat="1" ht="36">
      <c r="A106" s="1154">
        <v>46</v>
      </c>
      <c r="B106" s="3472"/>
      <c r="C106" s="1154" t="s">
        <v>1599</v>
      </c>
      <c r="D106" s="1068" t="s">
        <v>1600</v>
      </c>
      <c r="E106" s="1139">
        <v>0.2</v>
      </c>
      <c r="F106" s="1154">
        <v>30</v>
      </c>
    </row>
    <row r="107" spans="1:6" s="1105" customFormat="1" ht="36">
      <c r="A107" s="1154">
        <v>47</v>
      </c>
      <c r="B107" s="3472" t="s">
        <v>1601</v>
      </c>
      <c r="C107" s="1154" t="s">
        <v>1602</v>
      </c>
      <c r="D107" s="1068" t="s">
        <v>1603</v>
      </c>
      <c r="E107" s="1139">
        <v>0.3</v>
      </c>
      <c r="F107" s="1154">
        <v>50</v>
      </c>
    </row>
    <row r="108" spans="1:6" s="1105" customFormat="1" ht="36">
      <c r="A108" s="1154">
        <v>48</v>
      </c>
      <c r="B108" s="347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72" t="s">
        <v>1612</v>
      </c>
      <c r="C111" s="1154" t="s">
        <v>1613</v>
      </c>
      <c r="D111" s="1068" t="s">
        <v>1614</v>
      </c>
      <c r="E111" s="1139">
        <v>0.2</v>
      </c>
      <c r="F111" s="1154">
        <v>30</v>
      </c>
    </row>
    <row r="112" spans="1:6" s="1105" customFormat="1" ht="24">
      <c r="A112" s="1154">
        <v>52</v>
      </c>
      <c r="B112" s="3472"/>
      <c r="C112" s="1154" t="s">
        <v>1615</v>
      </c>
      <c r="D112" s="1068" t="s">
        <v>1616</v>
      </c>
      <c r="E112" s="1139">
        <v>0.2</v>
      </c>
      <c r="F112" s="1154">
        <v>30</v>
      </c>
    </row>
    <row r="113" spans="1:14" s="1105" customFormat="1" ht="24">
      <c r="A113" s="1154">
        <v>53</v>
      </c>
      <c r="B113" s="347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72" t="s">
        <v>1625</v>
      </c>
      <c r="C116" s="1154" t="s">
        <v>1626</v>
      </c>
      <c r="D116" s="1068" t="s">
        <v>1627</v>
      </c>
      <c r="E116" s="1139">
        <v>0.2</v>
      </c>
      <c r="F116" s="1154">
        <v>30</v>
      </c>
    </row>
    <row r="117" spans="1:14" ht="36">
      <c r="A117" s="1154">
        <v>57</v>
      </c>
      <c r="B117" s="347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71" t="s">
        <v>1634</v>
      </c>
      <c r="B121" s="3471"/>
      <c r="C121" s="3471"/>
      <c r="D121" s="3471"/>
      <c r="E121" s="3471"/>
      <c r="F121" s="3471"/>
      <c r="G121" s="3471"/>
      <c r="H121" s="3471"/>
      <c r="I121" s="3471"/>
      <c r="J121" s="347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84" t="s">
        <v>1040</v>
      </c>
      <c r="B1" s="3484"/>
      <c r="C1" s="3484"/>
      <c r="D1" s="3484"/>
      <c r="E1" s="3484"/>
      <c r="F1" s="348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85" t="s">
        <v>1053</v>
      </c>
      <c r="B2" s="3485"/>
      <c r="C2" s="3485"/>
      <c r="D2" s="3485"/>
      <c r="E2" s="3485"/>
      <c r="F2" s="348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8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8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8" t="s">
        <v>2079</v>
      </c>
      <c r="B1" s="3488"/>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2948</v>
      </c>
      <c r="B1" s="3133"/>
      <c r="C1" s="3133"/>
      <c r="D1" s="3133"/>
      <c r="E1" s="3133"/>
      <c r="F1" s="3133"/>
    </row>
    <row r="2" spans="1:6" ht="14.25">
      <c r="A2" s="3134" t="s">
        <v>2943</v>
      </c>
      <c r="B2" s="3135" t="e">
        <f ca="1">SUMIF(B7:B14,"&lt;&gt;#ref!",B7:B14)</f>
        <v>#DIV/0!</v>
      </c>
      <c r="C2" s="3134" t="s">
        <v>2944</v>
      </c>
      <c r="D2" s="3133"/>
      <c r="E2" s="3133"/>
      <c r="F2" s="3133"/>
    </row>
    <row r="3" spans="1:6" ht="14.25">
      <c r="A3" s="3134" t="s">
        <v>2978</v>
      </c>
      <c r="B3" s="3135" t="e">
        <f ca="1">ROUND(B2*10000/E3,0)</f>
        <v>#DIV/0!</v>
      </c>
      <c r="C3" s="3134" t="s">
        <v>2078</v>
      </c>
      <c r="D3" s="3134" t="s">
        <v>2945</v>
      </c>
      <c r="E3" s="3135">
        <f ca="1">SUMIF(E7:E14,"&lt;&gt;#ref!",E7:E14)</f>
        <v>0</v>
      </c>
      <c r="F3" s="3133"/>
    </row>
    <row r="4" spans="1:6" ht="14.25">
      <c r="A4" s="3134" t="s">
        <v>2952</v>
      </c>
      <c r="B4" s="3135" t="e">
        <f ca="1">ROUND(B2*10000/E4,0)</f>
        <v>#DIV/0!</v>
      </c>
      <c r="C4" s="3134" t="s">
        <v>2078</v>
      </c>
      <c r="D4" s="3134" t="s">
        <v>2953</v>
      </c>
      <c r="E4" s="3135">
        <f ca="1">SUMIF(F7:F14,"&lt;&gt;#ref!",F7:F14)</f>
        <v>0</v>
      </c>
      <c r="F4" s="3133"/>
    </row>
    <row r="5" spans="1:6" ht="14.25">
      <c r="A5" s="3136"/>
      <c r="B5" s="1881"/>
      <c r="C5" s="1881"/>
      <c r="D5" s="1881"/>
      <c r="E5" s="1881"/>
      <c r="F5" s="3133"/>
    </row>
    <row r="6" spans="1:6" ht="28.5">
      <c r="A6" s="3137" t="s">
        <v>2949</v>
      </c>
      <c r="B6" s="3134" t="s">
        <v>2946</v>
      </c>
      <c r="C6" s="3135"/>
      <c r="D6" s="1881"/>
      <c r="E6" s="3134" t="s">
        <v>2947</v>
      </c>
      <c r="F6" s="3134" t="s">
        <v>2951</v>
      </c>
    </row>
    <row r="7" spans="1:6" ht="14.25">
      <c r="A7" s="260" t="s">
        <v>2950</v>
      </c>
      <c r="B7" s="3138" t="e">
        <f ca="1">SUMIF(INDIRECT("'"&amp;A7&amp;"'"&amp;"!A:A"),"总价",INDIRECT("'"&amp;A7&amp;"'"&amp;"!B:B"))</f>
        <v>#DIV/0!</v>
      </c>
      <c r="C7" s="3134" t="s">
        <v>2944</v>
      </c>
      <c r="D7" s="1881"/>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2944</v>
      </c>
      <c r="D8" s="1881"/>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2944</v>
      </c>
      <c r="D9" s="1881"/>
      <c r="E9" s="3139" t="e">
        <f t="shared" ca="1" si="1"/>
        <v>#REF!</v>
      </c>
      <c r="F9" s="3139" t="e">
        <f t="shared" ca="1" si="2"/>
        <v>#REF!</v>
      </c>
    </row>
    <row r="10" spans="1:6" ht="14.25">
      <c r="A10" s="260"/>
      <c r="B10" s="3138" t="e">
        <f t="shared" ca="1" si="0"/>
        <v>#REF!</v>
      </c>
      <c r="C10" s="3134" t="s">
        <v>2944</v>
      </c>
      <c r="D10" s="1881"/>
      <c r="E10" s="3139" t="e">
        <f t="shared" ca="1" si="1"/>
        <v>#REF!</v>
      </c>
      <c r="F10" s="3139" t="e">
        <f t="shared" ca="1" si="2"/>
        <v>#REF!</v>
      </c>
    </row>
    <row r="11" spans="1:6" ht="14.25">
      <c r="A11" s="260"/>
      <c r="B11" s="3138" t="e">
        <f t="shared" ca="1" si="0"/>
        <v>#REF!</v>
      </c>
      <c r="C11" s="3134" t="s">
        <v>2944</v>
      </c>
      <c r="D11" s="1881"/>
      <c r="E11" s="3139" t="e">
        <f t="shared" ca="1" si="1"/>
        <v>#REF!</v>
      </c>
      <c r="F11" s="3139" t="e">
        <f t="shared" ca="1" si="2"/>
        <v>#REF!</v>
      </c>
    </row>
    <row r="12" spans="1:6" ht="14.25">
      <c r="A12" s="260"/>
      <c r="B12" s="3138" t="e">
        <f t="shared" ca="1" si="0"/>
        <v>#REF!</v>
      </c>
      <c r="C12" s="3134" t="s">
        <v>2944</v>
      </c>
      <c r="D12" s="1881"/>
      <c r="E12" s="3139" t="e">
        <f t="shared" ca="1" si="1"/>
        <v>#REF!</v>
      </c>
      <c r="F12" s="3139" t="e">
        <f t="shared" ca="1" si="2"/>
        <v>#REF!</v>
      </c>
    </row>
    <row r="13" spans="1:6" ht="14.25">
      <c r="A13" s="260"/>
      <c r="B13" s="3138" t="e">
        <f t="shared" ca="1" si="0"/>
        <v>#REF!</v>
      </c>
      <c r="C13" s="3134" t="s">
        <v>2944</v>
      </c>
      <c r="D13" s="1881"/>
      <c r="E13" s="3139" t="e">
        <f t="shared" ca="1" si="1"/>
        <v>#REF!</v>
      </c>
      <c r="F13" s="3139" t="e">
        <f t="shared" ca="1" si="2"/>
        <v>#REF!</v>
      </c>
    </row>
    <row r="14" spans="1:6" ht="14.25">
      <c r="A14" s="3132"/>
      <c r="B14" s="3138" t="e">
        <f t="shared" ca="1" si="0"/>
        <v>#REF!</v>
      </c>
      <c r="C14" s="3134" t="s">
        <v>2944</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2374</v>
      </c>
      <c r="F1" s="2412">
        <f ca="1">J54</f>
        <v>0</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520" t="s">
        <v>2461</v>
      </c>
      <c r="E7" s="2514"/>
      <c r="F7" s="2515"/>
      <c r="G7" s="1593"/>
      <c r="H7" s="781">
        <v>1</v>
      </c>
      <c r="I7" s="782" t="s">
        <v>2458</v>
      </c>
      <c r="J7" s="53">
        <f ca="1">J8+J12+J14</f>
        <v>0</v>
      </c>
      <c r="K7" s="2520" t="s">
        <v>2461</v>
      </c>
      <c r="L7" s="2514"/>
      <c r="M7" s="2515"/>
    </row>
    <row r="8" spans="1:25" ht="18" customHeight="1">
      <c r="A8" s="1831" t="s">
        <v>1825</v>
      </c>
      <c r="B8" s="3490" t="s">
        <v>2463</v>
      </c>
      <c r="C8" s="1826">
        <f ca="1">ROUND(F8*F10*F9*(1-F11)/10000,0)</f>
        <v>0</v>
      </c>
      <c r="D8" s="1823" t="s">
        <v>2534</v>
      </c>
      <c r="E8" s="61" t="s">
        <v>637</v>
      </c>
      <c r="F8" s="785">
        <f ca="1">INDIRECT("'数据-取费表'!u"&amp;$G$1)</f>
        <v>0</v>
      </c>
      <c r="G8" s="1593"/>
      <c r="H8" s="2528" t="s">
        <v>1825</v>
      </c>
      <c r="I8" s="3490" t="s">
        <v>2463</v>
      </c>
      <c r="J8" s="783">
        <f ca="1">ROUND(M8*M10*M9*(1-M11)/10000,0)</f>
        <v>0</v>
      </c>
      <c r="K8" s="341" t="s">
        <v>2534</v>
      </c>
      <c r="L8" s="784" t="s">
        <v>1739</v>
      </c>
      <c r="M8" s="785">
        <f ca="1">INDIRECT("'数据-取费表'!z"&amp;$G$1)</f>
        <v>0</v>
      </c>
    </row>
    <row r="9" spans="1:25" ht="18" customHeight="1">
      <c r="A9" s="2524"/>
      <c r="B9" s="3491"/>
      <c r="C9" s="1827"/>
      <c r="D9" s="1824"/>
      <c r="E9" s="61" t="s">
        <v>638</v>
      </c>
      <c r="F9" s="785">
        <f ca="1">IF(INDIRECT("'数据-取费表'!ah"&amp;$G$1)="",INDIRECT("'数据-取费表'!k"&amp;$G$1),INDIRECT("'数据-取费表'!ah"&amp;$G$1))</f>
        <v>0</v>
      </c>
      <c r="G9" s="1593"/>
      <c r="H9" s="2513"/>
      <c r="I9" s="3491"/>
      <c r="J9" s="788"/>
      <c r="K9" s="789"/>
      <c r="L9" s="784" t="s">
        <v>1740</v>
      </c>
      <c r="M9" s="785">
        <f ca="1">F9</f>
        <v>0</v>
      </c>
    </row>
    <row r="10" spans="1:25" ht="18" customHeight="1">
      <c r="A10" s="2517"/>
      <c r="B10" s="3492"/>
      <c r="C10" s="1827"/>
      <c r="D10" s="1824"/>
      <c r="E10" s="61" t="s">
        <v>639</v>
      </c>
      <c r="F10" s="785">
        <f ca="1">INDIRECT("'数据-取费表'!ai"&amp;$G$1)</f>
        <v>0</v>
      </c>
      <c r="G10" s="1593"/>
      <c r="H10" s="2513"/>
      <c r="I10" s="3492"/>
      <c r="J10" s="788"/>
      <c r="K10" s="789"/>
      <c r="L10" s="784" t="s">
        <v>1741</v>
      </c>
      <c r="M10" s="785">
        <f ca="1">INDIRECT("'数据-取费表'!ai"&amp;$G$1)</f>
        <v>0</v>
      </c>
    </row>
    <row r="11" spans="1:25" ht="18" customHeight="1">
      <c r="A11" s="786"/>
      <c r="B11" s="3493"/>
      <c r="C11" s="1827"/>
      <c r="D11" s="1824"/>
      <c r="E11" s="61" t="s">
        <v>640</v>
      </c>
      <c r="F11" s="794">
        <f ca="1">INDIRECT("'数据-取费表'!w"&amp;$G$1)</f>
        <v>0</v>
      </c>
      <c r="G11" s="1593"/>
      <c r="H11" s="2529"/>
      <c r="I11" s="3492"/>
      <c r="J11" s="788"/>
      <c r="K11" s="789"/>
      <c r="L11" s="795" t="s">
        <v>1742</v>
      </c>
      <c r="M11" s="796">
        <f ca="1">INDIRECT("'数据-取费表'!ab"&amp;$G$1)</f>
        <v>0</v>
      </c>
    </row>
    <row r="12" spans="1:25" ht="18" customHeight="1">
      <c r="A12" s="1831" t="s">
        <v>1826</v>
      </c>
      <c r="B12" s="2518" t="s">
        <v>2459</v>
      </c>
      <c r="C12" s="799">
        <f ca="1">ROUND(IF(F12="押一",C8/12*F13,IF(F12="押二",C8/12*2*F13,IF(F12="押三",C8/12*3*F13,C13*F13))),0)</f>
        <v>0</v>
      </c>
      <c r="D12" s="2525" t="s">
        <v>2973</v>
      </c>
      <c r="E12" s="2522" t="s">
        <v>2464</v>
      </c>
      <c r="F12" s="2645"/>
      <c r="G12" s="1593"/>
      <c r="H12" s="2585" t="s">
        <v>1826</v>
      </c>
      <c r="I12" s="2590" t="s">
        <v>2459</v>
      </c>
      <c r="J12" s="783">
        <f ca="1">ROUND(IF(M12="押一",J8/12*M13,IF(M12="押二",J8/12*2*M13,IF(M12="押三",J8/12*3*M13,J13*M13))),0)</f>
        <v>0</v>
      </c>
      <c r="K12" s="2525" t="s">
        <v>2973</v>
      </c>
      <c r="L12" s="2522" t="s">
        <v>2464</v>
      </c>
      <c r="M12" s="2645"/>
    </row>
    <row r="13" spans="1:25" ht="18" customHeight="1">
      <c r="A13" s="790"/>
      <c r="B13" s="2519" t="s">
        <v>2573</v>
      </c>
      <c r="C13" s="2523"/>
      <c r="D13" s="789"/>
      <c r="E13" s="2522" t="s">
        <v>2456</v>
      </c>
      <c r="F13" s="796">
        <f ca="1">'数据-取费表'!B39</f>
        <v>1.4999999999999999E-2</v>
      </c>
      <c r="G13" s="1593"/>
      <c r="H13" s="2586"/>
      <c r="I13" s="2519" t="s">
        <v>2573</v>
      </c>
      <c r="J13" s="2523"/>
      <c r="K13" s="2587"/>
      <c r="L13" s="2522" t="s">
        <v>2456</v>
      </c>
      <c r="M13" s="2516">
        <f ca="1">'数据-取费表'!B39</f>
        <v>1.4999999999999999E-2</v>
      </c>
    </row>
    <row r="14" spans="1:25" ht="18" customHeight="1" thickBot="1">
      <c r="A14" s="2561" t="s">
        <v>2467</v>
      </c>
      <c r="B14" s="2562" t="s">
        <v>2460</v>
      </c>
      <c r="C14" s="2563"/>
      <c r="D14" s="2564"/>
      <c r="E14" s="2565"/>
      <c r="F14" s="2566"/>
      <c r="G14" s="1593"/>
      <c r="H14" s="2575" t="s">
        <v>2467</v>
      </c>
      <c r="I14" s="2588" t="s">
        <v>2460</v>
      </c>
      <c r="J14" s="2589"/>
      <c r="K14" s="2564"/>
      <c r="L14" s="2565"/>
      <c r="M14" s="2578"/>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2069</v>
      </c>
      <c r="I16" s="2231" t="s">
        <v>2825</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8</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3"/>
      <c r="H24" s="1832" t="s">
        <v>2070</v>
      </c>
      <c r="I24" s="784" t="s">
        <v>676</v>
      </c>
      <c r="J24" s="53">
        <f ca="1">ROUND(J16*M24,0)</f>
        <v>0</v>
      </c>
      <c r="K24" s="1977" t="s">
        <v>677</v>
      </c>
      <c r="L24" s="784" t="s">
        <v>649</v>
      </c>
      <c r="M24" s="817">
        <f ca="1">INDIRECT("'数据-取费表'!Ak"&amp;$G$1)</f>
        <v>0</v>
      </c>
    </row>
    <row r="25" spans="1:25" s="2064" customFormat="1" ht="18" customHeight="1">
      <c r="A25" s="803" t="s">
        <v>1876</v>
      </c>
      <c r="B25" s="784" t="s">
        <v>2437</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1.4E-3</v>
      </c>
      <c r="D26" s="2595"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3035" t="s">
        <v>2822</v>
      </c>
      <c r="J27" s="799">
        <f ca="1">J7-J18</f>
        <v>0</v>
      </c>
      <c r="K27" s="1979" t="s">
        <v>700</v>
      </c>
      <c r="L27" s="1981"/>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2823</v>
      </c>
      <c r="C31" s="2568">
        <f ca="1">ROUND((C21+C22+C25+C28)/(1-F23-C26-C29-C30),0)</f>
        <v>0</v>
      </c>
      <c r="D31" s="2569"/>
      <c r="E31" s="2570"/>
      <c r="F31" s="2571"/>
      <c r="G31" s="1594"/>
      <c r="H31" s="823" t="s">
        <v>1873</v>
      </c>
      <c r="I31" s="3036" t="s">
        <v>2824</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689</v>
      </c>
      <c r="C32" s="792">
        <f ca="1">ROUND(C33+C38+C39+C40,0)</f>
        <v>0</v>
      </c>
      <c r="D32" s="1822"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8</v>
      </c>
      <c r="G36" s="2062"/>
      <c r="H36" s="2065"/>
      <c r="I36" s="3489"/>
      <c r="J36" s="2079"/>
      <c r="K36" s="2080"/>
      <c r="L36" s="2079"/>
      <c r="M36" s="2079"/>
    </row>
    <row r="37" spans="1:18" ht="18" customHeight="1">
      <c r="A37" s="815"/>
      <c r="B37" s="793"/>
      <c r="C37" s="69"/>
      <c r="D37" s="816"/>
      <c r="E37" s="784" t="s">
        <v>674</v>
      </c>
      <c r="F37" s="785">
        <f ca="1">INDIRECT("'数据-取费表'!r"&amp;$G$1)</f>
        <v>0</v>
      </c>
      <c r="G37" s="2062"/>
      <c r="H37" s="2065"/>
      <c r="I37" s="3489"/>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30">
        <v>4</v>
      </c>
      <c r="B41" s="1828"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52" t="s">
        <v>2961</v>
      </c>
      <c r="F43" s="3153">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61">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54" t="s">
        <v>2964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3"/>
      <c r="Q47" s="1605"/>
      <c r="R47" s="1593"/>
    </row>
    <row r="48" spans="1:18" s="2059" customFormat="1" ht="18" customHeight="1" thickBot="1">
      <c r="A48" s="2084"/>
      <c r="C48" s="2087"/>
      <c r="D48" s="2088"/>
      <c r="E48" s="2088"/>
      <c r="F48" s="2089"/>
      <c r="G48" s="2090"/>
      <c r="I48" s="2382" t="s">
        <v>2343</v>
      </c>
      <c r="J48" s="2387"/>
      <c r="K48" s="2388" t="s">
        <v>2349</v>
      </c>
      <c r="L48" s="2389">
        <f ca="1">INDIRECT("'数据-取费表'!d"&amp;$G$1)</f>
        <v>0</v>
      </c>
      <c r="M48" s="3149"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494"/>
      <c r="L54" s="3495"/>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26" t="s">
        <v>2355</v>
      </c>
      <c r="J56" s="3150" t="e">
        <f ca="1">ROUND(IF(J48="钢混",J58/J51,1-(1-2%)*(J51-J58)/J51),3)</f>
        <v>#VALUE!</v>
      </c>
      <c r="K56" s="2401" t="s">
        <v>2356</v>
      </c>
      <c r="L56" s="2402"/>
      <c r="O56" s="2428" t="s">
        <v>2411</v>
      </c>
      <c r="P56" s="1593"/>
      <c r="Q56" s="1605"/>
      <c r="R56" s="1593"/>
    </row>
    <row r="57" spans="1:18" s="2059" customFormat="1" ht="43.5" thickBot="1">
      <c r="A57" s="2096"/>
      <c r="B57" s="2097"/>
      <c r="C57" s="2097"/>
      <c r="I57" s="2403" t="s">
        <v>2357</v>
      </c>
      <c r="J57" s="3149" t="s">
        <v>1679</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1"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8" t="s">
        <v>2941</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9">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0">
        <v>0</v>
      </c>
      <c r="O65" s="2428" t="s">
        <v>2415</v>
      </c>
      <c r="P65" s="1593"/>
      <c r="Q65" s="1605"/>
      <c r="R65" s="1593"/>
    </row>
    <row r="66" spans="1:18" s="2059" customFormat="1" ht="15.75" thickBot="1">
      <c r="A66" s="2096"/>
      <c r="B66" s="2097"/>
      <c r="C66" s="2097"/>
      <c r="I66" s="2409" t="s">
        <v>2372</v>
      </c>
      <c r="J66" s="2410">
        <v>40</v>
      </c>
      <c r="K66" s="2410">
        <v>30</v>
      </c>
      <c r="L66" s="2410">
        <v>50</v>
      </c>
      <c r="M66" s="3129">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98" t="s">
        <v>2576</v>
      </c>
      <c r="C1" s="3498"/>
      <c r="D1" s="3498"/>
      <c r="E1" s="3498"/>
      <c r="F1" s="3498"/>
      <c r="G1" s="3497" t="s">
        <v>2577</v>
      </c>
      <c r="H1" s="3497"/>
      <c r="I1" s="3497"/>
      <c r="J1" s="3497"/>
      <c r="K1" s="3497"/>
      <c r="L1" s="3497"/>
      <c r="N1" s="3497" t="s">
        <v>2578</v>
      </c>
      <c r="O1" s="3497"/>
      <c r="P1" s="3497"/>
      <c r="Q1" s="3497"/>
      <c r="R1" s="2678"/>
      <c r="S1" s="3497" t="s">
        <v>2579</v>
      </c>
      <c r="T1" s="3497"/>
      <c r="U1" s="3497"/>
      <c r="V1" s="3497"/>
      <c r="X1" s="3496" t="s">
        <v>2639</v>
      </c>
      <c r="Y1" s="3497"/>
      <c r="Z1" s="3497"/>
      <c r="AA1" s="3497"/>
      <c r="AB1" s="3497"/>
      <c r="AD1" s="3496" t="s">
        <v>2643</v>
      </c>
      <c r="AE1" s="3497"/>
      <c r="AF1" s="3497"/>
      <c r="AG1" s="3497"/>
      <c r="AH1" s="3497"/>
    </row>
    <row r="2" spans="1:34" s="2780" customFormat="1" ht="14.25" thickBot="1">
      <c r="B2" s="2788" t="s">
        <v>2580</v>
      </c>
      <c r="C2" s="2788" t="s">
        <v>2641</v>
      </c>
      <c r="D2" s="2781" t="s">
        <v>1645</v>
      </c>
      <c r="E2" s="2781" t="s">
        <v>1952</v>
      </c>
      <c r="F2" s="2788" t="s">
        <v>2642</v>
      </c>
      <c r="G2" s="2784"/>
      <c r="H2" s="2783"/>
      <c r="I2" s="2788" t="s">
        <v>2955</v>
      </c>
      <c r="J2" s="2781" t="s">
        <v>2957</v>
      </c>
      <c r="K2" s="2781" t="s">
        <v>2958</v>
      </c>
      <c r="L2" s="2788" t="s">
        <v>2959</v>
      </c>
      <c r="N2" s="2788" t="s">
        <v>2580</v>
      </c>
      <c r="O2" s="2781" t="s">
        <v>2956</v>
      </c>
      <c r="P2" s="2781" t="s">
        <v>1952</v>
      </c>
      <c r="Q2" s="2788" t="s">
        <v>2642</v>
      </c>
      <c r="R2" s="2782"/>
      <c r="S2" s="2788" t="s">
        <v>2580</v>
      </c>
      <c r="T2" s="2781" t="s">
        <v>2956</v>
      </c>
      <c r="U2" s="2781" t="s">
        <v>1952</v>
      </c>
      <c r="V2" s="2788" t="s">
        <v>2642</v>
      </c>
      <c r="X2" s="2788" t="s">
        <v>2580</v>
      </c>
      <c r="Y2" s="2788" t="s">
        <v>2641</v>
      </c>
      <c r="Z2" s="2781" t="s">
        <v>1645</v>
      </c>
      <c r="AA2" s="2781" t="s">
        <v>1952</v>
      </c>
      <c r="AB2" s="2788" t="s">
        <v>2642</v>
      </c>
      <c r="AD2" s="2788" t="s">
        <v>2580</v>
      </c>
      <c r="AE2" s="2788" t="s">
        <v>2641</v>
      </c>
      <c r="AF2" s="2781" t="s">
        <v>1645</v>
      </c>
      <c r="AG2" s="2781" t="s">
        <v>1952</v>
      </c>
      <c r="AH2" s="2788" t="s">
        <v>2642</v>
      </c>
    </row>
    <row r="3" spans="1:34" s="3164" customFormat="1" ht="14.25">
      <c r="A3" s="3176" t="s">
        <v>2968</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3" customFormat="1" ht="14.25">
      <c r="B4" s="2774"/>
      <c r="C4" s="2774"/>
      <c r="D4" s="2775"/>
      <c r="E4" s="2775"/>
      <c r="F4" s="2774"/>
      <c r="G4" s="2779"/>
      <c r="H4" s="2776"/>
      <c r="I4" s="3157"/>
      <c r="J4" s="3157"/>
      <c r="K4" s="3157"/>
      <c r="L4" s="3157"/>
      <c r="N4" s="2779"/>
      <c r="O4" s="2777"/>
      <c r="P4" s="2777"/>
      <c r="Q4" s="2777"/>
      <c r="R4" s="2777"/>
      <c r="S4" s="2779"/>
      <c r="T4" s="2777"/>
      <c r="U4" s="2777"/>
      <c r="V4" s="2777"/>
      <c r="W4" s="3173"/>
      <c r="X4" s="2778"/>
      <c r="Y4" s="2778"/>
      <c r="Z4" s="2778"/>
      <c r="AA4" s="2778"/>
      <c r="AB4" s="2778"/>
      <c r="AD4" s="2698"/>
      <c r="AE4" s="2698"/>
      <c r="AF4" s="2698"/>
      <c r="AG4" s="2698"/>
      <c r="AH4" s="2698"/>
    </row>
    <row r="5" spans="1:34" s="3143" customFormat="1">
      <c r="A5" s="3141" t="s">
        <v>2975</v>
      </c>
      <c r="B5" s="2819">
        <f>B6*(1+N5)</f>
        <v>446.46299999999997</v>
      </c>
      <c r="C5" s="2819">
        <f>C6*(1+O5)</f>
        <v>333.27840000000003</v>
      </c>
      <c r="D5" s="2819">
        <f>C5</f>
        <v>333.27840000000003</v>
      </c>
      <c r="E5" s="2819">
        <f>E6*(1+P5)</f>
        <v>637.28279999999995</v>
      </c>
      <c r="F5" s="2819">
        <f>F6*(1+Q5)</f>
        <v>288.68830000000003</v>
      </c>
      <c r="G5" s="2779">
        <v>2018</v>
      </c>
      <c r="H5" s="3142">
        <v>2</v>
      </c>
      <c r="I5" s="3158">
        <v>0</v>
      </c>
      <c r="J5" s="3158">
        <v>0</v>
      </c>
      <c r="K5" s="3158">
        <v>0</v>
      </c>
      <c r="L5" s="3158">
        <v>0</v>
      </c>
      <c r="N5" s="2786">
        <f>I5/100</f>
        <v>0</v>
      </c>
      <c r="O5" s="2786">
        <f>J5/100</f>
        <v>0</v>
      </c>
      <c r="P5" s="2786">
        <f>K5/100</f>
        <v>0</v>
      </c>
      <c r="Q5" s="2786">
        <f>L5/100</f>
        <v>0</v>
      </c>
      <c r="R5" s="3144"/>
      <c r="S5" s="3145"/>
      <c r="T5" s="3144"/>
      <c r="U5" s="3144"/>
      <c r="V5" s="3144"/>
      <c r="W5" s="3174" t="s">
        <v>2969</v>
      </c>
      <c r="X5" s="3146">
        <f>ROUND(SUMPRODUCT(PRODUCT(1+N5:N$21)),4)</f>
        <v>1.4517</v>
      </c>
      <c r="Y5" s="3146">
        <f>ROUND(SUMPRODUCT(PRODUCT(1+O5:O$21)),4)</f>
        <v>1.2928999999999999</v>
      </c>
      <c r="Z5" s="3146">
        <f>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AE5</f>
        <v>1.5699999999999999E-2</v>
      </c>
      <c r="AG5" s="3147">
        <f>ROUND(AVERAGE(K5:K$22)/100,4)</f>
        <v>2.5000000000000001E-2</v>
      </c>
      <c r="AH5" s="3147">
        <f>ROUND(AVERAGE(L5:L$22)/100,4)</f>
        <v>1.35E-2</v>
      </c>
    </row>
    <row r="6" spans="1:34" s="2785" customFormat="1" ht="13.5" thickBot="1">
      <c r="A6" s="2679" t="s">
        <v>2976</v>
      </c>
      <c r="B6" s="2693">
        <f>B7*(1+N6)</f>
        <v>446.46299999999997</v>
      </c>
      <c r="C6" s="2693">
        <f>C7*(1+O6)</f>
        <v>333.27840000000003</v>
      </c>
      <c r="D6" s="2693">
        <f t="shared" ref="D6:D11" si="2">C6</f>
        <v>333.27840000000003</v>
      </c>
      <c r="E6" s="2693">
        <f>E7*(1+P6)</f>
        <v>637.28279999999995</v>
      </c>
      <c r="F6" s="2693">
        <f>F7*(1+Q6)</f>
        <v>288.68830000000003</v>
      </c>
      <c r="G6" s="3163">
        <v>2018</v>
      </c>
      <c r="H6" s="2683">
        <v>1</v>
      </c>
      <c r="I6" s="2683">
        <v>1.7</v>
      </c>
      <c r="J6" s="2683">
        <v>1.92</v>
      </c>
      <c r="K6" s="2683">
        <v>1.64</v>
      </c>
      <c r="L6" s="2694">
        <v>2.0099999999999998</v>
      </c>
      <c r="M6" s="2687"/>
      <c r="N6" s="2688">
        <f t="shared" ref="N6:N11" si="3">I6/100</f>
        <v>1.7000000000000001E-2</v>
      </c>
      <c r="O6" s="2689">
        <f t="shared" ref="O6:Q10" si="4">J6/100</f>
        <v>1.9199999999999998E-2</v>
      </c>
      <c r="P6" s="2689">
        <f t="shared" si="4"/>
        <v>1.6399999999999998E-2</v>
      </c>
      <c r="Q6" s="2689">
        <f t="shared" si="4"/>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Y6</f>
        <v>1.2928999999999999</v>
      </c>
      <c r="AA6" s="2778">
        <f>ROUND(SUMPRODUCT(PRODUCT(1+P6:P$21)),4)</f>
        <v>1.5068999999999999</v>
      </c>
      <c r="AB6" s="2778">
        <f>ROUND(SUMPRODUCT(PRODUCT(1+Q6:Q$21)),4)</f>
        <v>1.2557</v>
      </c>
      <c r="AC6" s="2687"/>
      <c r="AD6" s="2698">
        <f>ROUND(AVERAGE(I6:I$22)/100,4)</f>
        <v>2.4E-2</v>
      </c>
      <c r="AE6" s="2698">
        <f>ROUND(AVERAGE(J6:J$22)/100,4)</f>
        <v>1.66E-2</v>
      </c>
      <c r="AF6" s="2698">
        <f>AE6</f>
        <v>1.66E-2</v>
      </c>
      <c r="AG6" s="2698">
        <f>ROUND(AVERAGE(K6:K$22)/100,4)</f>
        <v>2.6499999999999999E-2</v>
      </c>
      <c r="AH6" s="2698">
        <f>ROUND(AVERAGE(L6:L$22)/100,4)</f>
        <v>1.43E-2</v>
      </c>
    </row>
    <row r="7" spans="1:34">
      <c r="A7" s="2679" t="s">
        <v>2966</v>
      </c>
      <c r="B7" s="3178">
        <v>439</v>
      </c>
      <c r="C7" s="3178">
        <v>327</v>
      </c>
      <c r="D7" s="3178">
        <f t="shared" si="2"/>
        <v>327</v>
      </c>
      <c r="E7" s="3178">
        <v>627</v>
      </c>
      <c r="F7" s="3179">
        <v>283</v>
      </c>
      <c r="G7" s="3161">
        <v>2017</v>
      </c>
      <c r="H7" s="2680">
        <v>4</v>
      </c>
      <c r="I7" s="2680">
        <v>1.71</v>
      </c>
      <c r="J7" s="2680">
        <v>1.78</v>
      </c>
      <c r="K7" s="2680">
        <v>1.71</v>
      </c>
      <c r="L7" s="2681">
        <v>1.43</v>
      </c>
      <c r="N7" s="2688">
        <f t="shared" si="3"/>
        <v>1.7100000000000001E-2</v>
      </c>
      <c r="O7" s="2689">
        <f t="shared" si="4"/>
        <v>1.78E-2</v>
      </c>
      <c r="P7" s="2689">
        <f t="shared" si="4"/>
        <v>1.7100000000000001E-2</v>
      </c>
      <c r="Q7" s="2689">
        <f t="shared" si="4"/>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2970</v>
      </c>
      <c r="B8" s="2693">
        <f t="shared" ref="B8:C10" si="5">B9*(1+N8)</f>
        <v>431.80730811680002</v>
      </c>
      <c r="C8" s="2693">
        <f t="shared" si="5"/>
        <v>320.57880516480003</v>
      </c>
      <c r="D8" s="2693">
        <f t="shared" si="2"/>
        <v>320.57880516480003</v>
      </c>
      <c r="E8" s="2693">
        <f t="shared" ref="E8:F10" si="6">E9*(1+P8)</f>
        <v>615.96110553196797</v>
      </c>
      <c r="F8" s="2693">
        <f t="shared" si="6"/>
        <v>279.46777300108801</v>
      </c>
      <c r="G8" s="3163"/>
      <c r="H8" s="2683">
        <v>3</v>
      </c>
      <c r="I8" s="2683">
        <v>2.98</v>
      </c>
      <c r="J8" s="2683">
        <v>2.11</v>
      </c>
      <c r="K8" s="2683">
        <v>3.24</v>
      </c>
      <c r="L8" s="2694">
        <v>1.72</v>
      </c>
      <c r="M8" s="2687"/>
      <c r="N8" s="2688">
        <f t="shared" si="3"/>
        <v>2.98E-2</v>
      </c>
      <c r="O8" s="2689">
        <f t="shared" si="4"/>
        <v>2.1099999999999997E-2</v>
      </c>
      <c r="P8" s="2689">
        <f t="shared" si="4"/>
        <v>3.2400000000000005E-2</v>
      </c>
      <c r="Q8" s="2689">
        <f t="shared" si="4"/>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2581</v>
      </c>
      <c r="B9" s="2693">
        <f t="shared" si="5"/>
        <v>419.31181600000002</v>
      </c>
      <c r="C9" s="2693">
        <f t="shared" si="5"/>
        <v>313.95436800000004</v>
      </c>
      <c r="D9" s="2693">
        <f t="shared" si="2"/>
        <v>313.95436800000004</v>
      </c>
      <c r="E9" s="2693">
        <f t="shared" si="6"/>
        <v>596.63028431999999</v>
      </c>
      <c r="F9" s="2693">
        <f t="shared" si="6"/>
        <v>274.74220703999998</v>
      </c>
      <c r="G9" s="3162"/>
      <c r="H9" s="2684">
        <v>2</v>
      </c>
      <c r="I9" s="2684">
        <v>3.4</v>
      </c>
      <c r="J9" s="2684">
        <v>2</v>
      </c>
      <c r="K9" s="2684">
        <v>3.82</v>
      </c>
      <c r="L9" s="2695">
        <v>1.68</v>
      </c>
      <c r="N9" s="2688">
        <f t="shared" si="3"/>
        <v>3.4000000000000002E-2</v>
      </c>
      <c r="O9" s="2689">
        <f t="shared" si="4"/>
        <v>0.02</v>
      </c>
      <c r="P9" s="2689">
        <f t="shared" si="4"/>
        <v>3.8199999999999998E-2</v>
      </c>
      <c r="Q9" s="2689">
        <f t="shared" si="4"/>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2582</v>
      </c>
      <c r="B10" s="2693">
        <f t="shared" si="5"/>
        <v>405.524</v>
      </c>
      <c r="C10" s="2693">
        <f t="shared" si="5"/>
        <v>307.79840000000002</v>
      </c>
      <c r="D10" s="2693">
        <f t="shared" si="2"/>
        <v>307.79840000000002</v>
      </c>
      <c r="E10" s="2693">
        <f t="shared" si="6"/>
        <v>574.67759999999998</v>
      </c>
      <c r="F10" s="2693">
        <f t="shared" si="6"/>
        <v>270.20280000000002</v>
      </c>
      <c r="G10" s="3163"/>
      <c r="H10" s="2683">
        <v>1</v>
      </c>
      <c r="I10" s="2683">
        <v>3.45</v>
      </c>
      <c r="J10" s="2683">
        <v>1.92</v>
      </c>
      <c r="K10" s="2683">
        <v>3.92</v>
      </c>
      <c r="L10" s="2694">
        <v>1.58</v>
      </c>
      <c r="M10" s="2687"/>
      <c r="N10" s="2688">
        <f t="shared" si="3"/>
        <v>3.4500000000000003E-2</v>
      </c>
      <c r="O10" s="2689">
        <f t="shared" si="4"/>
        <v>1.9199999999999998E-2</v>
      </c>
      <c r="P10" s="2689">
        <f t="shared" si="4"/>
        <v>3.9199999999999999E-2</v>
      </c>
      <c r="Q10" s="2689">
        <f t="shared" si="4"/>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2"/>
        <v>302</v>
      </c>
      <c r="E11" s="2685">
        <v>553</v>
      </c>
      <c r="F11" s="2686">
        <v>266</v>
      </c>
      <c r="G11" s="3505">
        <v>2016</v>
      </c>
      <c r="H11" s="2680">
        <v>4</v>
      </c>
      <c r="I11" s="2680">
        <v>4.5599999999999996</v>
      </c>
      <c r="J11" s="2680">
        <v>2.15</v>
      </c>
      <c r="K11" s="2680">
        <v>5.32</v>
      </c>
      <c r="L11" s="2681">
        <v>1.57</v>
      </c>
      <c r="N11" s="2688">
        <f t="shared" si="3"/>
        <v>4.5599999999999995E-2</v>
      </c>
      <c r="O11" s="2689">
        <f t="shared" ref="O11:Q26" si="7">J11/100</f>
        <v>2.1499999999999998E-2</v>
      </c>
      <c r="P11" s="2689">
        <f t="shared" si="7"/>
        <v>5.3200000000000004E-2</v>
      </c>
      <c r="Q11" s="2689">
        <f t="shared" si="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8">B11/(1+N11)</f>
        <v>374.90436113236416</v>
      </c>
      <c r="C12" s="2693">
        <f t="shared" si="8"/>
        <v>295.64366128242779</v>
      </c>
      <c r="D12" s="2693">
        <f t="shared" ref="D12:D71" si="9">C12</f>
        <v>295.64366128242779</v>
      </c>
      <c r="E12" s="2693">
        <f t="shared" ref="E12:F14" si="10">E11/(1+P11)</f>
        <v>525.06646410938095</v>
      </c>
      <c r="F12" s="2693">
        <f t="shared" si="10"/>
        <v>261.88835286009646</v>
      </c>
      <c r="G12" s="3500"/>
      <c r="H12" s="2683">
        <v>3</v>
      </c>
      <c r="I12" s="2683">
        <v>4.12</v>
      </c>
      <c r="J12" s="2683">
        <v>2</v>
      </c>
      <c r="K12" s="2683">
        <v>4.79</v>
      </c>
      <c r="L12" s="2694">
        <v>1.97</v>
      </c>
      <c r="N12" s="2688">
        <f t="shared" ref="N12:Q46" si="11">I12/100</f>
        <v>4.1200000000000001E-2</v>
      </c>
      <c r="O12" s="2689">
        <f t="shared" si="7"/>
        <v>0.02</v>
      </c>
      <c r="P12" s="2689">
        <f t="shared" si="7"/>
        <v>4.7899999999999998E-2</v>
      </c>
      <c r="Q12" s="2689">
        <f t="shared" si="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8"/>
        <v>360.06949782209392</v>
      </c>
      <c r="C13" s="2693">
        <f t="shared" si="8"/>
        <v>289.84672674747821</v>
      </c>
      <c r="D13" s="2693">
        <f t="shared" si="9"/>
        <v>289.84672674747821</v>
      </c>
      <c r="E13" s="2693">
        <f t="shared" si="10"/>
        <v>501.06543001181495</v>
      </c>
      <c r="F13" s="2693">
        <f t="shared" si="10"/>
        <v>256.82882500744967</v>
      </c>
      <c r="G13" s="3500"/>
      <c r="H13" s="2684">
        <v>2</v>
      </c>
      <c r="I13" s="2684">
        <v>3.85</v>
      </c>
      <c r="J13" s="2684">
        <v>1.95</v>
      </c>
      <c r="K13" s="2684">
        <v>4.4800000000000004</v>
      </c>
      <c r="L13" s="2695">
        <v>1.41</v>
      </c>
      <c r="N13" s="2688">
        <f t="shared" si="11"/>
        <v>3.85E-2</v>
      </c>
      <c r="O13" s="2689">
        <f t="shared" si="7"/>
        <v>1.95E-2</v>
      </c>
      <c r="P13" s="2689">
        <f t="shared" si="7"/>
        <v>4.4800000000000006E-2</v>
      </c>
      <c r="Q13" s="2689">
        <f t="shared" si="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8"/>
        <v>346.720748986128</v>
      </c>
      <c r="C14" s="2693">
        <f t="shared" si="8"/>
        <v>284.30282172386285</v>
      </c>
      <c r="D14" s="2693">
        <f t="shared" si="9"/>
        <v>284.30282172386285</v>
      </c>
      <c r="E14" s="2693">
        <f t="shared" si="10"/>
        <v>479.58023546306947</v>
      </c>
      <c r="F14" s="2693">
        <f t="shared" si="10"/>
        <v>253.25788877571213</v>
      </c>
      <c r="G14" s="3501"/>
      <c r="H14" s="2683">
        <v>1</v>
      </c>
      <c r="I14" s="2683">
        <v>4.09</v>
      </c>
      <c r="J14" s="2683">
        <v>2.93</v>
      </c>
      <c r="K14" s="2683">
        <v>4.54</v>
      </c>
      <c r="L14" s="2694">
        <v>1.48</v>
      </c>
      <c r="N14" s="2688">
        <f t="shared" si="11"/>
        <v>4.0899999999999999E-2</v>
      </c>
      <c r="O14" s="2689">
        <f t="shared" si="7"/>
        <v>2.9300000000000003E-2</v>
      </c>
      <c r="P14" s="2689">
        <f t="shared" si="7"/>
        <v>4.5400000000000003E-2</v>
      </c>
      <c r="Q14" s="2689">
        <f t="shared" si="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9"/>
        <v>277</v>
      </c>
      <c r="E15" s="2685">
        <v>459</v>
      </c>
      <c r="F15" s="2686">
        <v>249</v>
      </c>
      <c r="G15" s="3499">
        <v>2015</v>
      </c>
      <c r="H15" s="2699">
        <v>4</v>
      </c>
      <c r="I15" s="2699">
        <v>1.63</v>
      </c>
      <c r="J15" s="2699">
        <v>1.1100000000000001</v>
      </c>
      <c r="K15" s="2699">
        <v>1.77</v>
      </c>
      <c r="L15" s="2700">
        <v>1.89</v>
      </c>
      <c r="N15" s="2701">
        <f t="shared" si="11"/>
        <v>1.6299999999999999E-2</v>
      </c>
      <c r="O15" s="2702">
        <f t="shared" si="7"/>
        <v>1.11E-2</v>
      </c>
      <c r="P15" s="2702">
        <f t="shared" si="7"/>
        <v>1.77E-2</v>
      </c>
      <c r="Q15" s="2702">
        <f t="shared" si="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12">B15/(1+N15)</f>
        <v>327.65915576109415</v>
      </c>
      <c r="C16" s="2693">
        <f t="shared" si="12"/>
        <v>273.95905449510434</v>
      </c>
      <c r="D16" s="2693">
        <f t="shared" si="9"/>
        <v>273.95905449510434</v>
      </c>
      <c r="E16" s="2693">
        <f t="shared" ref="E16:F18" si="13">E15/(1+P15)</f>
        <v>451.01699911565294</v>
      </c>
      <c r="F16" s="2693">
        <f t="shared" si="13"/>
        <v>244.38119540681129</v>
      </c>
      <c r="G16" s="3500"/>
      <c r="H16" s="2704">
        <v>3</v>
      </c>
      <c r="I16" s="2704">
        <v>1.65</v>
      </c>
      <c r="J16" s="2704">
        <v>0.92</v>
      </c>
      <c r="K16" s="2704">
        <v>1.88</v>
      </c>
      <c r="L16" s="2705">
        <v>1.26</v>
      </c>
      <c r="N16" s="2688">
        <f t="shared" si="11"/>
        <v>1.6500000000000001E-2</v>
      </c>
      <c r="O16" s="2706">
        <f t="shared" si="7"/>
        <v>9.1999999999999998E-3</v>
      </c>
      <c r="P16" s="2706">
        <f t="shared" si="7"/>
        <v>1.8799999999999997E-2</v>
      </c>
      <c r="Q16" s="2706">
        <f t="shared" si="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12"/>
        <v>322.34053690220776</v>
      </c>
      <c r="C17" s="2693">
        <f t="shared" si="12"/>
        <v>271.46160770422546</v>
      </c>
      <c r="D17" s="2693">
        <f t="shared" si="9"/>
        <v>271.46160770422546</v>
      </c>
      <c r="E17" s="2693">
        <f t="shared" si="13"/>
        <v>442.69434542172456</v>
      </c>
      <c r="F17" s="2693">
        <f t="shared" si="13"/>
        <v>241.34030753190925</v>
      </c>
      <c r="G17" s="3500"/>
      <c r="H17" s="2684">
        <v>2</v>
      </c>
      <c r="I17" s="2684">
        <v>0.77</v>
      </c>
      <c r="J17" s="2684">
        <v>0.69</v>
      </c>
      <c r="K17" s="2684">
        <v>0.8</v>
      </c>
      <c r="L17" s="2695">
        <v>0.88</v>
      </c>
      <c r="N17" s="2688">
        <f t="shared" si="11"/>
        <v>7.7000000000000002E-3</v>
      </c>
      <c r="O17" s="2706">
        <f t="shared" si="7"/>
        <v>6.8999999999999999E-3</v>
      </c>
      <c r="P17" s="2706">
        <f t="shared" si="7"/>
        <v>8.0000000000000002E-3</v>
      </c>
      <c r="Q17" s="2706">
        <f t="shared" si="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12"/>
        <v>319.87748030386797</v>
      </c>
      <c r="C18" s="2693">
        <f t="shared" si="12"/>
        <v>269.60135833173649</v>
      </c>
      <c r="D18" s="2693">
        <f t="shared" si="9"/>
        <v>269.60135833173649</v>
      </c>
      <c r="E18" s="2693">
        <f t="shared" si="13"/>
        <v>439.18089823583784</v>
      </c>
      <c r="F18" s="2693">
        <f t="shared" si="13"/>
        <v>239.23503918706311</v>
      </c>
      <c r="G18" s="3501"/>
      <c r="H18" s="2683">
        <v>1</v>
      </c>
      <c r="I18" s="2683">
        <v>0.51</v>
      </c>
      <c r="J18" s="2683">
        <v>0.54</v>
      </c>
      <c r="K18" s="2683">
        <v>0.48</v>
      </c>
      <c r="L18" s="2694">
        <v>0.93</v>
      </c>
      <c r="N18" s="2696">
        <f t="shared" si="11"/>
        <v>5.1000000000000004E-3</v>
      </c>
      <c r="O18" s="2697">
        <f t="shared" si="7"/>
        <v>5.4000000000000003E-3</v>
      </c>
      <c r="P18" s="2697">
        <f t="shared" si="7"/>
        <v>4.7999999999999996E-3</v>
      </c>
      <c r="Q18" s="2697">
        <f t="shared" si="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9"/>
        <v>268</v>
      </c>
      <c r="E19" s="2707">
        <v>437</v>
      </c>
      <c r="F19" s="2708">
        <v>237</v>
      </c>
      <c r="G19" s="3499">
        <v>2014</v>
      </c>
      <c r="H19" s="2699">
        <v>4</v>
      </c>
      <c r="I19" s="2699">
        <v>0.21</v>
      </c>
      <c r="J19" s="2699">
        <v>0.41</v>
      </c>
      <c r="K19" s="2699">
        <v>0.12</v>
      </c>
      <c r="L19" s="2700">
        <v>0.89</v>
      </c>
      <c r="N19" s="2688">
        <f t="shared" si="11"/>
        <v>2.0999999999999999E-3</v>
      </c>
      <c r="O19" s="2689">
        <f t="shared" si="7"/>
        <v>4.0999999999999995E-3</v>
      </c>
      <c r="P19" s="2689">
        <f t="shared" si="7"/>
        <v>1.1999999999999999E-3</v>
      </c>
      <c r="Q19" s="2689">
        <f t="shared" si="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14">B19/(1+N19)</f>
        <v>317.33359944117353</v>
      </c>
      <c r="C20" s="2693">
        <f t="shared" si="14"/>
        <v>266.90568668459315</v>
      </c>
      <c r="D20" s="2693">
        <f t="shared" si="9"/>
        <v>266.90568668459315</v>
      </c>
      <c r="E20" s="2693">
        <f t="shared" ref="E20:F22" si="15">E19/(1+P19)</f>
        <v>436.47622852576905</v>
      </c>
      <c r="F20" s="2693">
        <f t="shared" si="15"/>
        <v>234.90930716622066</v>
      </c>
      <c r="G20" s="3500"/>
      <c r="H20" s="2709">
        <v>3</v>
      </c>
      <c r="I20" s="2709">
        <v>0.83</v>
      </c>
      <c r="J20" s="2709">
        <v>1.47</v>
      </c>
      <c r="K20" s="2709">
        <v>0.65</v>
      </c>
      <c r="L20" s="2710">
        <v>0.72</v>
      </c>
      <c r="N20" s="2688">
        <f t="shared" si="11"/>
        <v>8.3000000000000001E-3</v>
      </c>
      <c r="O20" s="2689">
        <f t="shared" si="7"/>
        <v>1.47E-2</v>
      </c>
      <c r="P20" s="2689">
        <f t="shared" si="7"/>
        <v>6.5000000000000006E-3</v>
      </c>
      <c r="Q20" s="2689">
        <f t="shared" si="7"/>
        <v>7.1999999999999998E-3</v>
      </c>
      <c r="R20" s="2690"/>
      <c r="S20" s="2688"/>
      <c r="T20" s="2689"/>
      <c r="U20" s="2689"/>
      <c r="V20" s="2689"/>
      <c r="X20" s="2778">
        <f>ROUND(SUMPRODUCT(PRODUCT(1+N20:N$21)),4)</f>
        <v>1.0325</v>
      </c>
      <c r="Y20" s="2778">
        <f>ROUND(SUMPRODUCT(PRODUCT(1+O20:O$21)),4)</f>
        <v>1.0353000000000001</v>
      </c>
      <c r="Z20" s="2778">
        <f>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14"/>
        <v>314.72141172386546</v>
      </c>
      <c r="C21" s="2693">
        <f t="shared" si="14"/>
        <v>263.03901319069001</v>
      </c>
      <c r="D21" s="2693">
        <f t="shared" si="9"/>
        <v>263.03901319069001</v>
      </c>
      <c r="E21" s="2693">
        <f t="shared" si="15"/>
        <v>433.65745506782821</v>
      </c>
      <c r="F21" s="2693">
        <f t="shared" si="15"/>
        <v>233.23005080045735</v>
      </c>
      <c r="G21" s="3500"/>
      <c r="H21" s="2699">
        <v>2</v>
      </c>
      <c r="I21" s="2699">
        <v>2.4</v>
      </c>
      <c r="J21" s="2699">
        <v>2.0299999999999998</v>
      </c>
      <c r="K21" s="2699">
        <v>2.59</v>
      </c>
      <c r="L21" s="2700">
        <v>1.52</v>
      </c>
      <c r="N21" s="2688">
        <f t="shared" si="11"/>
        <v>2.4E-2</v>
      </c>
      <c r="O21" s="2689">
        <f t="shared" si="7"/>
        <v>2.0299999999999999E-2</v>
      </c>
      <c r="P21" s="2689">
        <f t="shared" si="7"/>
        <v>2.5899999999999999E-2</v>
      </c>
      <c r="Q21" s="2689">
        <f t="shared" si="7"/>
        <v>1.52E-2</v>
      </c>
      <c r="R21" s="2690"/>
      <c r="S21" s="2688"/>
      <c r="T21" s="2689"/>
      <c r="U21" s="2689"/>
      <c r="V21" s="2689"/>
      <c r="X21" s="2778">
        <f>1+N21</f>
        <v>1.024</v>
      </c>
      <c r="Y21" s="2778">
        <f>1+O21</f>
        <v>1.0203</v>
      </c>
      <c r="Z21" s="2778">
        <f>Y21</f>
        <v>1.0203</v>
      </c>
      <c r="AA21" s="2778">
        <f>1+P21</f>
        <v>1.0259</v>
      </c>
      <c r="AB21" s="2778">
        <f>1+Q21</f>
        <v>1.0152000000000001</v>
      </c>
      <c r="AD21" s="2698">
        <f>ROUND(AVERAGE(I21:I$22)/100,4)</f>
        <v>2.69E-2</v>
      </c>
      <c r="AE21" s="2698">
        <f>ROUND(AVERAGE(J21:J$22)/100,4)</f>
        <v>2.1899999999999999E-2</v>
      </c>
      <c r="AF21" s="2698">
        <f>AE21</f>
        <v>2.1899999999999999E-2</v>
      </c>
      <c r="AG21" s="2698">
        <f>ROUND(AVERAGE(K21:K$22)/100,4)</f>
        <v>2.9399999999999999E-2</v>
      </c>
      <c r="AH21" s="2698">
        <f>ROUND(AVERAGE(L21:L$22)/100,4)</f>
        <v>1.44E-2</v>
      </c>
    </row>
    <row r="22" spans="1:34" s="2715" customFormat="1" ht="13.5" thickBot="1">
      <c r="A22" s="2711" t="s">
        <v>961</v>
      </c>
      <c r="B22" s="2712">
        <f t="shared" si="14"/>
        <v>307.34512863658733</v>
      </c>
      <c r="C22" s="2712">
        <f t="shared" si="14"/>
        <v>257.80556031626975</v>
      </c>
      <c r="D22" s="2712">
        <f t="shared" si="9"/>
        <v>257.80556031626975</v>
      </c>
      <c r="E22" s="2712">
        <f t="shared" si="15"/>
        <v>422.70928459677179</v>
      </c>
      <c r="F22" s="2712">
        <f t="shared" si="15"/>
        <v>229.73803270336617</v>
      </c>
      <c r="G22" s="3501"/>
      <c r="H22" s="2713">
        <v>1</v>
      </c>
      <c r="I22" s="2713">
        <v>2.97</v>
      </c>
      <c r="J22" s="2713">
        <v>2.34</v>
      </c>
      <c r="K22" s="2713">
        <v>3.28</v>
      </c>
      <c r="L22" s="2714">
        <v>1.36</v>
      </c>
      <c r="N22" s="2716">
        <f t="shared" si="11"/>
        <v>2.9700000000000001E-2</v>
      </c>
      <c r="O22" s="2717">
        <f t="shared" si="7"/>
        <v>2.3399999999999997E-2</v>
      </c>
      <c r="P22" s="2717">
        <f t="shared" si="7"/>
        <v>3.2799999999999996E-2</v>
      </c>
      <c r="Q22" s="2717">
        <f t="shared" si="7"/>
        <v>1.3600000000000001E-2</v>
      </c>
      <c r="R22" s="2718"/>
      <c r="S22" s="2719">
        <f>B22/B23-1</f>
        <v>2.7910129219355539E-2</v>
      </c>
      <c r="T22" s="2720">
        <f>C22/C23-1</f>
        <v>2.3037937762975247E-2</v>
      </c>
      <c r="U22" s="2720">
        <f>E22/E23-1</f>
        <v>3.3519033243940788E-2</v>
      </c>
      <c r="V22" s="2720">
        <f>F22/F23-1</f>
        <v>1.2061818076502862E-2</v>
      </c>
      <c r="W22" s="2787" t="s">
        <v>2640</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2583</v>
      </c>
      <c r="B23" s="2685">
        <v>299</v>
      </c>
      <c r="C23" s="2685">
        <v>252</v>
      </c>
      <c r="D23" s="2685">
        <f t="shared" si="9"/>
        <v>252</v>
      </c>
      <c r="E23" s="2685">
        <v>409</v>
      </c>
      <c r="F23" s="2686">
        <v>227</v>
      </c>
      <c r="G23" s="3502">
        <v>2013</v>
      </c>
      <c r="H23" s="2721">
        <v>4</v>
      </c>
      <c r="I23" s="2721">
        <v>1.83</v>
      </c>
      <c r="J23" s="2721">
        <v>1.68</v>
      </c>
      <c r="K23" s="2721">
        <v>1.97</v>
      </c>
      <c r="L23" s="2722">
        <v>0.87</v>
      </c>
      <c r="N23" s="2701">
        <f t="shared" si="11"/>
        <v>1.83E-2</v>
      </c>
      <c r="O23" s="2702">
        <f t="shared" si="7"/>
        <v>1.6799999999999999E-2</v>
      </c>
      <c r="P23" s="2702">
        <f t="shared" si="7"/>
        <v>1.9699999999999999E-2</v>
      </c>
      <c r="Q23" s="2702">
        <f t="shared" si="7"/>
        <v>8.6999999999999994E-3</v>
      </c>
      <c r="R23" s="2690"/>
      <c r="S23" s="2691"/>
      <c r="T23" s="2692"/>
      <c r="U23" s="2692"/>
      <c r="V23" s="2692"/>
      <c r="X23" s="2692"/>
      <c r="Y23" s="2692"/>
      <c r="Z23" s="2692"/>
    </row>
    <row r="24" spans="1:34">
      <c r="A24" s="2679" t="s">
        <v>2584</v>
      </c>
      <c r="B24" s="2693">
        <f t="shared" ref="B24:C26" si="16">B23/(1+N23)</f>
        <v>293.62663262299913</v>
      </c>
      <c r="C24" s="2693">
        <f t="shared" si="16"/>
        <v>247.83634933123525</v>
      </c>
      <c r="D24" s="2693">
        <f t="shared" si="9"/>
        <v>247.83634933123525</v>
      </c>
      <c r="E24" s="2693">
        <f t="shared" ref="E24:F26" si="17">E23/(1+P23)</f>
        <v>401.09836226341076</v>
      </c>
      <c r="F24" s="2693">
        <f t="shared" si="17"/>
        <v>225.04213343908003</v>
      </c>
      <c r="G24" s="3503"/>
      <c r="H24" s="2704">
        <v>3</v>
      </c>
      <c r="I24" s="2704">
        <v>1.86</v>
      </c>
      <c r="J24" s="2704">
        <v>1.72</v>
      </c>
      <c r="K24" s="2704">
        <v>1.98</v>
      </c>
      <c r="L24" s="2705">
        <v>0.88</v>
      </c>
      <c r="N24" s="2688">
        <f t="shared" si="11"/>
        <v>1.8600000000000002E-2</v>
      </c>
      <c r="O24" s="2706">
        <f t="shared" si="7"/>
        <v>1.72E-2</v>
      </c>
      <c r="P24" s="2706">
        <f t="shared" si="7"/>
        <v>1.9799999999999998E-2</v>
      </c>
      <c r="Q24" s="2706">
        <f t="shared" si="7"/>
        <v>8.8000000000000005E-3</v>
      </c>
      <c r="R24" s="2690"/>
      <c r="S24" s="2688"/>
      <c r="T24" s="2689"/>
      <c r="U24" s="2689"/>
      <c r="V24" s="2689"/>
    </row>
    <row r="25" spans="1:34">
      <c r="A25" s="2679" t="s">
        <v>2585</v>
      </c>
      <c r="B25" s="2693">
        <f t="shared" si="16"/>
        <v>288.2649053828776</v>
      </c>
      <c r="C25" s="2693">
        <f t="shared" si="16"/>
        <v>243.64564425013293</v>
      </c>
      <c r="D25" s="2693">
        <f t="shared" si="9"/>
        <v>243.64564425013293</v>
      </c>
      <c r="E25" s="2693">
        <f t="shared" si="17"/>
        <v>393.31080825986544</v>
      </c>
      <c r="F25" s="2693">
        <f t="shared" si="17"/>
        <v>223.07903790551154</v>
      </c>
      <c r="G25" s="3503"/>
      <c r="H25" s="2684">
        <v>2</v>
      </c>
      <c r="I25" s="2684">
        <v>2.04</v>
      </c>
      <c r="J25" s="2684">
        <v>2.33</v>
      </c>
      <c r="K25" s="2684">
        <v>2.0699999999999998</v>
      </c>
      <c r="L25" s="2695">
        <v>0.69</v>
      </c>
      <c r="N25" s="2688">
        <f t="shared" si="11"/>
        <v>2.0400000000000001E-2</v>
      </c>
      <c r="O25" s="2706">
        <f t="shared" si="7"/>
        <v>2.3300000000000001E-2</v>
      </c>
      <c r="P25" s="2706">
        <f t="shared" si="7"/>
        <v>2.07E-2</v>
      </c>
      <c r="Q25" s="2706">
        <f t="shared" si="7"/>
        <v>6.8999999999999999E-3</v>
      </c>
      <c r="R25" s="2690"/>
      <c r="S25" s="2688"/>
      <c r="T25" s="2689"/>
      <c r="U25" s="2689"/>
      <c r="V25" s="2689"/>
      <c r="X25" s="2790"/>
      <c r="Y25" s="2792"/>
    </row>
    <row r="26" spans="1:34">
      <c r="A26" s="2679" t="s">
        <v>2586</v>
      </c>
      <c r="B26" s="2693">
        <f t="shared" si="16"/>
        <v>282.50186729015837</v>
      </c>
      <c r="C26" s="2693">
        <f t="shared" si="16"/>
        <v>238.09796174155468</v>
      </c>
      <c r="D26" s="2693">
        <f t="shared" si="9"/>
        <v>238.09796174155468</v>
      </c>
      <c r="E26" s="2693">
        <f t="shared" si="17"/>
        <v>385.33438646014054</v>
      </c>
      <c r="F26" s="2693">
        <f t="shared" si="17"/>
        <v>221.55034055567739</v>
      </c>
      <c r="G26" s="3504"/>
      <c r="H26" s="2683">
        <v>1</v>
      </c>
      <c r="I26" s="2683">
        <v>1.67</v>
      </c>
      <c r="J26" s="2683">
        <v>1.31</v>
      </c>
      <c r="K26" s="2683">
        <v>1.85</v>
      </c>
      <c r="L26" s="2694">
        <v>0.96</v>
      </c>
      <c r="N26" s="2696">
        <f t="shared" si="11"/>
        <v>1.67E-2</v>
      </c>
      <c r="O26" s="2697">
        <f t="shared" si="7"/>
        <v>1.3100000000000001E-2</v>
      </c>
      <c r="P26" s="2697">
        <f t="shared" si="7"/>
        <v>1.8500000000000003E-2</v>
      </c>
      <c r="Q26" s="2697">
        <f t="shared" si="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2587</v>
      </c>
      <c r="B27" s="2723">
        <v>278</v>
      </c>
      <c r="C27" s="2723">
        <v>234</v>
      </c>
      <c r="D27" s="2723">
        <f t="shared" si="9"/>
        <v>234</v>
      </c>
      <c r="E27" s="2723">
        <v>379</v>
      </c>
      <c r="F27" s="2724">
        <v>220</v>
      </c>
      <c r="G27" s="3499">
        <v>2012</v>
      </c>
      <c r="H27" s="2699">
        <v>4</v>
      </c>
      <c r="I27" s="2699">
        <v>0.91</v>
      </c>
      <c r="J27" s="2699">
        <v>0.68</v>
      </c>
      <c r="K27" s="2699">
        <v>0.98</v>
      </c>
      <c r="L27" s="2700">
        <v>0.9</v>
      </c>
      <c r="N27" s="2688">
        <f t="shared" si="11"/>
        <v>9.1000000000000004E-3</v>
      </c>
      <c r="O27" s="2689">
        <f t="shared" si="11"/>
        <v>6.8000000000000005E-3</v>
      </c>
      <c r="P27" s="2689">
        <f t="shared" si="11"/>
        <v>9.7999999999999997E-3</v>
      </c>
      <c r="Q27" s="2689">
        <f t="shared" si="11"/>
        <v>9.0000000000000011E-3</v>
      </c>
      <c r="R27" s="2690"/>
      <c r="S27" s="2691"/>
      <c r="T27" s="2692"/>
      <c r="U27" s="2692"/>
      <c r="V27" s="2692"/>
      <c r="X27" s="2692"/>
      <c r="Y27" s="2692"/>
      <c r="Z27" s="2692"/>
    </row>
    <row r="28" spans="1:34">
      <c r="A28" s="2679" t="s">
        <v>2588</v>
      </c>
      <c r="B28" s="2693">
        <f>B27/(1+N27)</f>
        <v>275.49301357645425</v>
      </c>
      <c r="C28" s="2693">
        <f>C27/(1+O27)</f>
        <v>232.41954707985698</v>
      </c>
      <c r="D28" s="2693">
        <f t="shared" si="9"/>
        <v>232.41954707985698</v>
      </c>
      <c r="E28" s="2693">
        <f t="shared" ref="E28:F30" si="18">E27/(1+P27)</f>
        <v>375.32184591008121</v>
      </c>
      <c r="F28" s="2693">
        <f t="shared" si="18"/>
        <v>218.03766105054513</v>
      </c>
      <c r="G28" s="3500"/>
      <c r="H28" s="2704">
        <v>3</v>
      </c>
      <c r="I28" s="2704">
        <v>0.09</v>
      </c>
      <c r="J28" s="2704">
        <v>0.28999999999999998</v>
      </c>
      <c r="K28" s="2704">
        <v>-0.01</v>
      </c>
      <c r="L28" s="2705">
        <v>0.57999999999999996</v>
      </c>
      <c r="N28" s="2688">
        <f t="shared" si="11"/>
        <v>8.9999999999999998E-4</v>
      </c>
      <c r="O28" s="2689">
        <f t="shared" si="11"/>
        <v>2.8999999999999998E-3</v>
      </c>
      <c r="P28" s="2689">
        <f t="shared" si="11"/>
        <v>-1E-4</v>
      </c>
      <c r="Q28" s="2689">
        <f t="shared" si="11"/>
        <v>5.7999999999999996E-3</v>
      </c>
      <c r="R28" s="2690"/>
      <c r="S28" s="2688"/>
      <c r="T28" s="2689"/>
      <c r="U28" s="2689"/>
      <c r="V28" s="2689"/>
    </row>
    <row r="29" spans="1:34">
      <c r="A29" s="2679" t="s">
        <v>2589</v>
      </c>
      <c r="B29" s="2693">
        <f>B28/(1+N28)</f>
        <v>275.24529281292263</v>
      </c>
      <c r="C29" s="2693">
        <f>C28/(1+O28)</f>
        <v>231.74747938962707</v>
      </c>
      <c r="D29" s="2693">
        <f t="shared" si="9"/>
        <v>231.74747938962707</v>
      </c>
      <c r="E29" s="2693">
        <f t="shared" si="18"/>
        <v>375.35938184826603</v>
      </c>
      <c r="F29" s="2693">
        <f t="shared" si="18"/>
        <v>216.78033510692495</v>
      </c>
      <c r="G29" s="3500"/>
      <c r="H29" s="2684">
        <v>2</v>
      </c>
      <c r="I29" s="2684">
        <v>0.02</v>
      </c>
      <c r="J29" s="2684">
        <v>0.12</v>
      </c>
      <c r="K29" s="2684">
        <v>-0.08</v>
      </c>
      <c r="L29" s="2695">
        <v>1.24</v>
      </c>
      <c r="N29" s="2688">
        <f t="shared" si="11"/>
        <v>2.0000000000000001E-4</v>
      </c>
      <c r="O29" s="2689">
        <f t="shared" si="11"/>
        <v>1.1999999999999999E-3</v>
      </c>
      <c r="P29" s="2689">
        <f t="shared" si="11"/>
        <v>-8.0000000000000004E-4</v>
      </c>
      <c r="Q29" s="2689">
        <f t="shared" si="11"/>
        <v>1.24E-2</v>
      </c>
      <c r="R29" s="2690"/>
      <c r="S29" s="2688"/>
      <c r="T29" s="2689"/>
      <c r="U29" s="2689"/>
      <c r="V29" s="2689"/>
    </row>
    <row r="30" spans="1:34" ht="13.5" thickBot="1">
      <c r="A30" s="2679" t="s">
        <v>2590</v>
      </c>
      <c r="B30" s="2693">
        <f>B29/(1+N29)</f>
        <v>275.19025476197027</v>
      </c>
      <c r="C30" s="2725">
        <v>232</v>
      </c>
      <c r="D30" s="2725">
        <f t="shared" si="9"/>
        <v>232</v>
      </c>
      <c r="E30" s="2693">
        <f t="shared" si="18"/>
        <v>375.65990977608692</v>
      </c>
      <c r="F30" s="2693">
        <f t="shared" si="18"/>
        <v>214.12518283971252</v>
      </c>
      <c r="G30" s="3501"/>
      <c r="H30" s="2683">
        <v>1</v>
      </c>
      <c r="I30" s="2683">
        <v>0.02</v>
      </c>
      <c r="J30" s="2683">
        <v>0.13</v>
      </c>
      <c r="K30" s="2683">
        <v>-0.04</v>
      </c>
      <c r="L30" s="2694">
        <v>0.46</v>
      </c>
      <c r="N30" s="2688">
        <f t="shared" si="11"/>
        <v>2.0000000000000001E-4</v>
      </c>
      <c r="O30" s="2689">
        <f t="shared" si="11"/>
        <v>1.2999999999999999E-3</v>
      </c>
      <c r="P30" s="2689">
        <f t="shared" si="11"/>
        <v>-4.0000000000000002E-4</v>
      </c>
      <c r="Q30" s="2689">
        <f t="shared" si="1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2591</v>
      </c>
      <c r="B31" s="2685">
        <v>275</v>
      </c>
      <c r="C31" s="2685">
        <v>232</v>
      </c>
      <c r="D31" s="2685">
        <f t="shared" si="9"/>
        <v>232</v>
      </c>
      <c r="E31" s="2685">
        <v>376</v>
      </c>
      <c r="F31" s="2686">
        <v>213</v>
      </c>
      <c r="G31" s="3499">
        <v>2011</v>
      </c>
      <c r="H31" s="2699">
        <v>4</v>
      </c>
      <c r="I31" s="2699">
        <v>-0.2</v>
      </c>
      <c r="J31" s="2699">
        <v>0.04</v>
      </c>
      <c r="K31" s="2699">
        <v>-0.34</v>
      </c>
      <c r="L31" s="2700">
        <v>0.46</v>
      </c>
      <c r="N31" s="2701">
        <f t="shared" si="11"/>
        <v>-2E-3</v>
      </c>
      <c r="O31" s="2702">
        <f t="shared" si="11"/>
        <v>4.0000000000000002E-4</v>
      </c>
      <c r="P31" s="2702">
        <f t="shared" si="11"/>
        <v>-3.4000000000000002E-3</v>
      </c>
      <c r="Q31" s="2702">
        <f t="shared" si="11"/>
        <v>4.5999999999999999E-3</v>
      </c>
      <c r="R31" s="2690"/>
      <c r="S31" s="2691"/>
      <c r="T31" s="2692"/>
      <c r="U31" s="2692"/>
      <c r="V31" s="2692"/>
      <c r="X31" s="2692"/>
      <c r="Y31" s="2692"/>
      <c r="Z31" s="2692"/>
    </row>
    <row r="32" spans="1:34">
      <c r="A32" s="2679" t="s">
        <v>2592</v>
      </c>
      <c r="B32" s="2693">
        <f t="shared" ref="B32:C34" si="19">B31/(1+N31)</f>
        <v>275.55110220440883</v>
      </c>
      <c r="C32" s="2693">
        <f t="shared" si="19"/>
        <v>231.90723710515795</v>
      </c>
      <c r="D32" s="2693">
        <f t="shared" si="9"/>
        <v>231.90723710515795</v>
      </c>
      <c r="E32" s="2693">
        <f t="shared" ref="E32:F34" si="20">E31/(1+P31)</f>
        <v>377.28276138872161</v>
      </c>
      <c r="F32" s="2693">
        <f t="shared" si="20"/>
        <v>212.02468644236512</v>
      </c>
      <c r="G32" s="3500">
        <v>2011</v>
      </c>
      <c r="H32" s="2704">
        <v>3</v>
      </c>
      <c r="I32" s="2704">
        <v>0.13</v>
      </c>
      <c r="J32" s="2704">
        <v>0.75</v>
      </c>
      <c r="K32" s="2704">
        <v>-0.08</v>
      </c>
      <c r="L32" s="2705">
        <v>0.53</v>
      </c>
      <c r="N32" s="2688">
        <f t="shared" si="11"/>
        <v>1.2999999999999999E-3</v>
      </c>
      <c r="O32" s="2706">
        <f t="shared" si="11"/>
        <v>7.4999999999999997E-3</v>
      </c>
      <c r="P32" s="2706">
        <f t="shared" si="11"/>
        <v>-8.0000000000000004E-4</v>
      </c>
      <c r="Q32" s="2706">
        <f t="shared" si="11"/>
        <v>5.3E-3</v>
      </c>
      <c r="R32" s="2690"/>
      <c r="S32" s="2688"/>
      <c r="T32" s="2689"/>
      <c r="U32" s="2689"/>
      <c r="V32" s="2689"/>
    </row>
    <row r="33" spans="1:26">
      <c r="A33" s="2679" t="s">
        <v>2593</v>
      </c>
      <c r="B33" s="2693">
        <f t="shared" si="19"/>
        <v>275.19335084830601</v>
      </c>
      <c r="C33" s="2693">
        <f t="shared" si="19"/>
        <v>230.18088050139744</v>
      </c>
      <c r="D33" s="2693">
        <f t="shared" si="9"/>
        <v>230.18088050139744</v>
      </c>
      <c r="E33" s="2693">
        <f t="shared" si="20"/>
        <v>377.58482925212331</v>
      </c>
      <c r="F33" s="2693">
        <f t="shared" si="20"/>
        <v>210.90687997847917</v>
      </c>
      <c r="G33" s="3500">
        <v>2011</v>
      </c>
      <c r="H33" s="2684">
        <v>2</v>
      </c>
      <c r="I33" s="2684">
        <v>-0.4</v>
      </c>
      <c r="J33" s="2684">
        <v>0.17</v>
      </c>
      <c r="K33" s="2684">
        <v>-0.57999999999999996</v>
      </c>
      <c r="L33" s="2695">
        <v>-0.2</v>
      </c>
      <c r="N33" s="2688">
        <f t="shared" si="11"/>
        <v>-4.0000000000000001E-3</v>
      </c>
      <c r="O33" s="2706">
        <f t="shared" si="11"/>
        <v>1.7000000000000001E-3</v>
      </c>
      <c r="P33" s="2706">
        <f t="shared" si="11"/>
        <v>-5.7999999999999996E-3</v>
      </c>
      <c r="Q33" s="2706">
        <f t="shared" si="11"/>
        <v>-2E-3</v>
      </c>
      <c r="R33" s="2690"/>
      <c r="S33" s="2688"/>
      <c r="T33" s="2689"/>
      <c r="U33" s="2689"/>
      <c r="V33" s="2689"/>
    </row>
    <row r="34" spans="1:26" ht="13.5" thickBot="1">
      <c r="A34" s="2679" t="s">
        <v>2594</v>
      </c>
      <c r="B34" s="2693">
        <f t="shared" si="19"/>
        <v>276.29854502841971</v>
      </c>
      <c r="C34" s="2693">
        <f t="shared" si="19"/>
        <v>229.79023709833027</v>
      </c>
      <c r="D34" s="2693">
        <f t="shared" si="9"/>
        <v>229.79023709833027</v>
      </c>
      <c r="E34" s="2693">
        <f t="shared" si="20"/>
        <v>379.78759731655936</v>
      </c>
      <c r="F34" s="2693">
        <f t="shared" si="20"/>
        <v>211.32953905659235</v>
      </c>
      <c r="G34" s="3501">
        <v>2011</v>
      </c>
      <c r="H34" s="2683">
        <v>1</v>
      </c>
      <c r="I34" s="2683">
        <v>2.65</v>
      </c>
      <c r="J34" s="2683">
        <v>3.76</v>
      </c>
      <c r="K34" s="2683">
        <v>1.89</v>
      </c>
      <c r="L34" s="2694">
        <v>7.95</v>
      </c>
      <c r="N34" s="2696">
        <f t="shared" si="11"/>
        <v>2.6499999999999999E-2</v>
      </c>
      <c r="O34" s="2697">
        <f t="shared" si="11"/>
        <v>3.7599999999999995E-2</v>
      </c>
      <c r="P34" s="2697">
        <f t="shared" si="11"/>
        <v>1.89E-2</v>
      </c>
      <c r="Q34" s="2697">
        <f t="shared" si="1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2595</v>
      </c>
      <c r="B35" s="2685">
        <v>269</v>
      </c>
      <c r="C35" s="2685">
        <v>221</v>
      </c>
      <c r="D35" s="2685">
        <f t="shared" si="9"/>
        <v>221</v>
      </c>
      <c r="E35" s="2685">
        <v>373</v>
      </c>
      <c r="F35" s="2686">
        <v>196</v>
      </c>
      <c r="G35" s="3499">
        <v>2010</v>
      </c>
      <c r="H35" s="2699">
        <v>4</v>
      </c>
      <c r="I35" s="2699">
        <v>5.72</v>
      </c>
      <c r="J35" s="2699">
        <v>6.57</v>
      </c>
      <c r="K35" s="2699">
        <v>5.72</v>
      </c>
      <c r="L35" s="2700">
        <v>2.72</v>
      </c>
      <c r="N35" s="2688">
        <f t="shared" si="11"/>
        <v>5.7200000000000001E-2</v>
      </c>
      <c r="O35" s="2689">
        <f t="shared" si="11"/>
        <v>6.5700000000000008E-2</v>
      </c>
      <c r="P35" s="2689">
        <f t="shared" si="11"/>
        <v>5.7200000000000001E-2</v>
      </c>
      <c r="Q35" s="2689">
        <f t="shared" si="11"/>
        <v>2.7200000000000002E-2</v>
      </c>
      <c r="R35" s="2690"/>
      <c r="S35" s="2691"/>
      <c r="T35" s="2692"/>
      <c r="U35" s="2692"/>
      <c r="V35" s="2692"/>
      <c r="X35" s="2692"/>
      <c r="Y35" s="2692"/>
      <c r="Z35" s="2692"/>
    </row>
    <row r="36" spans="1:26">
      <c r="A36" s="2679" t="s">
        <v>2596</v>
      </c>
      <c r="B36" s="2693">
        <f t="shared" ref="B36:C38" si="21">B35/(1+N35)</f>
        <v>254.44570563753314</v>
      </c>
      <c r="C36" s="2693">
        <f t="shared" si="21"/>
        <v>207.37543398705074</v>
      </c>
      <c r="D36" s="2693">
        <f t="shared" si="9"/>
        <v>207.37543398705074</v>
      </c>
      <c r="E36" s="2693">
        <f t="shared" ref="E36:F38" si="22">E35/(1+P35)</f>
        <v>352.81876655315932</v>
      </c>
      <c r="F36" s="2693">
        <f t="shared" si="22"/>
        <v>190.809968847352</v>
      </c>
      <c r="G36" s="3500">
        <v>2010</v>
      </c>
      <c r="H36" s="2704">
        <v>3</v>
      </c>
      <c r="I36" s="2704">
        <v>4.7300000000000004</v>
      </c>
      <c r="J36" s="2704">
        <v>3.9</v>
      </c>
      <c r="K36" s="2704">
        <v>5.03</v>
      </c>
      <c r="L36" s="2705">
        <v>4.21</v>
      </c>
      <c r="N36" s="2688">
        <f t="shared" si="11"/>
        <v>4.7300000000000002E-2</v>
      </c>
      <c r="O36" s="2689">
        <f t="shared" si="11"/>
        <v>3.9E-2</v>
      </c>
      <c r="P36" s="2689">
        <f t="shared" si="11"/>
        <v>5.0300000000000004E-2</v>
      </c>
      <c r="Q36" s="2689">
        <f t="shared" si="11"/>
        <v>4.2099999999999999E-2</v>
      </c>
      <c r="R36" s="2690"/>
      <c r="S36" s="2688"/>
      <c r="T36" s="2689"/>
      <c r="U36" s="2689"/>
      <c r="V36" s="2689"/>
    </row>
    <row r="37" spans="1:26">
      <c r="A37" s="2679" t="s">
        <v>2597</v>
      </c>
      <c r="B37" s="2693">
        <f t="shared" si="21"/>
        <v>242.95398227588385</v>
      </c>
      <c r="C37" s="2693">
        <f t="shared" si="21"/>
        <v>199.59137053614126</v>
      </c>
      <c r="D37" s="2693">
        <f t="shared" si="9"/>
        <v>199.59137053614126</v>
      </c>
      <c r="E37" s="2693">
        <f t="shared" si="22"/>
        <v>335.92189522342125</v>
      </c>
      <c r="F37" s="2693">
        <f t="shared" si="22"/>
        <v>183.10139991109489</v>
      </c>
      <c r="G37" s="3500">
        <v>2010</v>
      </c>
      <c r="H37" s="2684">
        <v>2</v>
      </c>
      <c r="I37" s="2684">
        <v>4.6900000000000004</v>
      </c>
      <c r="J37" s="2684">
        <v>3.55</v>
      </c>
      <c r="K37" s="2684">
        <v>5.07</v>
      </c>
      <c r="L37" s="2695">
        <v>4.2300000000000004</v>
      </c>
      <c r="N37" s="2688">
        <f t="shared" si="11"/>
        <v>4.6900000000000004E-2</v>
      </c>
      <c r="O37" s="2689">
        <f t="shared" si="11"/>
        <v>3.5499999999999997E-2</v>
      </c>
      <c r="P37" s="2689">
        <f t="shared" si="11"/>
        <v>5.0700000000000002E-2</v>
      </c>
      <c r="Q37" s="2689">
        <f t="shared" si="11"/>
        <v>4.2300000000000004E-2</v>
      </c>
      <c r="R37" s="2690"/>
      <c r="S37" s="2688"/>
      <c r="T37" s="2689"/>
      <c r="U37" s="2689"/>
      <c r="V37" s="2689"/>
    </row>
    <row r="38" spans="1:26" ht="13.5" thickBot="1">
      <c r="A38" s="2679" t="s">
        <v>2598</v>
      </c>
      <c r="B38" s="2693">
        <f t="shared" si="21"/>
        <v>232.06990378821649</v>
      </c>
      <c r="C38" s="2693">
        <f t="shared" si="21"/>
        <v>192.74878854286936</v>
      </c>
      <c r="D38" s="2693">
        <f t="shared" si="9"/>
        <v>192.74878854286936</v>
      </c>
      <c r="E38" s="2693">
        <f t="shared" si="22"/>
        <v>319.71247284992984</v>
      </c>
      <c r="F38" s="2693">
        <f t="shared" si="22"/>
        <v>175.67053622862409</v>
      </c>
      <c r="G38" s="3501">
        <v>2010</v>
      </c>
      <c r="H38" s="2683">
        <v>1</v>
      </c>
      <c r="I38" s="2683">
        <v>5.4</v>
      </c>
      <c r="J38" s="2683">
        <v>3.2</v>
      </c>
      <c r="K38" s="2683">
        <v>6.16</v>
      </c>
      <c r="L38" s="2694">
        <v>4.51</v>
      </c>
      <c r="N38" s="2688">
        <f t="shared" si="11"/>
        <v>5.4000000000000006E-2</v>
      </c>
      <c r="O38" s="2689">
        <f t="shared" si="11"/>
        <v>3.2000000000000001E-2</v>
      </c>
      <c r="P38" s="2689">
        <f t="shared" si="11"/>
        <v>6.1600000000000002E-2</v>
      </c>
      <c r="Q38" s="2689">
        <f t="shared" si="1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2599</v>
      </c>
      <c r="B39" s="2685">
        <v>220</v>
      </c>
      <c r="C39" s="2685">
        <v>187</v>
      </c>
      <c r="D39" s="2685">
        <f t="shared" si="9"/>
        <v>187</v>
      </c>
      <c r="E39" s="2685">
        <v>301</v>
      </c>
      <c r="F39" s="2686">
        <v>168</v>
      </c>
      <c r="G39" s="3499">
        <v>2009</v>
      </c>
      <c r="H39" s="2699">
        <v>4</v>
      </c>
      <c r="I39" s="2699">
        <v>2.2999999999999998</v>
      </c>
      <c r="J39" s="2699">
        <v>1.04</v>
      </c>
      <c r="K39" s="2699">
        <v>2.84</v>
      </c>
      <c r="L39" s="2700">
        <v>0.67</v>
      </c>
      <c r="N39" s="2701">
        <f t="shared" si="11"/>
        <v>2.3E-2</v>
      </c>
      <c r="O39" s="2702">
        <f t="shared" si="11"/>
        <v>1.04E-2</v>
      </c>
      <c r="P39" s="2702">
        <f t="shared" si="11"/>
        <v>2.8399999999999998E-2</v>
      </c>
      <c r="Q39" s="2702">
        <f t="shared" si="11"/>
        <v>6.7000000000000002E-3</v>
      </c>
      <c r="R39" s="2690"/>
      <c r="S39" s="2691"/>
      <c r="T39" s="2692"/>
      <c r="U39" s="2692"/>
      <c r="V39" s="2692"/>
      <c r="X39" s="2692"/>
      <c r="Y39" s="2692"/>
      <c r="Z39" s="2692"/>
    </row>
    <row r="40" spans="1:26">
      <c r="A40" s="2679" t="s">
        <v>2600</v>
      </c>
      <c r="B40" s="2693">
        <f t="shared" ref="B40:C42" si="23">B39/(1+N39)</f>
        <v>215.05376344086022</v>
      </c>
      <c r="C40" s="2693">
        <f t="shared" si="23"/>
        <v>185.0752177355503</v>
      </c>
      <c r="D40" s="2693">
        <f t="shared" si="9"/>
        <v>185.0752177355503</v>
      </c>
      <c r="E40" s="2693">
        <f t="shared" ref="E40:F42" si="24">E39/(1+P39)</f>
        <v>292.68767016725008</v>
      </c>
      <c r="F40" s="2693">
        <f t="shared" si="24"/>
        <v>166.88189132810174</v>
      </c>
      <c r="G40" s="3500">
        <v>2009</v>
      </c>
      <c r="H40" s="2704">
        <v>3</v>
      </c>
      <c r="I40" s="2704">
        <v>2.1</v>
      </c>
      <c r="J40" s="2704">
        <v>1.86</v>
      </c>
      <c r="K40" s="2704">
        <v>2.29</v>
      </c>
      <c r="L40" s="2705">
        <v>0.85</v>
      </c>
      <c r="N40" s="2688">
        <f t="shared" si="11"/>
        <v>2.1000000000000001E-2</v>
      </c>
      <c r="O40" s="2706">
        <f t="shared" si="11"/>
        <v>1.8600000000000002E-2</v>
      </c>
      <c r="P40" s="2706">
        <f t="shared" si="11"/>
        <v>2.29E-2</v>
      </c>
      <c r="Q40" s="2706">
        <f t="shared" si="11"/>
        <v>8.5000000000000006E-3</v>
      </c>
      <c r="R40" s="2690"/>
      <c r="S40" s="2688"/>
      <c r="T40" s="2689"/>
      <c r="U40" s="2689"/>
      <c r="V40" s="2689"/>
    </row>
    <row r="41" spans="1:26">
      <c r="A41" s="2679" t="s">
        <v>2601</v>
      </c>
      <c r="B41" s="2693">
        <f t="shared" si="23"/>
        <v>210.630522469011</v>
      </c>
      <c r="C41" s="2693">
        <f t="shared" si="23"/>
        <v>181.69567812247232</v>
      </c>
      <c r="D41" s="2693">
        <f t="shared" si="9"/>
        <v>181.69567812247232</v>
      </c>
      <c r="E41" s="2693">
        <f t="shared" si="24"/>
        <v>286.13517466736738</v>
      </c>
      <c r="F41" s="2693">
        <f t="shared" si="24"/>
        <v>165.47535084591149</v>
      </c>
      <c r="G41" s="3500">
        <v>2009</v>
      </c>
      <c r="H41" s="2684">
        <v>2</v>
      </c>
      <c r="I41" s="2684">
        <v>0.86</v>
      </c>
      <c r="J41" s="2684">
        <v>-1.1299999999999999</v>
      </c>
      <c r="K41" s="2684">
        <v>1.79</v>
      </c>
      <c r="L41" s="2695">
        <v>-2.0699999999999998</v>
      </c>
      <c r="N41" s="2688">
        <f t="shared" si="11"/>
        <v>8.6E-3</v>
      </c>
      <c r="O41" s="2706">
        <f t="shared" si="11"/>
        <v>-1.1299999999999999E-2</v>
      </c>
      <c r="P41" s="2706">
        <f t="shared" si="11"/>
        <v>1.7899999999999999E-2</v>
      </c>
      <c r="Q41" s="2706">
        <f t="shared" si="11"/>
        <v>-2.07E-2</v>
      </c>
      <c r="R41" s="2690"/>
      <c r="S41" s="2688"/>
      <c r="T41" s="2689"/>
      <c r="U41" s="2689"/>
      <c r="V41" s="2689"/>
    </row>
    <row r="42" spans="1:26">
      <c r="A42" s="2679" t="s">
        <v>2602</v>
      </c>
      <c r="B42" s="2693">
        <f t="shared" si="23"/>
        <v>208.83454537875372</v>
      </c>
      <c r="C42" s="2693">
        <f t="shared" si="23"/>
        <v>183.77230517090351</v>
      </c>
      <c r="D42" s="2693">
        <f t="shared" si="9"/>
        <v>183.77230517090351</v>
      </c>
      <c r="E42" s="2693">
        <f t="shared" si="24"/>
        <v>281.10342338870947</v>
      </c>
      <c r="F42" s="2693">
        <f t="shared" si="24"/>
        <v>168.97309388942256</v>
      </c>
      <c r="G42" s="3501">
        <v>2009</v>
      </c>
      <c r="H42" s="2683">
        <v>1</v>
      </c>
      <c r="I42" s="2683">
        <v>-2.64</v>
      </c>
      <c r="J42" s="2683">
        <v>-2.5299999999999998</v>
      </c>
      <c r="K42" s="2683">
        <v>-3.02</v>
      </c>
      <c r="L42" s="2694">
        <v>1.52</v>
      </c>
      <c r="N42" s="2696">
        <f t="shared" si="11"/>
        <v>-2.64E-2</v>
      </c>
      <c r="O42" s="2697">
        <f t="shared" si="11"/>
        <v>-2.53E-2</v>
      </c>
      <c r="P42" s="2697">
        <f t="shared" si="11"/>
        <v>-3.0200000000000001E-2</v>
      </c>
      <c r="Q42" s="2697">
        <f t="shared" si="1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2603</v>
      </c>
      <c r="B43" s="2723">
        <v>214</v>
      </c>
      <c r="C43" s="2723">
        <v>188</v>
      </c>
      <c r="D43" s="2723">
        <f t="shared" si="9"/>
        <v>188</v>
      </c>
      <c r="E43" s="2723">
        <v>289</v>
      </c>
      <c r="F43" s="2724">
        <v>166</v>
      </c>
      <c r="G43" s="3499">
        <v>2008</v>
      </c>
      <c r="H43" s="2699">
        <v>4</v>
      </c>
      <c r="I43" s="2699">
        <v>1.73</v>
      </c>
      <c r="J43" s="2699">
        <v>0.03</v>
      </c>
      <c r="K43" s="2699">
        <v>2.59</v>
      </c>
      <c r="L43" s="2700">
        <v>-1.66</v>
      </c>
      <c r="N43" s="2688">
        <f t="shared" si="11"/>
        <v>1.7299999999999999E-2</v>
      </c>
      <c r="O43" s="2689">
        <f t="shared" si="11"/>
        <v>2.9999999999999997E-4</v>
      </c>
      <c r="P43" s="2689">
        <f t="shared" si="11"/>
        <v>2.5899999999999999E-2</v>
      </c>
      <c r="Q43" s="2689">
        <f t="shared" si="11"/>
        <v>-1.66E-2</v>
      </c>
      <c r="R43" s="2690"/>
      <c r="S43" s="2691"/>
      <c r="T43" s="2692"/>
      <c r="U43" s="2692"/>
      <c r="V43" s="2692"/>
      <c r="X43" s="2692"/>
      <c r="Y43" s="2692"/>
      <c r="Z43" s="2692"/>
    </row>
    <row r="44" spans="1:26">
      <c r="A44" s="2679" t="s">
        <v>2604</v>
      </c>
      <c r="B44" s="2693">
        <f t="shared" ref="B44:C46" si="25">B43/(1+N43)</f>
        <v>210.36075887152265</v>
      </c>
      <c r="C44" s="2693">
        <f t="shared" si="25"/>
        <v>187.94361691492554</v>
      </c>
      <c r="D44" s="2693">
        <f t="shared" si="9"/>
        <v>187.94361691492554</v>
      </c>
      <c r="E44" s="2693">
        <f t="shared" ref="E44:F46" si="26">E43/(1+P43)</f>
        <v>281.70386977288234</v>
      </c>
      <c r="F44" s="2693">
        <f t="shared" si="26"/>
        <v>168.80211511083994</v>
      </c>
      <c r="G44" s="3500">
        <v>2008</v>
      </c>
      <c r="H44" s="2704">
        <v>3</v>
      </c>
      <c r="I44" s="2704">
        <v>1.96</v>
      </c>
      <c r="J44" s="2704">
        <v>2.36</v>
      </c>
      <c r="K44" s="2704">
        <v>1.82</v>
      </c>
      <c r="L44" s="2705">
        <v>2.2200000000000002</v>
      </c>
      <c r="N44" s="2688">
        <f t="shared" si="11"/>
        <v>1.9599999999999999E-2</v>
      </c>
      <c r="O44" s="2689">
        <f t="shared" si="11"/>
        <v>2.3599999999999999E-2</v>
      </c>
      <c r="P44" s="2689">
        <f t="shared" si="11"/>
        <v>1.8200000000000001E-2</v>
      </c>
      <c r="Q44" s="2689">
        <f t="shared" si="11"/>
        <v>2.2200000000000001E-2</v>
      </c>
      <c r="R44" s="2690"/>
      <c r="S44" s="2688"/>
      <c r="T44" s="2689"/>
      <c r="U44" s="2689"/>
      <c r="V44" s="2689"/>
    </row>
    <row r="45" spans="1:26">
      <c r="A45" s="2679" t="s">
        <v>2605</v>
      </c>
      <c r="B45" s="2693">
        <f t="shared" si="25"/>
        <v>206.31694671589116</v>
      </c>
      <c r="C45" s="2693">
        <f t="shared" si="25"/>
        <v>183.61041121036101</v>
      </c>
      <c r="D45" s="2693">
        <f t="shared" si="9"/>
        <v>183.61041121036101</v>
      </c>
      <c r="E45" s="2693">
        <f t="shared" si="26"/>
        <v>276.66850301795557</v>
      </c>
      <c r="F45" s="2693">
        <f t="shared" si="26"/>
        <v>165.1360938278614</v>
      </c>
      <c r="G45" s="3500">
        <v>2008</v>
      </c>
      <c r="H45" s="2684">
        <v>2</v>
      </c>
      <c r="I45" s="2684">
        <v>4.93</v>
      </c>
      <c r="J45" s="2684">
        <v>7.38</v>
      </c>
      <c r="K45" s="2684">
        <v>3.98</v>
      </c>
      <c r="L45" s="2695">
        <v>6.86</v>
      </c>
      <c r="N45" s="2688">
        <f t="shared" si="11"/>
        <v>4.9299999999999997E-2</v>
      </c>
      <c r="O45" s="2689">
        <f t="shared" si="11"/>
        <v>7.3800000000000004E-2</v>
      </c>
      <c r="P45" s="2689">
        <f t="shared" si="11"/>
        <v>3.9800000000000002E-2</v>
      </c>
      <c r="Q45" s="2689">
        <f t="shared" si="11"/>
        <v>6.8600000000000008E-2</v>
      </c>
      <c r="R45" s="2690"/>
      <c r="S45" s="2688"/>
      <c r="T45" s="2689"/>
      <c r="U45" s="2689"/>
      <c r="V45" s="2689"/>
    </row>
    <row r="46" spans="1:26" s="2729" customFormat="1" ht="13.5" thickBot="1">
      <c r="A46" s="2679" t="s">
        <v>2606</v>
      </c>
      <c r="B46" s="2726">
        <f t="shared" si="25"/>
        <v>196.62341248059772</v>
      </c>
      <c r="C46" s="2726">
        <f t="shared" si="25"/>
        <v>170.99125648199012</v>
      </c>
      <c r="D46" s="2726">
        <f t="shared" si="9"/>
        <v>170.99125648199012</v>
      </c>
      <c r="E46" s="2726">
        <f t="shared" si="26"/>
        <v>266.07857570490052</v>
      </c>
      <c r="F46" s="2726">
        <f t="shared" si="26"/>
        <v>154.53499328828505</v>
      </c>
      <c r="G46" s="3501">
        <v>2008</v>
      </c>
      <c r="H46" s="2727">
        <v>1</v>
      </c>
      <c r="I46" s="2727">
        <v>4.1399999999999997</v>
      </c>
      <c r="J46" s="2727">
        <v>3.45</v>
      </c>
      <c r="K46" s="2727">
        <v>4.95</v>
      </c>
      <c r="L46" s="2728">
        <v>4.82</v>
      </c>
      <c r="N46" s="2730">
        <f t="shared" si="11"/>
        <v>4.1399999999999999E-2</v>
      </c>
      <c r="O46" s="2731">
        <f t="shared" si="11"/>
        <v>3.4500000000000003E-2</v>
      </c>
      <c r="P46" s="2731">
        <f t="shared" si="11"/>
        <v>4.9500000000000002E-2</v>
      </c>
      <c r="Q46" s="2731">
        <f t="shared" si="1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2607</v>
      </c>
      <c r="B47" s="2685">
        <v>188</v>
      </c>
      <c r="C47" s="2685">
        <v>165</v>
      </c>
      <c r="D47" s="2685">
        <f t="shared" si="9"/>
        <v>165</v>
      </c>
      <c r="E47" s="2685">
        <v>254</v>
      </c>
      <c r="F47" s="2686">
        <v>148</v>
      </c>
      <c r="G47" s="3499">
        <v>2007</v>
      </c>
      <c r="H47" s="2734">
        <v>4</v>
      </c>
      <c r="I47" s="2734">
        <v>5.51</v>
      </c>
      <c r="J47" s="2734">
        <v>4.8899999999999997</v>
      </c>
      <c r="K47" s="2734">
        <v>6.43</v>
      </c>
      <c r="L47" s="2735">
        <v>5.36</v>
      </c>
      <c r="N47" s="2736">
        <f t="shared" ref="N47:O50" si="27">B47/B48-1</f>
        <v>4.1339718365245526E-2</v>
      </c>
      <c r="O47" s="2737">
        <f t="shared" si="27"/>
        <v>4.0324492593776018E-2</v>
      </c>
      <c r="P47" s="2737">
        <f t="shared" ref="P47:Q50" si="28">E47/E48-1</f>
        <v>6.1625555347990968E-2</v>
      </c>
      <c r="Q47" s="2737">
        <f t="shared" si="28"/>
        <v>4.6757569250590603E-2</v>
      </c>
      <c r="R47" s="2690"/>
      <c r="S47" s="2691"/>
      <c r="T47" s="2692"/>
      <c r="U47" s="2692"/>
      <c r="V47" s="2692"/>
      <c r="X47" s="2692"/>
      <c r="Y47" s="2692"/>
      <c r="Z47" s="2692"/>
    </row>
    <row r="48" spans="1:26">
      <c r="A48" s="2679" t="s">
        <v>2608</v>
      </c>
      <c r="B48" s="2693">
        <f t="shared" ref="B48:C50" si="29">B49+(B$47-B$51)*I48/SUM(I$47:I$50)</f>
        <v>180.5366651097618</v>
      </c>
      <c r="C48" s="2693">
        <f t="shared" si="29"/>
        <v>158.60435967302453</v>
      </c>
      <c r="D48" s="2693">
        <f t="shared" si="9"/>
        <v>158.60435967302453</v>
      </c>
      <c r="E48" s="2693">
        <f t="shared" ref="E48:F50" si="30">E49+(E$47-E$51)*K48/SUM(K$47:K$50)</f>
        <v>239.25573260785075</v>
      </c>
      <c r="F48" s="2693">
        <f t="shared" si="30"/>
        <v>141.38899430740037</v>
      </c>
      <c r="G48" s="3500">
        <v>2007</v>
      </c>
      <c r="H48" s="2704">
        <v>3</v>
      </c>
      <c r="I48" s="2704">
        <v>8.65</v>
      </c>
      <c r="J48" s="2704">
        <v>8.06</v>
      </c>
      <c r="K48" s="2704">
        <v>9.94</v>
      </c>
      <c r="L48" s="2705">
        <v>5.8</v>
      </c>
      <c r="N48" s="2736">
        <f t="shared" si="27"/>
        <v>6.940217571740015E-2</v>
      </c>
      <c r="O48" s="2737">
        <f t="shared" si="27"/>
        <v>7.1197482471153428E-2</v>
      </c>
      <c r="P48" s="2737">
        <f t="shared" si="28"/>
        <v>0.10529679922579582</v>
      </c>
      <c r="Q48" s="2737">
        <f t="shared" si="28"/>
        <v>5.3292245059512133E-2</v>
      </c>
      <c r="R48" s="2690"/>
      <c r="S48" s="2688"/>
      <c r="T48" s="2689"/>
      <c r="U48" s="2689"/>
      <c r="V48" s="2689"/>
      <c r="X48" s="2738"/>
      <c r="Y48" s="2738"/>
      <c r="Z48" s="2738"/>
    </row>
    <row r="49" spans="1:26">
      <c r="A49" s="2679" t="s">
        <v>2609</v>
      </c>
      <c r="B49" s="2693">
        <f t="shared" si="29"/>
        <v>168.82017748715555</v>
      </c>
      <c r="C49" s="2693">
        <f t="shared" si="29"/>
        <v>148.06267029972753</v>
      </c>
      <c r="D49" s="2693">
        <f t="shared" si="9"/>
        <v>148.06267029972753</v>
      </c>
      <c r="E49" s="2693">
        <f t="shared" si="30"/>
        <v>216.46288379323747</v>
      </c>
      <c r="F49" s="2693">
        <f t="shared" si="30"/>
        <v>134.23529411764704</v>
      </c>
      <c r="G49" s="3500">
        <v>2007</v>
      </c>
      <c r="H49" s="2684">
        <v>2</v>
      </c>
      <c r="I49" s="2684">
        <v>3.67</v>
      </c>
      <c r="J49" s="2684">
        <v>2.3199999999999998</v>
      </c>
      <c r="K49" s="2684">
        <v>5.0199999999999996</v>
      </c>
      <c r="L49" s="2695">
        <v>6.71</v>
      </c>
      <c r="N49" s="2736">
        <f t="shared" si="27"/>
        <v>3.0339138143848032E-2</v>
      </c>
      <c r="O49" s="2737">
        <f t="shared" si="27"/>
        <v>2.0922341588790472E-2</v>
      </c>
      <c r="P49" s="2737">
        <f t="shared" si="28"/>
        <v>5.6164796592717003E-2</v>
      </c>
      <c r="Q49" s="2737">
        <f t="shared" si="28"/>
        <v>6.5704536723887319E-2</v>
      </c>
      <c r="R49" s="2690"/>
      <c r="S49" s="2688"/>
      <c r="T49" s="2689"/>
      <c r="U49" s="2689"/>
      <c r="V49" s="2689"/>
      <c r="X49" s="2738"/>
      <c r="Y49" s="2738"/>
      <c r="Z49" s="2738"/>
    </row>
    <row r="50" spans="1:26">
      <c r="A50" s="2679" t="s">
        <v>2610</v>
      </c>
      <c r="B50" s="2693">
        <f t="shared" si="29"/>
        <v>163.84913591779542</v>
      </c>
      <c r="C50" s="2693">
        <f t="shared" si="29"/>
        <v>145.0283378746594</v>
      </c>
      <c r="D50" s="2693">
        <f t="shared" si="9"/>
        <v>145.0283378746594</v>
      </c>
      <c r="E50" s="2693">
        <f t="shared" si="30"/>
        <v>204.95180722891567</v>
      </c>
      <c r="F50" s="2693">
        <f t="shared" si="30"/>
        <v>125.95920303605313</v>
      </c>
      <c r="G50" s="3501">
        <v>2007</v>
      </c>
      <c r="H50" s="2683">
        <v>1</v>
      </c>
      <c r="I50" s="2683">
        <v>3.58</v>
      </c>
      <c r="J50" s="2683">
        <v>3.08</v>
      </c>
      <c r="K50" s="2683">
        <v>4.34</v>
      </c>
      <c r="L50" s="2694">
        <v>3.21</v>
      </c>
      <c r="N50" s="2739">
        <f t="shared" si="27"/>
        <v>3.0497710174814063E-2</v>
      </c>
      <c r="O50" s="2740">
        <f t="shared" si="27"/>
        <v>2.8569772160704998E-2</v>
      </c>
      <c r="P50" s="2740">
        <f t="shared" si="28"/>
        <v>5.1034908866234296E-2</v>
      </c>
      <c r="Q50" s="2740">
        <f t="shared" si="28"/>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2611</v>
      </c>
      <c r="B51" s="2707">
        <v>159</v>
      </c>
      <c r="C51" s="2707">
        <v>141</v>
      </c>
      <c r="D51" s="2707">
        <f t="shared" si="9"/>
        <v>141</v>
      </c>
      <c r="E51" s="2707">
        <v>195</v>
      </c>
      <c r="F51" s="2708">
        <v>122</v>
      </c>
      <c r="G51" s="3499">
        <v>2006</v>
      </c>
      <c r="H51" s="2699">
        <v>4</v>
      </c>
      <c r="I51" s="2699">
        <v>3.79</v>
      </c>
      <c r="J51" s="2699">
        <v>2.21</v>
      </c>
      <c r="K51" s="2699">
        <v>5.65</v>
      </c>
      <c r="L51" s="2700">
        <v>5.41</v>
      </c>
      <c r="N51" s="2736">
        <f t="shared" ref="N51:O54" si="31">I51/SUM(I$51:I$54)*(B$51/B$55-1)</f>
        <v>7.245466462748526E-2</v>
      </c>
      <c r="O51" s="2737">
        <f t="shared" si="31"/>
        <v>2.3237230038062766E-2</v>
      </c>
      <c r="P51" s="2737">
        <f t="shared" ref="P51:Q54" si="32">K51/SUM(K$51:K$54)*(E$51/E$55-1)</f>
        <v>0.16146893866323722</v>
      </c>
      <c r="Q51" s="2737">
        <f t="shared" si="32"/>
        <v>5.0755230321793784E-2</v>
      </c>
      <c r="R51" s="2690"/>
      <c r="S51" s="2691"/>
      <c r="T51" s="2692"/>
      <c r="U51" s="2692"/>
      <c r="V51" s="2692"/>
      <c r="X51" s="2738"/>
      <c r="Y51" s="2738"/>
      <c r="Z51" s="2738"/>
    </row>
    <row r="52" spans="1:26">
      <c r="A52" s="2679" t="s">
        <v>2612</v>
      </c>
      <c r="B52" s="2693">
        <f t="shared" ref="B52:C54" si="33">B53+(B$51-B$55)*I52/SUM(I$51:I$54)</f>
        <v>149.00125628140702</v>
      </c>
      <c r="C52" s="2693">
        <f t="shared" si="33"/>
        <v>137.95592286501378</v>
      </c>
      <c r="D52" s="2693">
        <f t="shared" si="9"/>
        <v>137.95592286501378</v>
      </c>
      <c r="E52" s="2693">
        <f t="shared" ref="E52:F54" si="34">E53+(E$51-E$55)*K52/SUM(K$51:K$54)</f>
        <v>169.97231450719823</v>
      </c>
      <c r="F52" s="2693">
        <f t="shared" si="34"/>
        <v>116.21390374331551</v>
      </c>
      <c r="G52" s="3500">
        <v>2006</v>
      </c>
      <c r="H52" s="2704">
        <v>3</v>
      </c>
      <c r="I52" s="2704">
        <v>0.92</v>
      </c>
      <c r="J52" s="2704">
        <v>1.08</v>
      </c>
      <c r="K52" s="2704">
        <v>0.73</v>
      </c>
      <c r="L52" s="2705">
        <v>1.08</v>
      </c>
      <c r="N52" s="2736">
        <f t="shared" si="31"/>
        <v>1.7587939698492462E-2</v>
      </c>
      <c r="O52" s="2737">
        <f t="shared" si="31"/>
        <v>1.1355750425840628E-2</v>
      </c>
      <c r="P52" s="2737">
        <f t="shared" si="32"/>
        <v>2.0862358446754544E-2</v>
      </c>
      <c r="Q52" s="2737">
        <f t="shared" si="32"/>
        <v>1.0132282578103011E-2</v>
      </c>
      <c r="R52" s="2690"/>
      <c r="S52" s="2688"/>
      <c r="T52" s="2689"/>
      <c r="U52" s="2689"/>
      <c r="V52" s="2689"/>
      <c r="X52" s="2738"/>
      <c r="Y52" s="2738"/>
      <c r="Z52" s="2738"/>
    </row>
    <row r="53" spans="1:26">
      <c r="A53" s="2679" t="s">
        <v>2613</v>
      </c>
      <c r="B53" s="2693">
        <f t="shared" si="33"/>
        <v>146.57412060301507</v>
      </c>
      <c r="C53" s="2693">
        <f t="shared" si="33"/>
        <v>136.46831955922866</v>
      </c>
      <c r="D53" s="2693">
        <f t="shared" si="9"/>
        <v>136.46831955922866</v>
      </c>
      <c r="E53" s="2693">
        <f t="shared" si="34"/>
        <v>166.73864894795128</v>
      </c>
      <c r="F53" s="2693">
        <f t="shared" si="34"/>
        <v>115.05882352941177</v>
      </c>
      <c r="G53" s="3500">
        <v>2006</v>
      </c>
      <c r="H53" s="2684">
        <v>2</v>
      </c>
      <c r="I53" s="2684">
        <v>0.96</v>
      </c>
      <c r="J53" s="2684">
        <v>0.25</v>
      </c>
      <c r="K53" s="2684">
        <v>1.9</v>
      </c>
      <c r="L53" s="2695">
        <v>0.95</v>
      </c>
      <c r="N53" s="2736">
        <f t="shared" si="31"/>
        <v>1.8352632728861701E-2</v>
      </c>
      <c r="O53" s="2737">
        <f t="shared" si="31"/>
        <v>2.6286459319075526E-3</v>
      </c>
      <c r="P53" s="2737">
        <f t="shared" si="32"/>
        <v>5.4299289107991269E-2</v>
      </c>
      <c r="Q53" s="2737">
        <f t="shared" si="32"/>
        <v>8.9126559714794995E-3</v>
      </c>
      <c r="R53" s="2690"/>
      <c r="S53" s="2688"/>
      <c r="T53" s="2689"/>
      <c r="U53" s="2689"/>
      <c r="V53" s="2689"/>
      <c r="X53" s="2738"/>
      <c r="Y53" s="2738"/>
      <c r="Z53" s="2738"/>
    </row>
    <row r="54" spans="1:26">
      <c r="A54" s="2679" t="s">
        <v>2614</v>
      </c>
      <c r="B54" s="2693">
        <f t="shared" si="33"/>
        <v>144.04145728643215</v>
      </c>
      <c r="C54" s="2693">
        <f t="shared" si="33"/>
        <v>136.12396694214877</v>
      </c>
      <c r="D54" s="2693">
        <f t="shared" si="9"/>
        <v>136.12396694214877</v>
      </c>
      <c r="E54" s="2693">
        <f t="shared" si="34"/>
        <v>158.32225913621264</v>
      </c>
      <c r="F54" s="2693">
        <f t="shared" si="34"/>
        <v>114.04278074866311</v>
      </c>
      <c r="G54" s="3501">
        <v>2006</v>
      </c>
      <c r="H54" s="2683">
        <v>1</v>
      </c>
      <c r="I54" s="2683">
        <v>2.29</v>
      </c>
      <c r="J54" s="2683">
        <v>3.72</v>
      </c>
      <c r="K54" s="2683">
        <v>0.75</v>
      </c>
      <c r="L54" s="2694">
        <v>0.04</v>
      </c>
      <c r="N54" s="2739">
        <f t="shared" si="31"/>
        <v>4.3778675988638847E-2</v>
      </c>
      <c r="O54" s="2740">
        <f t="shared" si="31"/>
        <v>3.9114251466784385E-2</v>
      </c>
      <c r="P54" s="2740">
        <f t="shared" si="32"/>
        <v>2.1433929911049188E-2</v>
      </c>
      <c r="Q54" s="2740">
        <f t="shared" si="32"/>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2615</v>
      </c>
      <c r="B55" s="2707">
        <v>138</v>
      </c>
      <c r="C55" s="2707">
        <v>131</v>
      </c>
      <c r="D55" s="2707">
        <f t="shared" si="9"/>
        <v>131</v>
      </c>
      <c r="E55" s="2707">
        <v>155</v>
      </c>
      <c r="F55" s="2708">
        <v>114</v>
      </c>
      <c r="G55" s="3499">
        <v>2005</v>
      </c>
      <c r="H55" s="2699">
        <v>4</v>
      </c>
      <c r="I55" s="2699">
        <v>3.29</v>
      </c>
      <c r="J55" s="2699">
        <v>1.44</v>
      </c>
      <c r="K55" s="2699">
        <v>0.66</v>
      </c>
      <c r="L55" s="2700">
        <v>7.78</v>
      </c>
      <c r="N55" s="2736">
        <f t="shared" ref="N55:O58" si="35">I55/SUM(I$55:I$58)*(B$55/B$59-1)</f>
        <v>9.9404603216919935E-2</v>
      </c>
      <c r="O55" s="2737">
        <f t="shared" si="35"/>
        <v>4.7636550760861554E-2</v>
      </c>
      <c r="P55" s="2737">
        <f t="shared" ref="P55:Q58" si="36">K55/SUM(K$55:K$58)*(E$55/E$59-1)</f>
        <v>8.3756345177664976E-2</v>
      </c>
      <c r="Q55" s="2737">
        <f t="shared" si="36"/>
        <v>5.2148766661559584E-2</v>
      </c>
      <c r="R55" s="2690"/>
      <c r="S55" s="2691"/>
      <c r="T55" s="2692"/>
      <c r="U55" s="2692"/>
      <c r="V55" s="2692"/>
      <c r="X55" s="2738"/>
      <c r="Y55" s="2738"/>
      <c r="Z55" s="2738"/>
    </row>
    <row r="56" spans="1:26">
      <c r="A56" s="2679" t="s">
        <v>2616</v>
      </c>
      <c r="B56" s="2693">
        <f t="shared" ref="B56:C58" si="37">B57+(B$55-B$59)*I56/SUM(I$55:I$58)</f>
        <v>125.9720430107527</v>
      </c>
      <c r="C56" s="2693">
        <f t="shared" si="37"/>
        <v>125.1883408071749</v>
      </c>
      <c r="D56" s="2693">
        <f t="shared" si="9"/>
        <v>125.1883408071749</v>
      </c>
      <c r="E56" s="2693">
        <f t="shared" ref="E56:F58" si="38">E57+(E$55-E$59)*K56/SUM(K$55:K$58)</f>
        <v>144.61421319796952</v>
      </c>
      <c r="F56" s="2693">
        <f t="shared" si="38"/>
        <v>108.42008196721311</v>
      </c>
      <c r="G56" s="3500">
        <v>2005</v>
      </c>
      <c r="H56" s="2704">
        <v>3</v>
      </c>
      <c r="I56" s="2704">
        <v>0.46</v>
      </c>
      <c r="J56" s="2704">
        <v>0.32</v>
      </c>
      <c r="K56" s="2704">
        <v>0.42</v>
      </c>
      <c r="L56" s="2705">
        <v>0.64</v>
      </c>
      <c r="N56" s="2736">
        <f t="shared" si="35"/>
        <v>1.3898515951301874E-2</v>
      </c>
      <c r="O56" s="2737">
        <f t="shared" si="35"/>
        <v>1.0585900169080346E-2</v>
      </c>
      <c r="P56" s="2737">
        <f t="shared" si="36"/>
        <v>5.3299492385786795E-2</v>
      </c>
      <c r="Q56" s="2737">
        <f t="shared" si="36"/>
        <v>4.2898728359123568E-3</v>
      </c>
      <c r="R56" s="2690"/>
      <c r="S56" s="2688"/>
      <c r="T56" s="2689"/>
      <c r="U56" s="2689"/>
      <c r="V56" s="2689"/>
      <c r="X56" s="2738"/>
      <c r="Y56" s="2738"/>
      <c r="Z56" s="2738"/>
    </row>
    <row r="57" spans="1:26">
      <c r="A57" s="2679" t="s">
        <v>2617</v>
      </c>
      <c r="B57" s="2693">
        <f t="shared" si="37"/>
        <v>124.29032258064517</v>
      </c>
      <c r="C57" s="2693">
        <f t="shared" si="37"/>
        <v>123.8968609865471</v>
      </c>
      <c r="D57" s="2693">
        <f t="shared" si="9"/>
        <v>123.8968609865471</v>
      </c>
      <c r="E57" s="2693">
        <f t="shared" si="38"/>
        <v>138.00507614213197</v>
      </c>
      <c r="F57" s="2693">
        <f t="shared" si="38"/>
        <v>107.96106557377048</v>
      </c>
      <c r="G57" s="3500">
        <v>2005</v>
      </c>
      <c r="H57" s="2684">
        <v>2</v>
      </c>
      <c r="I57" s="2684">
        <v>0.47</v>
      </c>
      <c r="J57" s="2684">
        <v>0.1</v>
      </c>
      <c r="K57" s="2684">
        <v>0.52</v>
      </c>
      <c r="L57" s="2695">
        <v>0.79</v>
      </c>
      <c r="N57" s="2736">
        <f t="shared" si="35"/>
        <v>1.420065760241713E-2</v>
      </c>
      <c r="O57" s="2737">
        <f t="shared" si="35"/>
        <v>3.3080938028376083E-3</v>
      </c>
      <c r="P57" s="2737">
        <f t="shared" si="36"/>
        <v>6.598984771573603E-2</v>
      </c>
      <c r="Q57" s="2737">
        <f t="shared" si="36"/>
        <v>5.2953117818293153E-3</v>
      </c>
      <c r="R57" s="2690"/>
      <c r="S57" s="2688"/>
      <c r="T57" s="2689"/>
      <c r="U57" s="2689"/>
      <c r="V57" s="2689"/>
      <c r="X57" s="2738"/>
      <c r="Y57" s="2738"/>
      <c r="Z57" s="2738"/>
    </row>
    <row r="58" spans="1:26">
      <c r="A58" s="2679" t="s">
        <v>2618</v>
      </c>
      <c r="B58" s="2693">
        <f t="shared" si="37"/>
        <v>122.57204301075269</v>
      </c>
      <c r="C58" s="2693">
        <f t="shared" si="37"/>
        <v>123.4932735426009</v>
      </c>
      <c r="D58" s="2693">
        <f t="shared" si="9"/>
        <v>123.4932735426009</v>
      </c>
      <c r="E58" s="2693">
        <f t="shared" si="38"/>
        <v>129.82233502538071</v>
      </c>
      <c r="F58" s="2693">
        <f t="shared" si="38"/>
        <v>107.39446721311475</v>
      </c>
      <c r="G58" s="3501">
        <v>2005</v>
      </c>
      <c r="H58" s="2683">
        <v>1</v>
      </c>
      <c r="I58" s="2683">
        <v>0.43</v>
      </c>
      <c r="J58" s="2683">
        <v>0.37</v>
      </c>
      <c r="K58" s="2683">
        <v>0.37</v>
      </c>
      <c r="L58" s="2694">
        <v>0.55000000000000004</v>
      </c>
      <c r="N58" s="2739">
        <f t="shared" si="35"/>
        <v>1.2992090997956099E-2</v>
      </c>
      <c r="O58" s="2740">
        <f t="shared" si="35"/>
        <v>1.2239947070499151E-2</v>
      </c>
      <c r="P58" s="2740">
        <f t="shared" si="36"/>
        <v>4.6954314720812178E-2</v>
      </c>
      <c r="Q58" s="2740">
        <f t="shared" si="36"/>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2619</v>
      </c>
      <c r="B59" s="2723">
        <v>121</v>
      </c>
      <c r="C59" s="2723">
        <v>122</v>
      </c>
      <c r="D59" s="2723">
        <f t="shared" si="9"/>
        <v>122</v>
      </c>
      <c r="E59" s="2723">
        <v>124</v>
      </c>
      <c r="F59" s="2724">
        <v>107</v>
      </c>
      <c r="G59" s="3499">
        <v>2004</v>
      </c>
      <c r="H59" s="2699">
        <v>4</v>
      </c>
      <c r="I59" s="2699">
        <v>0.33</v>
      </c>
      <c r="J59" s="2699">
        <v>0.5</v>
      </c>
      <c r="K59" s="2699">
        <v>0.5</v>
      </c>
      <c r="L59" s="2700">
        <v>0</v>
      </c>
      <c r="N59" s="2736">
        <f t="shared" ref="N59:O62" si="39">I59/SUM(I$59:I$62)*(B$59/B$63-1)</f>
        <v>1.3391770148526898E-2</v>
      </c>
      <c r="O59" s="2737">
        <f t="shared" si="39"/>
        <v>1.063264221158958E-2</v>
      </c>
      <c r="P59" s="2737">
        <f t="shared" ref="P59:Q62" si="40">K59/SUM(K$59:K$62)*(E$59/E$63-1)</f>
        <v>2.2244466688911134E-2</v>
      </c>
      <c r="Q59" s="2737">
        <f t="shared" si="40"/>
        <v>0</v>
      </c>
      <c r="R59" s="2690"/>
      <c r="S59" s="2691"/>
      <c r="T59" s="2692"/>
      <c r="U59" s="2692"/>
      <c r="V59" s="2692"/>
      <c r="X59" s="2738"/>
      <c r="Y59" s="2738"/>
      <c r="Z59" s="2738"/>
    </row>
    <row r="60" spans="1:26">
      <c r="A60" s="2679" t="s">
        <v>2620</v>
      </c>
      <c r="B60" s="2693">
        <f t="shared" ref="B60:C62" si="41">B61+(B$59-B$63)*I60/SUM(I$59:I$62)</f>
        <v>119.51351351351352</v>
      </c>
      <c r="C60" s="2693">
        <f t="shared" si="41"/>
        <v>120.7878787878788</v>
      </c>
      <c r="D60" s="2693">
        <f t="shared" si="9"/>
        <v>120.7878787878788</v>
      </c>
      <c r="E60" s="2693">
        <f t="shared" ref="E60:F62" si="42">E61+(E$59-E$63)*K60/SUM(K$59:K$62)</f>
        <v>121.5975975975976</v>
      </c>
      <c r="F60" s="2693">
        <f t="shared" si="42"/>
        <v>107</v>
      </c>
      <c r="G60" s="3500">
        <v>2004</v>
      </c>
      <c r="H60" s="2704">
        <v>3</v>
      </c>
      <c r="I60" s="2704">
        <v>0.56000000000000005</v>
      </c>
      <c r="J60" s="2704">
        <v>0.8</v>
      </c>
      <c r="K60" s="2704">
        <v>0.83</v>
      </c>
      <c r="L60" s="2705">
        <v>0.06</v>
      </c>
      <c r="N60" s="2736">
        <f t="shared" si="39"/>
        <v>2.2725428130833527E-2</v>
      </c>
      <c r="O60" s="2737">
        <f t="shared" si="39"/>
        <v>1.7012227538543329E-2</v>
      </c>
      <c r="P60" s="2737">
        <f t="shared" si="40"/>
        <v>3.6925814703592477E-2</v>
      </c>
      <c r="Q60" s="2737">
        <f t="shared" si="40"/>
        <v>2.8846153846153744E-2</v>
      </c>
      <c r="R60" s="2690"/>
      <c r="S60" s="2688"/>
      <c r="T60" s="2689"/>
      <c r="U60" s="2689"/>
      <c r="V60" s="2689"/>
      <c r="X60" s="2738"/>
      <c r="Y60" s="2738"/>
      <c r="Z60" s="2738"/>
    </row>
    <row r="61" spans="1:26">
      <c r="A61" s="2679" t="s">
        <v>2621</v>
      </c>
      <c r="B61" s="2693">
        <f t="shared" si="41"/>
        <v>116.99099099099099</v>
      </c>
      <c r="C61" s="2693">
        <f t="shared" si="41"/>
        <v>118.84848484848486</v>
      </c>
      <c r="D61" s="2693">
        <f t="shared" si="9"/>
        <v>118.84848484848486</v>
      </c>
      <c r="E61" s="2693">
        <f t="shared" si="42"/>
        <v>117.60960960960961</v>
      </c>
      <c r="F61" s="2693">
        <f t="shared" si="42"/>
        <v>104</v>
      </c>
      <c r="G61" s="3500">
        <v>2004</v>
      </c>
      <c r="H61" s="2684">
        <v>2</v>
      </c>
      <c r="I61" s="2684">
        <v>1</v>
      </c>
      <c r="J61" s="2684">
        <v>1.5</v>
      </c>
      <c r="K61" s="2684">
        <v>1.5</v>
      </c>
      <c r="L61" s="2695">
        <v>0</v>
      </c>
      <c r="N61" s="2736">
        <f t="shared" si="39"/>
        <v>4.0581121662202721E-2</v>
      </c>
      <c r="O61" s="2737">
        <f t="shared" si="39"/>
        <v>3.1897926634768738E-2</v>
      </c>
      <c r="P61" s="2737">
        <f t="shared" si="40"/>
        <v>6.6733400066733395E-2</v>
      </c>
      <c r="Q61" s="2737">
        <f t="shared" si="40"/>
        <v>0</v>
      </c>
      <c r="R61" s="2690"/>
      <c r="S61" s="2688"/>
      <c r="T61" s="2689"/>
      <c r="U61" s="2689"/>
      <c r="V61" s="2689"/>
      <c r="X61" s="2738"/>
      <c r="Y61" s="2738"/>
      <c r="Z61" s="2738"/>
    </row>
    <row r="62" spans="1:26" s="2729" customFormat="1" ht="13.5" thickBot="1">
      <c r="A62" s="2679" t="s">
        <v>2622</v>
      </c>
      <c r="B62" s="2726">
        <f t="shared" si="41"/>
        <v>112.48648648648648</v>
      </c>
      <c r="C62" s="2726">
        <f t="shared" si="41"/>
        <v>115.21212121212122</v>
      </c>
      <c r="D62" s="2726">
        <f t="shared" si="9"/>
        <v>115.21212121212122</v>
      </c>
      <c r="E62" s="2726">
        <f t="shared" si="42"/>
        <v>110.4024024024024</v>
      </c>
      <c r="F62" s="2726">
        <f t="shared" si="42"/>
        <v>104</v>
      </c>
      <c r="G62" s="3501">
        <v>2004</v>
      </c>
      <c r="H62" s="2727">
        <v>1</v>
      </c>
      <c r="I62" s="2727">
        <v>0.33</v>
      </c>
      <c r="J62" s="2727">
        <v>0.5</v>
      </c>
      <c r="K62" s="2727">
        <v>0.5</v>
      </c>
      <c r="L62" s="2728">
        <v>0</v>
      </c>
      <c r="N62" s="2741">
        <f t="shared" si="39"/>
        <v>1.3391770148526898E-2</v>
      </c>
      <c r="O62" s="2742">
        <f t="shared" si="39"/>
        <v>1.063264221158958E-2</v>
      </c>
      <c r="P62" s="2742">
        <f t="shared" si="40"/>
        <v>2.2244466688911134E-2</v>
      </c>
      <c r="Q62" s="2742">
        <f t="shared" si="40"/>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2623</v>
      </c>
      <c r="B63" s="2744">
        <v>111</v>
      </c>
      <c r="C63" s="2744">
        <v>114</v>
      </c>
      <c r="D63" s="2744">
        <f t="shared" si="9"/>
        <v>114</v>
      </c>
      <c r="E63" s="2744">
        <v>108</v>
      </c>
      <c r="F63" s="2745">
        <v>104</v>
      </c>
      <c r="G63" s="3499">
        <v>2003</v>
      </c>
      <c r="H63" s="2734">
        <v>4</v>
      </c>
      <c r="I63" s="2746"/>
      <c r="J63" s="2746"/>
      <c r="K63" s="2746"/>
      <c r="L63" s="2746"/>
      <c r="N63" s="2747"/>
      <c r="O63" s="2746"/>
      <c r="P63" s="2746"/>
      <c r="Q63" s="2746"/>
      <c r="S63" s="2747"/>
      <c r="T63" s="2746"/>
      <c r="U63" s="2746"/>
      <c r="V63" s="2746"/>
      <c r="X63" s="2738"/>
      <c r="Y63" s="2738"/>
      <c r="Z63" s="2738"/>
    </row>
    <row r="64" spans="1:26">
      <c r="A64" s="2679" t="s">
        <v>2624</v>
      </c>
      <c r="B64" s="2748">
        <f t="shared" ref="B64:C66" si="43">B65+(B$63-B$67)/4</f>
        <v>109.75</v>
      </c>
      <c r="C64" s="2748">
        <f t="shared" si="43"/>
        <v>112.25</v>
      </c>
      <c r="D64" s="2748">
        <f t="shared" si="9"/>
        <v>112.25</v>
      </c>
      <c r="E64" s="2748">
        <f t="shared" ref="E64:F66" si="44">E65+(E$63-E$67)/4</f>
        <v>107.25</v>
      </c>
      <c r="F64" s="2748">
        <f t="shared" si="44"/>
        <v>103.5</v>
      </c>
      <c r="G64" s="3500">
        <v>2003</v>
      </c>
      <c r="H64" s="2704">
        <v>3</v>
      </c>
      <c r="I64" s="2746"/>
      <c r="J64" s="2746"/>
      <c r="K64" s="2746"/>
      <c r="L64" s="2746"/>
      <c r="X64" s="2738"/>
      <c r="Y64" s="2738"/>
      <c r="Z64" s="2738"/>
    </row>
    <row r="65" spans="1:26">
      <c r="A65" s="2679" t="s">
        <v>2625</v>
      </c>
      <c r="B65" s="2748">
        <f t="shared" si="43"/>
        <v>108.5</v>
      </c>
      <c r="C65" s="2748">
        <f t="shared" si="43"/>
        <v>110.5</v>
      </c>
      <c r="D65" s="2748">
        <f t="shared" si="9"/>
        <v>110.5</v>
      </c>
      <c r="E65" s="2748">
        <f t="shared" si="44"/>
        <v>106.5</v>
      </c>
      <c r="F65" s="2748">
        <f t="shared" si="44"/>
        <v>103</v>
      </c>
      <c r="G65" s="3500">
        <v>2003</v>
      </c>
      <c r="H65" s="2684">
        <v>2</v>
      </c>
      <c r="I65" s="2746"/>
      <c r="J65" s="2746"/>
      <c r="K65" s="2746"/>
      <c r="L65" s="2746"/>
      <c r="X65" s="2738"/>
      <c r="Y65" s="2738"/>
      <c r="Z65" s="2738"/>
    </row>
    <row r="66" spans="1:26" ht="13.5" thickBot="1">
      <c r="A66" s="2679" t="s">
        <v>2626</v>
      </c>
      <c r="B66" s="2748">
        <f t="shared" si="43"/>
        <v>107.25</v>
      </c>
      <c r="C66" s="2748">
        <f t="shared" si="43"/>
        <v>108.75</v>
      </c>
      <c r="D66" s="2748">
        <f t="shared" si="9"/>
        <v>108.75</v>
      </c>
      <c r="E66" s="2748">
        <f t="shared" si="44"/>
        <v>105.75</v>
      </c>
      <c r="F66" s="2748">
        <f t="shared" si="44"/>
        <v>102.5</v>
      </c>
      <c r="G66" s="3501">
        <v>2003</v>
      </c>
      <c r="H66" s="2749">
        <v>1</v>
      </c>
      <c r="I66" s="2746"/>
      <c r="J66" s="2746"/>
      <c r="K66" s="2746"/>
      <c r="L66" s="2746"/>
      <c r="S66" s="2688"/>
      <c r="T66" s="2689"/>
      <c r="U66" s="2689"/>
      <c r="X66" s="2738"/>
      <c r="Y66" s="2738"/>
      <c r="Z66" s="2738"/>
    </row>
    <row r="67" spans="1:26" ht="13.5" thickBot="1">
      <c r="A67" s="2679" t="s">
        <v>2627</v>
      </c>
      <c r="B67" s="2750">
        <v>106</v>
      </c>
      <c r="C67" s="2750">
        <v>107</v>
      </c>
      <c r="D67" s="2750">
        <f t="shared" si="9"/>
        <v>107</v>
      </c>
      <c r="E67" s="2750">
        <v>105</v>
      </c>
      <c r="F67" s="2751">
        <v>102</v>
      </c>
      <c r="G67" s="3499">
        <v>2002</v>
      </c>
      <c r="H67" s="2699">
        <v>4</v>
      </c>
      <c r="I67" s="2746"/>
      <c r="J67" s="2746"/>
      <c r="K67" s="2746"/>
      <c r="L67" s="2746"/>
      <c r="N67" s="2747"/>
      <c r="O67" s="2746"/>
      <c r="P67" s="2746"/>
      <c r="Q67" s="2746"/>
      <c r="S67" s="2747"/>
      <c r="T67" s="2746"/>
      <c r="U67" s="2746"/>
      <c r="V67" s="2746"/>
      <c r="X67" s="2738"/>
      <c r="Y67" s="2738"/>
      <c r="Z67" s="2738"/>
    </row>
    <row r="68" spans="1:26">
      <c r="A68" s="2679" t="s">
        <v>2628</v>
      </c>
      <c r="B68" s="2748">
        <f t="shared" ref="B68:C70" si="45">B69+(B$67-B$71)/4</f>
        <v>105</v>
      </c>
      <c r="C68" s="2748">
        <f t="shared" si="45"/>
        <v>106</v>
      </c>
      <c r="D68" s="2748">
        <f t="shared" si="9"/>
        <v>106</v>
      </c>
      <c r="E68" s="2748">
        <f t="shared" ref="E68:F70" si="46">E69+(E$67-E$71)/4</f>
        <v>104.5</v>
      </c>
      <c r="F68" s="2748">
        <f t="shared" si="46"/>
        <v>101.5</v>
      </c>
      <c r="G68" s="3500">
        <v>2002</v>
      </c>
      <c r="H68" s="2704">
        <v>3</v>
      </c>
      <c r="I68" s="2746"/>
      <c r="J68" s="2746"/>
      <c r="K68" s="2746"/>
      <c r="L68" s="2746"/>
      <c r="X68" s="2738"/>
      <c r="Y68" s="2738"/>
      <c r="Z68" s="2738"/>
    </row>
    <row r="69" spans="1:26">
      <c r="A69" s="2679" t="s">
        <v>2629</v>
      </c>
      <c r="B69" s="2748">
        <f t="shared" si="45"/>
        <v>104</v>
      </c>
      <c r="C69" s="2748">
        <f t="shared" si="45"/>
        <v>105</v>
      </c>
      <c r="D69" s="2748">
        <f t="shared" si="9"/>
        <v>105</v>
      </c>
      <c r="E69" s="2748">
        <f t="shared" si="46"/>
        <v>104</v>
      </c>
      <c r="F69" s="2748">
        <f t="shared" si="46"/>
        <v>101</v>
      </c>
      <c r="G69" s="3500">
        <v>2002</v>
      </c>
      <c r="H69" s="2684">
        <v>2</v>
      </c>
      <c r="I69" s="2746"/>
      <c r="J69" s="2746"/>
      <c r="K69" s="2746"/>
      <c r="L69" s="2746"/>
      <c r="X69" s="2738"/>
      <c r="Y69" s="2738"/>
      <c r="Z69" s="2738"/>
    </row>
    <row r="70" spans="1:26" s="2715" customFormat="1" ht="13.5" thickBot="1">
      <c r="A70" s="2711" t="s">
        <v>2630</v>
      </c>
      <c r="B70" s="2752">
        <f t="shared" si="45"/>
        <v>103</v>
      </c>
      <c r="C70" s="2752">
        <f t="shared" si="45"/>
        <v>104</v>
      </c>
      <c r="D70" s="2752">
        <f t="shared" si="9"/>
        <v>104</v>
      </c>
      <c r="E70" s="2752">
        <f t="shared" si="46"/>
        <v>103.5</v>
      </c>
      <c r="F70" s="2752">
        <f t="shared" si="46"/>
        <v>100.5</v>
      </c>
      <c r="G70" s="3501">
        <v>2002</v>
      </c>
      <c r="H70" s="2753">
        <v>1</v>
      </c>
      <c r="I70" s="2754"/>
      <c r="J70" s="2754"/>
      <c r="K70" s="2754"/>
      <c r="L70" s="2754"/>
      <c r="N70" s="2755"/>
      <c r="S70" s="2755"/>
      <c r="X70" s="2756"/>
      <c r="Y70" s="2756"/>
      <c r="Z70" s="2756"/>
    </row>
    <row r="71" spans="1:26" ht="13.5" thickBot="1">
      <c r="B71" s="2757">
        <v>102</v>
      </c>
      <c r="C71" s="2758">
        <v>103</v>
      </c>
      <c r="D71" s="2758">
        <f t="shared" si="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2631</v>
      </c>
      <c r="G73" s="2762"/>
      <c r="N73" s="2762"/>
      <c r="S73" s="2762"/>
    </row>
    <row r="74" spans="1:26" s="2761" customFormat="1">
      <c r="A74" s="2761" t="s">
        <v>2632</v>
      </c>
      <c r="G74" s="2762"/>
      <c r="N74" s="2762"/>
      <c r="S74" s="2762"/>
    </row>
    <row r="75" spans="1:26" s="2761" customFormat="1">
      <c r="A75" s="2761" t="s">
        <v>2633</v>
      </c>
      <c r="G75" s="2762"/>
      <c r="I75" s="2763"/>
      <c r="J75" s="2763"/>
      <c r="K75" s="2763"/>
      <c r="L75" s="2763"/>
      <c r="N75" s="2764"/>
      <c r="O75" s="2763"/>
      <c r="P75" s="2763"/>
      <c r="Q75" s="2763"/>
      <c r="S75" s="2764"/>
      <c r="T75" s="2763"/>
      <c r="U75" s="2763"/>
      <c r="V75" s="2763"/>
    </row>
    <row r="76" spans="1:26" s="2761" customFormat="1">
      <c r="A76" s="2761" t="s">
        <v>2634</v>
      </c>
      <c r="G76" s="2762"/>
      <c r="N76" s="2762"/>
      <c r="S76" s="2762"/>
    </row>
    <row r="83" spans="7:22" ht="13.5" thickBot="1"/>
    <row r="84" spans="7:22">
      <c r="G84" s="2687"/>
      <c r="S84" s="2765" t="s">
        <v>2635</v>
      </c>
      <c r="T84" s="2766" t="s">
        <v>2636</v>
      </c>
      <c r="U84" s="2766" t="s">
        <v>2637</v>
      </c>
      <c r="V84" s="2766" t="s">
        <v>2638</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广东锦峰地产投资有限公司：</v>
      </c>
    </row>
    <row r="4" spans="1:4" ht="37.5">
      <c r="A4" s="1792" t="str">
        <f>"受贵公司委托，我公司对"&amp;项目基本情况!K2&amp;项目基本情况!B9&amp;"进行了预评估。"</f>
        <v>受贵公司委托，我公司对广东省汕头市龙湖区海湾公园片区（335-00-02-096）出让国有建设用地使用权市场价格进行了预评估。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汕头市龙湖区海湾公园片区（335-00-02-096）出让国有建设用地使用权。根据《国有土地使用证》[汕国用（2013）第10700250]，估价对象（分摊）出让国有建设用地使用权面积为15168.4平方米。根据《建设工程规划许可证》[[2014]汕规建字第015号]，估价对象规划建筑面积为67516.63平方米。</v>
      </c>
    </row>
    <row r="7" spans="1:4" ht="56.25">
      <c r="A7" s="1796" t="s">
        <v>2747</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2018年5月24日（评估专业人员勘察现场之日）</v>
      </c>
    </row>
    <row r="12" spans="1:4" ht="18.75">
      <c r="A12" s="1798" t="s">
        <v>2025</v>
      </c>
    </row>
    <row r="13" spans="1:4" ht="18.75">
      <c r="A13" s="1792" t="s">
        <v>2940</v>
      </c>
    </row>
    <row r="14" spans="1:4" ht="37.5">
      <c r="A14" s="1792" t="str">
        <f>"根据"&amp;项目基本情况!F12&amp;"，本次评估估价对象证载（地类）用途为"&amp;项目基本情况!B12&amp;"。"</f>
        <v>根据《国有土地使用证》[汕国用（2013）第10700250]，本次评估估价对象证载（地类）用途为住宅。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根据《国有土地使用证》[汕国用（2013）第10700250]，估价对象（分摊）出让国有建设用地使用权面积为15168.4平方米。根据《建设工程规划许可证》[[2014]汕规建字第015号]，估价对象规划建筑面积为67516.63平方米。</v>
      </c>
    </row>
    <row r="21" spans="1:1" ht="18.75">
      <c r="A21" s="1792" t="s">
        <v>2074</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汕国用（2013）第10700250]证载土地终止日期为住宅2073年11月30日、商业2043年11月30日地下车库2053年11月30日。截至估价期日，出让国有建设用地使用权剩余土地使用年限为住宅55.5年、商业25.5年。</v>
      </c>
    </row>
    <row r="23" spans="1:1" ht="18.75">
      <c r="A23" s="1792" t="str">
        <f>IF(项目基本情况!B16="出让","本次评估设定估价对象剩余土地使用年限为"&amp;项目基本情况!D20&amp;"。","")</f>
        <v>本次评估设定估价对象剩余土地使用年限为住宅55.5年、商业25.5年。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1" sqref="M21"/>
    </sheetView>
  </sheetViews>
  <sheetFormatPr defaultRowHeight="13.5"/>
  <cols>
    <col min="1" max="1" width="10.5" customWidth="1"/>
    <col min="2" max="2" width="12.875" customWidth="1"/>
    <col min="3" max="3" width="8.75" customWidth="1"/>
  </cols>
  <sheetData>
    <row r="1" spans="1:9" ht="14.25">
      <c r="A1" s="3522" t="s">
        <v>2471</v>
      </c>
      <c r="B1" s="3523"/>
      <c r="C1" s="3524"/>
      <c r="D1" s="3525">
        <f>SUM(I10,I15,I20,I21,I23)</f>
        <v>0</v>
      </c>
      <c r="E1" s="3525"/>
      <c r="F1" s="3525"/>
      <c r="G1" s="3525"/>
      <c r="H1" s="3525"/>
      <c r="I1" s="3526"/>
    </row>
    <row r="2" spans="1:9">
      <c r="A2" s="3512" t="s">
        <v>2472</v>
      </c>
      <c r="B2" s="3513" t="s">
        <v>2473</v>
      </c>
      <c r="C2" s="3513"/>
      <c r="D2" s="2531" t="s">
        <v>2474</v>
      </c>
      <c r="E2" s="2531" t="s">
        <v>2475</v>
      </c>
      <c r="F2" s="2531" t="s">
        <v>2476</v>
      </c>
      <c r="G2" s="2531" t="s">
        <v>2477</v>
      </c>
      <c r="H2" s="2531" t="s">
        <v>2478</v>
      </c>
      <c r="I2" s="2532" t="s">
        <v>2479</v>
      </c>
    </row>
    <row r="3" spans="1:9">
      <c r="A3" s="3512"/>
      <c r="B3" s="3513" t="s">
        <v>2480</v>
      </c>
      <c r="C3" s="3513"/>
      <c r="D3" s="2533"/>
      <c r="E3" s="2531"/>
      <c r="F3" s="2534"/>
      <c r="G3" s="2534"/>
      <c r="H3" s="2535"/>
      <c r="I3" s="2536">
        <f>ROUND(D3*E3*F3*G3*H3/10000,0)</f>
        <v>0</v>
      </c>
    </row>
    <row r="4" spans="1:9">
      <c r="A4" s="3512"/>
      <c r="B4" s="3513" t="s">
        <v>2481</v>
      </c>
      <c r="C4" s="3513"/>
      <c r="D4" s="2533"/>
      <c r="E4" s="2531"/>
      <c r="F4" s="2534"/>
      <c r="G4" s="2534"/>
      <c r="H4" s="2535"/>
      <c r="I4" s="2536">
        <f t="shared" ref="I4:I9" si="0">ROUND(D4*E4*F4*G4*H4/10000,0)</f>
        <v>0</v>
      </c>
    </row>
    <row r="5" spans="1:9">
      <c r="A5" s="3512"/>
      <c r="B5" s="3513" t="s">
        <v>2482</v>
      </c>
      <c r="C5" s="3513"/>
      <c r="D5" s="2533"/>
      <c r="E5" s="2531"/>
      <c r="F5" s="2534"/>
      <c r="G5" s="2534"/>
      <c r="H5" s="2535"/>
      <c r="I5" s="2536">
        <f t="shared" si="0"/>
        <v>0</v>
      </c>
    </row>
    <row r="6" spans="1:9">
      <c r="A6" s="3512"/>
      <c r="B6" s="3513" t="s">
        <v>2483</v>
      </c>
      <c r="C6" s="3513"/>
      <c r="D6" s="2533"/>
      <c r="E6" s="2531"/>
      <c r="F6" s="2534"/>
      <c r="G6" s="2534"/>
      <c r="H6" s="2535"/>
      <c r="I6" s="2536">
        <f t="shared" si="0"/>
        <v>0</v>
      </c>
    </row>
    <row r="7" spans="1:9">
      <c r="A7" s="3512"/>
      <c r="B7" s="3513" t="s">
        <v>2484</v>
      </c>
      <c r="C7" s="3513"/>
      <c r="D7" s="2533"/>
      <c r="E7" s="2531"/>
      <c r="F7" s="2534"/>
      <c r="G7" s="2534"/>
      <c r="H7" s="2535"/>
      <c r="I7" s="2536">
        <f t="shared" si="0"/>
        <v>0</v>
      </c>
    </row>
    <row r="8" spans="1:9">
      <c r="A8" s="3512"/>
      <c r="B8" s="3513" t="s">
        <v>2485</v>
      </c>
      <c r="C8" s="3513"/>
      <c r="D8" s="2533"/>
      <c r="E8" s="2531"/>
      <c r="F8" s="2534"/>
      <c r="G8" s="2534"/>
      <c r="H8" s="2535"/>
      <c r="I8" s="2536">
        <f t="shared" si="0"/>
        <v>0</v>
      </c>
    </row>
    <row r="9" spans="1:9">
      <c r="A9" s="3512"/>
      <c r="B9" s="3513" t="s">
        <v>2486</v>
      </c>
      <c r="C9" s="3513"/>
      <c r="D9" s="2533"/>
      <c r="E9" s="2531"/>
      <c r="F9" s="2534"/>
      <c r="G9" s="2534"/>
      <c r="H9" s="2535"/>
      <c r="I9" s="2536">
        <f t="shared" si="0"/>
        <v>0</v>
      </c>
    </row>
    <row r="10" spans="1:9">
      <c r="A10" s="3512"/>
      <c r="B10" s="3514" t="s">
        <v>2487</v>
      </c>
      <c r="C10" s="3514"/>
      <c r="D10" s="2537">
        <v>527</v>
      </c>
      <c r="E10" s="2537" t="e">
        <f>ROUND(D1*10000/D10/H9,0)</f>
        <v>#DIV/0!</v>
      </c>
      <c r="F10" s="2538"/>
      <c r="G10" s="2538"/>
      <c r="H10" s="2539"/>
      <c r="I10" s="2540">
        <f>SUM(I3:I9)</f>
        <v>0</v>
      </c>
    </row>
    <row r="11" spans="1:9" ht="14.25">
      <c r="A11" s="3512" t="s">
        <v>2488</v>
      </c>
      <c r="B11" s="3513" t="s">
        <v>2489</v>
      </c>
      <c r="C11" s="3513"/>
      <c r="D11" s="2533" t="s">
        <v>2490</v>
      </c>
      <c r="E11" s="2533" t="s">
        <v>2491</v>
      </c>
      <c r="F11" s="2534" t="s">
        <v>2492</v>
      </c>
      <c r="G11" s="2534" t="s">
        <v>2493</v>
      </c>
      <c r="H11" s="2541" t="s">
        <v>2494</v>
      </c>
      <c r="I11" s="2532" t="s">
        <v>2495</v>
      </c>
    </row>
    <row r="12" spans="1:9">
      <c r="A12" s="3512"/>
      <c r="B12" s="3513" t="s">
        <v>2496</v>
      </c>
      <c r="C12" s="3513"/>
      <c r="D12" s="2533"/>
      <c r="E12" s="2533"/>
      <c r="F12" s="2534"/>
      <c r="G12" s="2535"/>
      <c r="H12" s="2542"/>
      <c r="I12" s="2532">
        <f>ROUND(D12*E12*F12*G12/10000,0)</f>
        <v>0</v>
      </c>
    </row>
    <row r="13" spans="1:9">
      <c r="A13" s="3512"/>
      <c r="B13" s="3513" t="s">
        <v>2497</v>
      </c>
      <c r="C13" s="3513"/>
      <c r="D13" s="2533"/>
      <c r="E13" s="2533"/>
      <c r="F13" s="2534"/>
      <c r="G13" s="2535"/>
      <c r="H13" s="2542"/>
      <c r="I13" s="2532">
        <f>ROUND(D13*E13*F13*G13/10000,0)</f>
        <v>0</v>
      </c>
    </row>
    <row r="14" spans="1:9">
      <c r="A14" s="3512"/>
      <c r="B14" s="3513" t="s">
        <v>2498</v>
      </c>
      <c r="C14" s="3513"/>
      <c r="D14" s="2533"/>
      <c r="E14" s="2533"/>
      <c r="F14" s="2534"/>
      <c r="G14" s="2535"/>
      <c r="H14" s="2542"/>
      <c r="I14" s="2532">
        <f>ROUND(D14*E14*F14*G14/10000,0)</f>
        <v>0</v>
      </c>
    </row>
    <row r="15" spans="1:9">
      <c r="A15" s="3512"/>
      <c r="B15" s="3514" t="s">
        <v>2487</v>
      </c>
      <c r="C15" s="3514"/>
      <c r="D15" s="2537"/>
      <c r="E15" s="2537">
        <f>SUM(E12:E14)</f>
        <v>0</v>
      </c>
      <c r="F15" s="2538"/>
      <c r="G15" s="2535"/>
      <c r="H15" s="2542"/>
      <c r="I15" s="2543">
        <f>SUM(I12:I14)</f>
        <v>0</v>
      </c>
    </row>
    <row r="16" spans="1:9" ht="24">
      <c r="A16" s="3512" t="s">
        <v>2499</v>
      </c>
      <c r="B16" s="3513" t="s">
        <v>2500</v>
      </c>
      <c r="C16" s="3513"/>
      <c r="D16" s="2533" t="s">
        <v>2501</v>
      </c>
      <c r="E16" s="2544" t="s">
        <v>2502</v>
      </c>
      <c r="F16" s="2534" t="s">
        <v>2503</v>
      </c>
      <c r="G16" s="2535" t="s">
        <v>2493</v>
      </c>
      <c r="H16" s="2541" t="s">
        <v>2494</v>
      </c>
      <c r="I16" s="2532" t="s">
        <v>2495</v>
      </c>
    </row>
    <row r="17" spans="1:9" ht="14.25">
      <c r="A17" s="3512"/>
      <c r="B17" s="3513" t="s">
        <v>2504</v>
      </c>
      <c r="C17" s="3513"/>
      <c r="D17" s="2533"/>
      <c r="E17" s="2533"/>
      <c r="F17" s="2534"/>
      <c r="G17" s="2535"/>
      <c r="H17" s="2545"/>
      <c r="I17" s="2546">
        <f>ROUND(D17*E17*F17*G17/10000,0)</f>
        <v>0</v>
      </c>
    </row>
    <row r="18" spans="1:9" ht="14.25">
      <c r="A18" s="3512"/>
      <c r="B18" s="3513" t="s">
        <v>2505</v>
      </c>
      <c r="C18" s="3513"/>
      <c r="D18" s="2533"/>
      <c r="E18" s="2533"/>
      <c r="F18" s="2534"/>
      <c r="G18" s="2535"/>
      <c r="H18" s="2545"/>
      <c r="I18" s="2546">
        <f>ROUND(D18*E18*F18*G18/10000,0)</f>
        <v>0</v>
      </c>
    </row>
    <row r="19" spans="1:9" ht="14.25">
      <c r="A19" s="3512"/>
      <c r="B19" s="3513" t="s">
        <v>2506</v>
      </c>
      <c r="C19" s="3513"/>
      <c r="D19" s="2533"/>
      <c r="E19" s="2533"/>
      <c r="F19" s="2534"/>
      <c r="G19" s="2535"/>
      <c r="H19" s="2545"/>
      <c r="I19" s="2546">
        <f>ROUND(D19*E19*F19*G19/10000,0)</f>
        <v>0</v>
      </c>
    </row>
    <row r="20" spans="1:9">
      <c r="A20" s="3512"/>
      <c r="B20" s="3514" t="s">
        <v>2487</v>
      </c>
      <c r="C20" s="3514"/>
      <c r="D20" s="2537">
        <f>SUM(D17:D19)</f>
        <v>0</v>
      </c>
      <c r="E20" s="2537"/>
      <c r="F20" s="2538"/>
      <c r="G20" s="2535"/>
      <c r="H20" s="2542"/>
      <c r="I20" s="2543">
        <f>SUM(I17:I19)</f>
        <v>0</v>
      </c>
    </row>
    <row r="21" spans="1:9">
      <c r="A21" s="3512" t="s">
        <v>2507</v>
      </c>
      <c r="B21" s="3515"/>
      <c r="C21" s="3515"/>
      <c r="D21" s="3515"/>
      <c r="E21" s="3515"/>
      <c r="F21" s="3515"/>
      <c r="G21" s="3515"/>
      <c r="H21" s="2547">
        <v>0.1</v>
      </c>
      <c r="I21" s="2540">
        <f>ROUND(I10*H21,0)</f>
        <v>0</v>
      </c>
    </row>
    <row r="22" spans="1:9" ht="14.25">
      <c r="A22" s="3516" t="s">
        <v>2508</v>
      </c>
      <c r="B22" s="3517"/>
      <c r="C22" s="3518"/>
      <c r="D22" s="2548" t="s">
        <v>2509</v>
      </c>
      <c r="E22" s="2548" t="s">
        <v>2510</v>
      </c>
      <c r="F22" s="2549" t="s">
        <v>2511</v>
      </c>
      <c r="G22" s="2549" t="s">
        <v>2512</v>
      </c>
      <c r="H22" s="2541" t="s">
        <v>2513</v>
      </c>
      <c r="I22" s="2532" t="s">
        <v>2514</v>
      </c>
    </row>
    <row r="23" spans="1:9" ht="14.25" thickBot="1">
      <c r="A23" s="3519"/>
      <c r="B23" s="3520"/>
      <c r="C23" s="3521"/>
      <c r="D23" s="2550"/>
      <c r="E23" s="2550"/>
      <c r="F23" s="2550"/>
      <c r="G23" s="2551"/>
      <c r="H23" s="2552"/>
      <c r="I23" s="2553">
        <f>ROUND(E23*D23*F23*(1-G23)/10000,0)</f>
        <v>0</v>
      </c>
    </row>
    <row r="26" spans="1:9">
      <c r="A26" s="2554" t="s">
        <v>2515</v>
      </c>
      <c r="B26" s="2554"/>
      <c r="C26" s="2554"/>
      <c r="D26" s="2554"/>
      <c r="E26" s="3509">
        <f>C27-C30-C31-C32</f>
        <v>0</v>
      </c>
      <c r="F26" s="3509"/>
      <c r="G26" s="3509"/>
      <c r="H26" s="3067" t="s">
        <v>2843</v>
      </c>
    </row>
    <row r="27" spans="1:9">
      <c r="A27" s="2555">
        <v>1</v>
      </c>
      <c r="B27" s="2556" t="s">
        <v>2516</v>
      </c>
      <c r="C27" s="2556"/>
      <c r="D27" s="2556"/>
      <c r="E27" s="3510"/>
      <c r="F27" s="3510"/>
      <c r="G27" s="3510"/>
    </row>
    <row r="28" spans="1:9">
      <c r="A28" s="2557" t="s">
        <v>2517</v>
      </c>
      <c r="B28" s="2556" t="s">
        <v>2518</v>
      </c>
      <c r="C28" s="2556"/>
      <c r="D28" s="2556"/>
      <c r="E28" s="3510"/>
      <c r="F28" s="3510"/>
      <c r="G28" s="3510"/>
    </row>
    <row r="29" spans="1:9">
      <c r="A29" s="2557" t="s">
        <v>2519</v>
      </c>
      <c r="B29" s="2556" t="s">
        <v>2460</v>
      </c>
      <c r="C29" s="2556"/>
      <c r="D29" s="2556"/>
      <c r="E29" s="2556" t="s">
        <v>2520</v>
      </c>
      <c r="F29" s="2556"/>
      <c r="G29" s="2556"/>
    </row>
    <row r="30" spans="1:9">
      <c r="A30" s="2555">
        <v>2</v>
      </c>
      <c r="B30" s="2556" t="s">
        <v>2521</v>
      </c>
      <c r="C30" s="2556">
        <f>C27*D30</f>
        <v>0</v>
      </c>
      <c r="D30" s="2558">
        <v>0.2</v>
      </c>
      <c r="E30" s="2556" t="s">
        <v>2522</v>
      </c>
      <c r="F30" s="2556"/>
      <c r="G30" s="2556"/>
    </row>
    <row r="31" spans="1:9">
      <c r="A31" s="2555">
        <v>3</v>
      </c>
      <c r="B31" s="2556" t="s">
        <v>2523</v>
      </c>
      <c r="C31" s="2556">
        <f>C25*D31</f>
        <v>0</v>
      </c>
      <c r="D31" s="2558">
        <v>0.15</v>
      </c>
      <c r="E31" s="2556" t="s">
        <v>2524</v>
      </c>
      <c r="F31" s="2556"/>
      <c r="G31" s="2556"/>
    </row>
    <row r="32" spans="1:9">
      <c r="A32" s="2555">
        <v>4</v>
      </c>
      <c r="B32" s="2556" t="s">
        <v>2525</v>
      </c>
      <c r="C32" s="2556">
        <f>C27*D32</f>
        <v>0</v>
      </c>
      <c r="D32" s="2558">
        <v>0.05</v>
      </c>
      <c r="E32" s="3511"/>
      <c r="F32" s="3511"/>
      <c r="G32" s="3511"/>
    </row>
    <row r="33" spans="1:7" hidden="1">
      <c r="A33" s="3506" t="s">
        <v>2526</v>
      </c>
      <c r="B33" s="3507"/>
      <c r="C33" s="3507"/>
      <c r="D33" s="3508"/>
      <c r="E33" s="3509"/>
      <c r="F33" s="3509"/>
      <c r="G33" s="3509"/>
    </row>
    <row r="34" spans="1:7" hidden="1">
      <c r="A34" s="2559">
        <v>1</v>
      </c>
      <c r="B34" s="2556" t="s">
        <v>2527</v>
      </c>
      <c r="C34" s="2556"/>
      <c r="D34" s="2556"/>
      <c r="E34" s="3510"/>
      <c r="F34" s="3510"/>
      <c r="G34" s="3510"/>
    </row>
    <row r="35" spans="1:7" hidden="1">
      <c r="A35" s="2559">
        <v>2</v>
      </c>
      <c r="B35" s="2556" t="s">
        <v>2528</v>
      </c>
      <c r="C35" s="2556"/>
      <c r="D35" s="2556"/>
      <c r="E35" s="3510"/>
      <c r="F35" s="3510"/>
      <c r="G35" s="3510"/>
    </row>
    <row r="36" spans="1:7" hidden="1">
      <c r="A36" s="2559">
        <v>3</v>
      </c>
      <c r="B36" s="2556" t="s">
        <v>2529</v>
      </c>
      <c r="C36" s="2556"/>
      <c r="D36" s="2556"/>
      <c r="E36" s="3510"/>
      <c r="F36" s="3510"/>
      <c r="G36" s="3510"/>
    </row>
    <row r="37" spans="1:7" hidden="1">
      <c r="A37" s="2559">
        <v>4</v>
      </c>
      <c r="B37" s="2556" t="s">
        <v>2530</v>
      </c>
      <c r="C37" s="2556"/>
      <c r="D37" s="2556"/>
      <c r="E37" s="3510"/>
      <c r="F37" s="3510"/>
      <c r="G37" s="3510"/>
    </row>
    <row r="38" spans="1:7" hidden="1">
      <c r="A38" s="3506" t="s">
        <v>2531</v>
      </c>
      <c r="B38" s="3507"/>
      <c r="C38" s="3507"/>
      <c r="D38" s="3508"/>
      <c r="E38" s="3509"/>
      <c r="F38" s="3509"/>
      <c r="G38" s="35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2440</v>
      </c>
      <c r="B8" s="2496" t="s">
        <v>2442</v>
      </c>
      <c r="C8" s="2497"/>
      <c r="D8" s="749"/>
      <c r="E8" s="750"/>
      <c r="F8" s="750"/>
      <c r="G8" s="751"/>
    </row>
    <row r="9" spans="1:25" s="2183" customFormat="1" ht="13.5" customHeight="1">
      <c r="A9" s="2493" t="s">
        <v>2441</v>
      </c>
      <c r="B9" s="2496" t="s">
        <v>2443</v>
      </c>
      <c r="C9" s="2497"/>
      <c r="D9" s="749"/>
      <c r="E9" s="750"/>
      <c r="F9" s="750"/>
      <c r="G9" s="751"/>
    </row>
    <row r="10" spans="1:25" s="2183" customFormat="1" ht="36">
      <c r="A10" s="2493">
        <v>2</v>
      </c>
      <c r="B10" s="748" t="s">
        <v>613</v>
      </c>
      <c r="C10" s="749">
        <f>C11+C14+C15</f>
        <v>0</v>
      </c>
      <c r="D10" s="760">
        <f>'数据-汇总表'!E3</f>
        <v>67516.63</v>
      </c>
      <c r="E10" s="749">
        <f>'数据-取费表'!B31</f>
        <v>200</v>
      </c>
      <c r="F10" s="761"/>
      <c r="G10" s="759" t="s">
        <v>614</v>
      </c>
    </row>
    <row r="11" spans="1:25" s="2183" customFormat="1" ht="13.5" customHeight="1">
      <c r="A11" s="2493" t="s">
        <v>2440</v>
      </c>
      <c r="B11" s="752" t="s">
        <v>610</v>
      </c>
      <c r="C11" s="753">
        <f>'数据-取费表'!B29</f>
        <v>0</v>
      </c>
      <c r="D11" s="754"/>
      <c r="E11" s="753"/>
      <c r="F11" s="755"/>
      <c r="G11" s="2502" t="s">
        <v>2451</v>
      </c>
    </row>
    <row r="12" spans="1:25" s="2183" customFormat="1" ht="13.5" customHeight="1">
      <c r="A12" s="2500" t="s">
        <v>2448</v>
      </c>
      <c r="B12" s="756" t="s">
        <v>611</v>
      </c>
      <c r="C12" s="757">
        <f>ROUND(D12*E12/10000,0)</f>
        <v>685</v>
      </c>
      <c r="D12" s="758">
        <f>'数据-汇总表'!E5</f>
        <v>57055.89</v>
      </c>
      <c r="E12" s="757">
        <f>'数据-取费表'!B27</f>
        <v>120</v>
      </c>
      <c r="F12" s="755"/>
      <c r="G12" s="759"/>
    </row>
    <row r="13" spans="1:25" s="2183" customFormat="1" ht="13.5" customHeight="1">
      <c r="A13" s="2500" t="s">
        <v>2447</v>
      </c>
      <c r="B13" s="756" t="s">
        <v>612</v>
      </c>
      <c r="C13" s="757">
        <f>ROUND(D13*E13/10000,0)</f>
        <v>126</v>
      </c>
      <c r="D13" s="758">
        <f>'数据-汇总表'!E6</f>
        <v>10460.740000000005</v>
      </c>
      <c r="E13" s="757">
        <f>'数据-取费表'!B28</f>
        <v>120</v>
      </c>
      <c r="F13" s="755"/>
      <c r="G13" s="759"/>
    </row>
    <row r="14" spans="1:25" s="2183" customFormat="1" ht="13.5" customHeight="1">
      <c r="A14" s="2493" t="s">
        <v>2441</v>
      </c>
      <c r="B14" s="2499" t="s">
        <v>2444</v>
      </c>
      <c r="C14" s="2497"/>
      <c r="D14" s="758"/>
      <c r="E14" s="757"/>
      <c r="F14" s="2498"/>
      <c r="G14" s="2501" t="s">
        <v>2449</v>
      </c>
    </row>
    <row r="15" spans="1:25" s="2183" customFormat="1" ht="13.5" customHeight="1">
      <c r="A15" s="2493" t="s">
        <v>2446</v>
      </c>
      <c r="B15" s="2499" t="s">
        <v>2445</v>
      </c>
      <c r="C15" s="2497"/>
      <c r="D15" s="758"/>
      <c r="E15" s="757"/>
      <c r="F15" s="2498"/>
      <c r="G15" s="2501" t="s">
        <v>2450</v>
      </c>
    </row>
    <row r="16" spans="1:25" s="2184" customFormat="1" ht="48">
      <c r="A16" s="2493">
        <v>3</v>
      </c>
      <c r="B16" s="748" t="s">
        <v>615</v>
      </c>
      <c r="C16" s="2497"/>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0.25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0.88900000000000001</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M19" sqref="M1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7" t="s">
        <v>719</v>
      </c>
      <c r="C1" s="2648" t="s">
        <v>720</v>
      </c>
      <c r="D1" s="2649" t="s">
        <v>923</v>
      </c>
      <c r="E1" s="2650"/>
      <c r="F1" s="2831" t="s">
        <v>3108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6">
        <f>ROUND(B3*D3/10000,0)</f>
        <v>118026</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20686</v>
      </c>
      <c r="C3" s="852" t="s">
        <v>722</v>
      </c>
      <c r="D3" s="851">
        <f>SUMIF('数据-汇总表'!$C19:$C33,D1,'数据-汇总表'!$E19:$E33)</f>
        <v>57055.89</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433" t="s">
        <v>522</v>
      </c>
      <c r="D4" s="3434"/>
      <c r="E4" s="3459" t="s">
        <v>523</v>
      </c>
      <c r="F4" s="3460"/>
      <c r="G4" s="3433" t="s">
        <v>524</v>
      </c>
      <c r="H4" s="3434"/>
      <c r="I4" s="3433" t="s">
        <v>525</v>
      </c>
      <c r="J4" s="3434"/>
      <c r="K4" s="853" t="s">
        <v>526</v>
      </c>
      <c r="L4" s="2133"/>
      <c r="M4" s="2134"/>
      <c r="N4" s="2134"/>
      <c r="O4" s="2134"/>
      <c r="P4" s="3435" t="s">
        <v>527</v>
      </c>
      <c r="Q4" s="3436"/>
      <c r="R4" s="3421" t="s">
        <v>523</v>
      </c>
      <c r="S4" s="3422"/>
      <c r="T4" s="3421" t="s">
        <v>524</v>
      </c>
      <c r="U4" s="3422"/>
      <c r="V4" s="3441" t="s">
        <v>525</v>
      </c>
      <c r="W4" s="3441"/>
      <c r="X4" s="1568"/>
      <c r="Y4" s="3421" t="s">
        <v>527</v>
      </c>
      <c r="Z4" s="3422"/>
      <c r="AA4" s="3416" t="s">
        <v>523</v>
      </c>
      <c r="AB4" s="3416" t="s">
        <v>524</v>
      </c>
      <c r="AC4" s="3416" t="s">
        <v>525</v>
      </c>
    </row>
    <row r="5" spans="1:29" ht="15">
      <c r="A5" s="515"/>
      <c r="B5" s="516"/>
      <c r="C5" s="3446" t="s">
        <v>2926</v>
      </c>
      <c r="D5" s="3445"/>
      <c r="E5" s="3527" t="s">
        <v>3208</v>
      </c>
      <c r="F5" s="3462"/>
      <c r="G5" s="3444" t="s">
        <v>3205</v>
      </c>
      <c r="H5" s="3445"/>
      <c r="I5" s="3444" t="s">
        <v>3190</v>
      </c>
      <c r="J5" s="3445"/>
      <c r="K5" s="854"/>
      <c r="L5" s="2133"/>
      <c r="M5" s="2134"/>
      <c r="N5" s="2134"/>
      <c r="O5" s="2134"/>
      <c r="P5" s="3437"/>
      <c r="Q5" s="3438"/>
      <c r="R5" s="3423"/>
      <c r="S5" s="3424"/>
      <c r="T5" s="3423"/>
      <c r="U5" s="3424"/>
      <c r="V5" s="3441"/>
      <c r="W5" s="3441"/>
      <c r="X5" s="1568"/>
      <c r="Y5" s="3423"/>
      <c r="Z5" s="3424"/>
      <c r="AA5" s="3417"/>
      <c r="AB5" s="3417"/>
      <c r="AC5" s="3417"/>
    </row>
    <row r="6" spans="1:29" ht="15.75" thickBot="1">
      <c r="A6" s="517"/>
      <c r="B6" s="518"/>
      <c r="C6" s="3463" t="s">
        <v>2930</v>
      </c>
      <c r="D6" s="3443"/>
      <c r="E6" s="3528" t="s">
        <v>3176</v>
      </c>
      <c r="F6" s="3465"/>
      <c r="G6" s="3528" t="s">
        <v>3179</v>
      </c>
      <c r="H6" s="3465"/>
      <c r="I6" s="3528" t="s">
        <v>3179</v>
      </c>
      <c r="J6" s="3465"/>
      <c r="K6" s="854" t="s">
        <v>528</v>
      </c>
      <c r="L6" s="2133"/>
      <c r="M6" s="2134"/>
      <c r="N6" s="2134"/>
      <c r="O6" s="2134"/>
      <c r="P6" s="3439"/>
      <c r="Q6" s="3440"/>
      <c r="R6" s="3423"/>
      <c r="S6" s="3424"/>
      <c r="T6" s="3425"/>
      <c r="U6" s="3426"/>
      <c r="V6" s="3441"/>
      <c r="W6" s="3441"/>
      <c r="X6" s="1568"/>
      <c r="Y6" s="3425"/>
      <c r="Z6" s="3426"/>
      <c r="AA6" s="3418"/>
      <c r="AB6" s="3418"/>
      <c r="AC6" s="3418"/>
    </row>
    <row r="7" spans="1:29" s="1220" customFormat="1" ht="15.75" thickBot="1">
      <c r="A7" s="2936"/>
      <c r="B7" s="2943" t="s">
        <v>529</v>
      </c>
      <c r="C7" s="519">
        <f>'数据-取费表'!B2</f>
        <v>43244</v>
      </c>
      <c r="D7" s="520">
        <v>100</v>
      </c>
      <c r="E7" s="521">
        <f>C7</f>
        <v>43244</v>
      </c>
      <c r="F7" s="522">
        <f>SUMIF(58:58,YEAR(E7)&amp;"-"&amp;MONTH(E7),59:59)</f>
        <v>100</v>
      </c>
      <c r="G7" s="523">
        <f>C7</f>
        <v>43244</v>
      </c>
      <c r="H7" s="520">
        <f>SUMIF(58:58,YEAR(G7)&amp;"-"&amp;MONTH(G7),59:59)</f>
        <v>100</v>
      </c>
      <c r="I7" s="523">
        <f>C7</f>
        <v>43244</v>
      </c>
      <c r="J7" s="520">
        <f>SUMIF(58:58,YEAR(I7)&amp;"-"&amp;MONTH(I7),59:59)</f>
        <v>100</v>
      </c>
      <c r="K7" s="855"/>
      <c r="L7" s="2135"/>
      <c r="M7" s="2136"/>
      <c r="N7" s="2136"/>
      <c r="O7" s="2136"/>
      <c r="P7" s="3419" t="s">
        <v>530</v>
      </c>
      <c r="Q7" s="3428"/>
      <c r="R7" s="1569" t="s">
        <v>13</v>
      </c>
      <c r="S7" s="1570">
        <f t="shared" ref="S7:S15" si="0">F7</f>
        <v>100</v>
      </c>
      <c r="T7" s="1569" t="s">
        <v>13</v>
      </c>
      <c r="U7" s="1570">
        <f t="shared" ref="U7:U15" si="1">H7</f>
        <v>100</v>
      </c>
      <c r="V7" s="1569" t="s">
        <v>13</v>
      </c>
      <c r="W7" s="1570">
        <f t="shared" ref="W7:W15" si="2">J7</f>
        <v>100</v>
      </c>
      <c r="X7" s="1571"/>
      <c r="Y7" s="3419" t="s">
        <v>530</v>
      </c>
      <c r="Z7" s="3420"/>
      <c r="AA7" s="1572">
        <f>D7/F7</f>
        <v>1</v>
      </c>
      <c r="AB7" s="1572">
        <f>D7/H7</f>
        <v>1</v>
      </c>
      <c r="AC7" s="1572">
        <f>D7/J7</f>
        <v>1</v>
      </c>
    </row>
    <row r="8" spans="1:29" s="1220" customFormat="1" ht="15.75" thickBot="1">
      <c r="A8" s="2937"/>
      <c r="B8" s="2944" t="s">
        <v>531</v>
      </c>
      <c r="C8" s="525" t="s">
        <v>576</v>
      </c>
      <c r="D8" s="520">
        <v>100</v>
      </c>
      <c r="E8" s="856" t="s">
        <v>3007</v>
      </c>
      <c r="F8" s="522">
        <f>SUMIF(61:61,E8,62:62)-SUMIF(61:61,C8,62:62)+100</f>
        <v>100</v>
      </c>
      <c r="G8" s="525" t="s">
        <v>3007</v>
      </c>
      <c r="H8" s="520">
        <f>SUMIF(61:61,G8,62:62)-SUMIF(61:61,C8,62:62)+100</f>
        <v>100</v>
      </c>
      <c r="I8" s="856" t="s">
        <v>3007</v>
      </c>
      <c r="J8" s="520">
        <f>SUMIF(61:61,I8,62:62)-SUMIF(61:61,C8,62:62)+100</f>
        <v>100</v>
      </c>
      <c r="K8" s="855"/>
      <c r="L8" s="2135"/>
      <c r="M8" s="2136"/>
      <c r="N8" s="2136"/>
      <c r="O8" s="2136"/>
      <c r="P8" s="3419" t="s">
        <v>533</v>
      </c>
      <c r="Q8" s="3420"/>
      <c r="R8" s="1569" t="s">
        <v>13</v>
      </c>
      <c r="S8" s="1570">
        <f t="shared" si="0"/>
        <v>100</v>
      </c>
      <c r="T8" s="1569" t="s">
        <v>13</v>
      </c>
      <c r="U8" s="1570">
        <f t="shared" si="1"/>
        <v>100</v>
      </c>
      <c r="V8" s="1569" t="s">
        <v>13</v>
      </c>
      <c r="W8" s="1570">
        <f t="shared" si="2"/>
        <v>100</v>
      </c>
      <c r="X8" s="1571"/>
      <c r="Y8" s="3419" t="s">
        <v>533</v>
      </c>
      <c r="Z8" s="3420"/>
      <c r="AA8" s="1572">
        <f t="shared" ref="AA8:AA46" si="3">D8/F8</f>
        <v>1</v>
      </c>
      <c r="AB8" s="1572">
        <f t="shared" ref="AB8:AB46" si="4">D8/H8</f>
        <v>1</v>
      </c>
      <c r="AC8" s="1572">
        <f t="shared" ref="AC8:AC46" si="5">D8/J8</f>
        <v>1</v>
      </c>
    </row>
    <row r="9" spans="1:29" s="1220" customFormat="1" ht="15">
      <c r="A9" s="2938"/>
      <c r="B9" s="2945" t="s">
        <v>2756</v>
      </c>
      <c r="C9" s="3192" t="s">
        <v>3066</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427" t="s">
        <v>535</v>
      </c>
      <c r="Q9" s="1151" t="str">
        <f t="shared" ref="Q9:Q15" si="6">B9</f>
        <v>用途</v>
      </c>
      <c r="R9" s="1569" t="s">
        <v>8</v>
      </c>
      <c r="S9" s="1570">
        <f t="shared" si="0"/>
        <v>100</v>
      </c>
      <c r="T9" s="1569" t="s">
        <v>8</v>
      </c>
      <c r="U9" s="1570">
        <f t="shared" si="1"/>
        <v>100</v>
      </c>
      <c r="V9" s="1569" t="s">
        <v>8</v>
      </c>
      <c r="W9" s="1570">
        <f t="shared" si="2"/>
        <v>100</v>
      </c>
      <c r="X9" s="1571"/>
      <c r="Y9" s="3384" t="s">
        <v>536</v>
      </c>
      <c r="Z9" s="1150" t="str">
        <f t="shared" ref="Z9:Z15" si="7">Q9</f>
        <v>用途</v>
      </c>
      <c r="AA9" s="1572">
        <f t="shared" si="3"/>
        <v>1</v>
      </c>
      <c r="AB9" s="1572">
        <f t="shared" si="4"/>
        <v>1</v>
      </c>
      <c r="AC9" s="1572">
        <f t="shared" si="5"/>
        <v>1</v>
      </c>
    </row>
    <row r="10" spans="1:29" s="1338" customFormat="1" ht="27">
      <c r="A10" s="2939"/>
      <c r="B10" s="2944" t="s">
        <v>2757</v>
      </c>
      <c r="C10" s="861" t="s">
        <v>3067</v>
      </c>
      <c r="D10" s="255">
        <v>100</v>
      </c>
      <c r="E10" s="862" t="s">
        <v>3068</v>
      </c>
      <c r="F10" s="863">
        <f>SUMIF(65:65,E10,66:66)-SUMIF(65:65,C10,66:66)+100</f>
        <v>102</v>
      </c>
      <c r="G10" s="861" t="s">
        <v>3068</v>
      </c>
      <c r="H10" s="255">
        <f>SUMIF(65:65,G10,66:66)-SUMIF(65:65,C10,66:66)+100</f>
        <v>102</v>
      </c>
      <c r="I10" s="861" t="s">
        <v>3068</v>
      </c>
      <c r="J10" s="255">
        <f>SUMIF(65:65,I10,66:66)-SUMIF(65:65,C10,66:66)+100</f>
        <v>102</v>
      </c>
      <c r="K10" s="864">
        <v>2</v>
      </c>
      <c r="L10" s="2138"/>
      <c r="M10" s="2178"/>
      <c r="N10" s="2178"/>
      <c r="O10" s="2139"/>
      <c r="P10" s="3427"/>
      <c r="Q10" s="1151" t="str">
        <f t="shared" si="6"/>
        <v>土地使用年限（年）</v>
      </c>
      <c r="R10" s="1569" t="s">
        <v>8</v>
      </c>
      <c r="S10" s="1570">
        <f t="shared" si="0"/>
        <v>102</v>
      </c>
      <c r="T10" s="1569" t="s">
        <v>8</v>
      </c>
      <c r="U10" s="1570">
        <f t="shared" si="1"/>
        <v>102</v>
      </c>
      <c r="V10" s="1569" t="s">
        <v>8</v>
      </c>
      <c r="W10" s="1570">
        <f t="shared" si="2"/>
        <v>102</v>
      </c>
      <c r="X10" s="1571"/>
      <c r="Y10" s="3384"/>
      <c r="Z10" s="1150" t="str">
        <f t="shared" si="7"/>
        <v>土地使用年限（年）</v>
      </c>
      <c r="AA10" s="1572">
        <f t="shared" si="3"/>
        <v>0.98039215686274506</v>
      </c>
      <c r="AB10" s="1572">
        <f t="shared" si="4"/>
        <v>0.98039215686274506</v>
      </c>
      <c r="AC10" s="1572">
        <f t="shared" si="5"/>
        <v>0.98039215686274506</v>
      </c>
    </row>
    <row r="11" spans="1:29" ht="15.75" thickBot="1">
      <c r="A11" s="2940"/>
      <c r="B11" s="2944" t="s">
        <v>2758</v>
      </c>
      <c r="C11" s="533">
        <v>4.0599999999999996</v>
      </c>
      <c r="D11" s="255">
        <v>100</v>
      </c>
      <c r="E11" s="534">
        <v>4.5</v>
      </c>
      <c r="F11" s="863">
        <f>LOOKUP(E11,68:68,69:69)-LOOKUP(C11,68:68,69:69)+100</f>
        <v>100</v>
      </c>
      <c r="G11" s="533">
        <v>3.5</v>
      </c>
      <c r="H11" s="255">
        <f>LOOKUP(G11,68:68,69:69)-LOOKUP(C11,68:68,69:69)+100</f>
        <v>103</v>
      </c>
      <c r="I11" s="533">
        <v>2.5</v>
      </c>
      <c r="J11" s="255">
        <f>LOOKUP(I11,68:68,69:69)-LOOKUP(C11,68:68,69:69)+100</f>
        <v>103</v>
      </c>
      <c r="K11" s="864">
        <v>3</v>
      </c>
      <c r="L11" s="2140"/>
      <c r="M11" s="2134"/>
      <c r="N11" s="2134"/>
      <c r="O11" s="2141"/>
      <c r="P11" s="3427"/>
      <c r="Q11" s="1151" t="str">
        <f t="shared" si="6"/>
        <v>容积率</v>
      </c>
      <c r="R11" s="1569" t="s">
        <v>11</v>
      </c>
      <c r="S11" s="1570">
        <f t="shared" si="0"/>
        <v>100</v>
      </c>
      <c r="T11" s="1569" t="s">
        <v>11</v>
      </c>
      <c r="U11" s="1570">
        <f t="shared" si="1"/>
        <v>103</v>
      </c>
      <c r="V11" s="1569" t="s">
        <v>11</v>
      </c>
      <c r="W11" s="1570">
        <f t="shared" si="2"/>
        <v>103</v>
      </c>
      <c r="X11" s="1571"/>
      <c r="Y11" s="3384"/>
      <c r="Z11" s="1150" t="str">
        <f t="shared" si="7"/>
        <v>容积率</v>
      </c>
      <c r="AA11" s="1572">
        <f t="shared" si="3"/>
        <v>1</v>
      </c>
      <c r="AB11" s="1572">
        <f t="shared" si="4"/>
        <v>0.970873786407767</v>
      </c>
      <c r="AC11" s="1572">
        <f t="shared" si="5"/>
        <v>0.970873786407767</v>
      </c>
    </row>
    <row r="12" spans="1:29" s="1220" customFormat="1" ht="15" hidden="1">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27"/>
      <c r="Q12" s="1151">
        <f t="shared" si="6"/>
        <v>111</v>
      </c>
      <c r="R12" s="1569" t="s">
        <v>11</v>
      </c>
      <c r="S12" s="1570">
        <f t="shared" si="0"/>
        <v>100</v>
      </c>
      <c r="T12" s="1569" t="s">
        <v>11</v>
      </c>
      <c r="U12" s="1570">
        <f t="shared" si="1"/>
        <v>100</v>
      </c>
      <c r="V12" s="1569" t="s">
        <v>11</v>
      </c>
      <c r="W12" s="1570">
        <f t="shared" si="2"/>
        <v>100</v>
      </c>
      <c r="X12" s="1571"/>
      <c r="Y12" s="3384"/>
      <c r="Z12" s="1150">
        <f t="shared" si="7"/>
        <v>111</v>
      </c>
      <c r="AA12" s="1572">
        <f>D12/F12</f>
        <v>1</v>
      </c>
      <c r="AB12" s="1572">
        <f>D12/H12</f>
        <v>1</v>
      </c>
      <c r="AC12" s="1572">
        <f>D12/J12</f>
        <v>1</v>
      </c>
    </row>
    <row r="13" spans="1:29" ht="15" hidden="1">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27"/>
      <c r="Q13" s="1151">
        <f t="shared" si="6"/>
        <v>111</v>
      </c>
      <c r="R13" s="1569" t="s">
        <v>11</v>
      </c>
      <c r="S13" s="1570">
        <f t="shared" si="0"/>
        <v>100</v>
      </c>
      <c r="T13" s="1569" t="s">
        <v>11</v>
      </c>
      <c r="U13" s="1570">
        <f t="shared" si="1"/>
        <v>100</v>
      </c>
      <c r="V13" s="1569" t="s">
        <v>11</v>
      </c>
      <c r="W13" s="1570">
        <f t="shared" si="2"/>
        <v>100</v>
      </c>
      <c r="X13" s="1571"/>
      <c r="Y13" s="3384"/>
      <c r="Z13" s="1150">
        <f t="shared" si="7"/>
        <v>111</v>
      </c>
      <c r="AA13" s="1572">
        <f t="shared" si="3"/>
        <v>1</v>
      </c>
      <c r="AB13" s="1572">
        <f t="shared" si="4"/>
        <v>1</v>
      </c>
      <c r="AC13" s="1572">
        <f t="shared" si="5"/>
        <v>1</v>
      </c>
    </row>
    <row r="14" spans="1:29" ht="15.75" hidden="1"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27"/>
      <c r="Q14" s="1151">
        <f t="shared" si="6"/>
        <v>111</v>
      </c>
      <c r="R14" s="1569" t="s">
        <v>11</v>
      </c>
      <c r="S14" s="1570">
        <f t="shared" si="0"/>
        <v>100</v>
      </c>
      <c r="T14" s="1569" t="s">
        <v>11</v>
      </c>
      <c r="U14" s="1570">
        <f t="shared" si="1"/>
        <v>100</v>
      </c>
      <c r="V14" s="1569" t="s">
        <v>11</v>
      </c>
      <c r="W14" s="1570">
        <f t="shared" si="2"/>
        <v>100</v>
      </c>
      <c r="X14" s="1571"/>
      <c r="Y14" s="3384"/>
      <c r="Z14" s="1150">
        <f t="shared" si="7"/>
        <v>111</v>
      </c>
      <c r="AA14" s="1572">
        <f t="shared" si="3"/>
        <v>1</v>
      </c>
      <c r="AB14" s="1572">
        <f t="shared" si="4"/>
        <v>1</v>
      </c>
      <c r="AC14" s="1572">
        <f t="shared" si="5"/>
        <v>1</v>
      </c>
    </row>
    <row r="15" spans="1:29" ht="99.75">
      <c r="A15" s="2934"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f>'比较法-住宅、综合'!K17</f>
        <v>3</v>
      </c>
      <c r="L15" s="2142"/>
      <c r="M15" s="2134"/>
      <c r="N15" s="2134"/>
      <c r="O15" s="2141"/>
      <c r="P15" s="3429" t="s">
        <v>540</v>
      </c>
      <c r="Q15" s="1573" t="str">
        <f t="shared" si="6"/>
        <v>居住社区成熟度</v>
      </c>
      <c r="R15" s="1574" t="s">
        <v>11</v>
      </c>
      <c r="S15" s="1575">
        <f t="shared" si="0"/>
        <v>97</v>
      </c>
      <c r="T15" s="1574" t="s">
        <v>11</v>
      </c>
      <c r="U15" s="1575">
        <f t="shared" si="1"/>
        <v>97</v>
      </c>
      <c r="V15" s="1574" t="s">
        <v>11</v>
      </c>
      <c r="W15" s="1575">
        <f t="shared" si="2"/>
        <v>97</v>
      </c>
      <c r="X15" s="1568"/>
      <c r="Y15" s="3429" t="s">
        <v>540</v>
      </c>
      <c r="Z15" s="1576" t="str">
        <f t="shared" si="7"/>
        <v>居住社区成熟度</v>
      </c>
      <c r="AA15" s="1577">
        <f t="shared" si="3"/>
        <v>1.0309278350515463</v>
      </c>
      <c r="AB15" s="1577">
        <f t="shared" si="4"/>
        <v>1.0309278350515463</v>
      </c>
      <c r="AC15" s="1577">
        <f t="shared" si="5"/>
        <v>1.0309278350515463</v>
      </c>
    </row>
    <row r="16" spans="1:29" ht="15">
      <c r="A16" s="532"/>
      <c r="B16" s="869"/>
      <c r="C16" s="576" t="str">
        <f>'比较法-住宅、综合'!C18</f>
        <v>较好</v>
      </c>
      <c r="D16" s="555"/>
      <c r="E16" s="3196" t="str">
        <f>'比较法-住宅、综合'!E18</f>
        <v>一般</v>
      </c>
      <c r="F16" s="557"/>
      <c r="G16" s="3196" t="str">
        <f>'比较法-住宅、综合'!G18</f>
        <v>一般</v>
      </c>
      <c r="H16" s="559"/>
      <c r="I16" s="3196" t="s">
        <v>3011</v>
      </c>
      <c r="J16" s="555"/>
      <c r="K16" s="870"/>
      <c r="L16" s="2142"/>
      <c r="M16" s="2134"/>
      <c r="N16" s="2134"/>
      <c r="O16" s="2141"/>
      <c r="P16" s="3430"/>
      <c r="Q16" s="1573"/>
      <c r="R16" s="1574"/>
      <c r="S16" s="1575"/>
      <c r="T16" s="1574"/>
      <c r="U16" s="1575"/>
      <c r="V16" s="1574"/>
      <c r="W16" s="1575"/>
      <c r="X16" s="1568"/>
      <c r="Y16" s="343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f>'比较法-住宅、综合'!K23</f>
        <v>3</v>
      </c>
      <c r="L17" s="2142"/>
      <c r="M17" s="2134"/>
      <c r="N17" s="2134"/>
      <c r="O17" s="2141"/>
      <c r="P17" s="3430"/>
      <c r="Q17" s="1573" t="str">
        <f>B17</f>
        <v>交通便捷度</v>
      </c>
      <c r="R17" s="1574" t="s">
        <v>11</v>
      </c>
      <c r="S17" s="1575">
        <f>F17</f>
        <v>100</v>
      </c>
      <c r="T17" s="1574" t="s">
        <v>11</v>
      </c>
      <c r="U17" s="1575">
        <f>H17</f>
        <v>100</v>
      </c>
      <c r="V17" s="1574" t="s">
        <v>11</v>
      </c>
      <c r="W17" s="1575">
        <f>J17</f>
        <v>100</v>
      </c>
      <c r="X17" s="1568"/>
      <c r="Y17" s="3430"/>
      <c r="Z17" s="1576" t="str">
        <f>Q17</f>
        <v>交通便捷度</v>
      </c>
      <c r="AA17" s="1577">
        <f t="shared" si="3"/>
        <v>1</v>
      </c>
      <c r="AB17" s="1577">
        <f t="shared" si="4"/>
        <v>1</v>
      </c>
      <c r="AC17" s="1577">
        <f t="shared" si="5"/>
        <v>1</v>
      </c>
    </row>
    <row r="18" spans="1:29" ht="15">
      <c r="A18" s="532"/>
      <c r="B18" s="595"/>
      <c r="C18" s="873" t="str">
        <f>'比较法-住宅、综合'!C24</f>
        <v>一般</v>
      </c>
      <c r="D18" s="559"/>
      <c r="E18" s="568" t="s">
        <v>3011</v>
      </c>
      <c r="F18" s="563"/>
      <c r="G18" s="569" t="s">
        <v>3011</v>
      </c>
      <c r="H18" s="555"/>
      <c r="I18" s="568" t="s">
        <v>3011</v>
      </c>
      <c r="J18" s="555"/>
      <c r="K18" s="870"/>
      <c r="L18" s="2142"/>
      <c r="M18" s="2134"/>
      <c r="N18" s="2134"/>
      <c r="O18" s="2141"/>
      <c r="P18" s="3430"/>
      <c r="Q18" s="1573"/>
      <c r="R18" s="1574"/>
      <c r="S18" s="1575"/>
      <c r="T18" s="1574"/>
      <c r="U18" s="1575"/>
      <c r="V18" s="1574"/>
      <c r="W18" s="1575"/>
      <c r="X18" s="1568"/>
      <c r="Y18" s="3430"/>
      <c r="Z18" s="1576"/>
      <c r="AA18" s="1577">
        <v>1</v>
      </c>
      <c r="AB18" s="1577">
        <v>1</v>
      </c>
      <c r="AC18" s="1577">
        <v>1</v>
      </c>
    </row>
    <row r="19" spans="1:29" ht="42.75">
      <c r="A19" s="532"/>
      <c r="B19" s="2624" t="s">
        <v>2546</v>
      </c>
      <c r="C19" s="872" t="str">
        <f>估价对象房地状况!C7</f>
        <v>估价对象所在区域公共配套设施齐备情况</v>
      </c>
      <c r="D19" s="565">
        <v>100</v>
      </c>
      <c r="E19" s="570"/>
      <c r="F19" s="571">
        <f>SUMIF(80:80,E20,81:81)-SUMIF(80:80,C20,81:81)+100</f>
        <v>98</v>
      </c>
      <c r="G19" s="572"/>
      <c r="H19" s="559">
        <f>SUMIF(80:80,G20,81:81)-SUMIF(80:80,C20,81:81)+100</f>
        <v>98</v>
      </c>
      <c r="I19" s="570"/>
      <c r="J19" s="559">
        <f>SUMIF(80:80,I20,81:81)-SUMIF(80:80,C20,81:81)+100</f>
        <v>100</v>
      </c>
      <c r="K19" s="868">
        <f>'比较法-住宅、综合'!K29</f>
        <v>2</v>
      </c>
      <c r="L19" s="2142"/>
      <c r="M19" s="2134"/>
      <c r="N19" s="2134"/>
      <c r="O19" s="2141"/>
      <c r="P19" s="3430"/>
      <c r="Q19" s="1573" t="str">
        <f>B19</f>
        <v>公共配套设施</v>
      </c>
      <c r="R19" s="1574" t="s">
        <v>11</v>
      </c>
      <c r="S19" s="1575">
        <f>F19</f>
        <v>98</v>
      </c>
      <c r="T19" s="1574" t="s">
        <v>11</v>
      </c>
      <c r="U19" s="1575">
        <f>H19</f>
        <v>98</v>
      </c>
      <c r="V19" s="1574" t="s">
        <v>11</v>
      </c>
      <c r="W19" s="1575">
        <f>J19</f>
        <v>100</v>
      </c>
      <c r="X19" s="1568"/>
      <c r="Y19" s="3430"/>
      <c r="Z19" s="1576" t="str">
        <f>Q19</f>
        <v>公共配套设施</v>
      </c>
      <c r="AA19" s="1577">
        <f t="shared" si="3"/>
        <v>1.0204081632653061</v>
      </c>
      <c r="AB19" s="1577">
        <f t="shared" si="4"/>
        <v>1.0204081632653061</v>
      </c>
      <c r="AC19" s="1577">
        <f t="shared" si="5"/>
        <v>1</v>
      </c>
    </row>
    <row r="20" spans="1:29" ht="15">
      <c r="A20" s="532"/>
      <c r="B20" s="595"/>
      <c r="C20" s="576" t="str">
        <f>'比较法-住宅、综合'!C30</f>
        <v>一般</v>
      </c>
      <c r="D20" s="555"/>
      <c r="E20" s="3196" t="str">
        <f>'比较法-住宅、综合'!E30</f>
        <v>较差</v>
      </c>
      <c r="F20" s="557"/>
      <c r="G20" s="3196" t="str">
        <f>'比较法-住宅、综合'!G30</f>
        <v>较差</v>
      </c>
      <c r="H20" s="555"/>
      <c r="I20" s="3196" t="str">
        <f>'比较法-住宅、综合'!I30</f>
        <v>一般</v>
      </c>
      <c r="J20" s="555"/>
      <c r="K20" s="870"/>
      <c r="L20" s="2142"/>
      <c r="M20" s="2134"/>
      <c r="N20" s="2134"/>
      <c r="O20" s="2141"/>
      <c r="P20" s="3430"/>
      <c r="Q20" s="1573"/>
      <c r="R20" s="1574"/>
      <c r="S20" s="1575"/>
      <c r="T20" s="1574"/>
      <c r="U20" s="1575"/>
      <c r="V20" s="1574"/>
      <c r="W20" s="1575"/>
      <c r="X20" s="1568"/>
      <c r="Y20" s="3430"/>
      <c r="Z20" s="1576"/>
      <c r="AA20" s="1577">
        <v>1</v>
      </c>
      <c r="AB20" s="1577">
        <v>1</v>
      </c>
      <c r="AC20" s="1577">
        <v>1</v>
      </c>
    </row>
    <row r="21" spans="1:29" ht="28.5">
      <c r="A21" s="532"/>
      <c r="B21" s="261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30"/>
      <c r="Q21" s="2603" t="str">
        <f>B21</f>
        <v>基础设施水平</v>
      </c>
      <c r="R21" s="1574" t="s">
        <v>11</v>
      </c>
      <c r="S21" s="1575">
        <f>F21</f>
        <v>100</v>
      </c>
      <c r="T21" s="1574" t="s">
        <v>11</v>
      </c>
      <c r="U21" s="1575">
        <f>H21</f>
        <v>100</v>
      </c>
      <c r="V21" s="1574" t="s">
        <v>11</v>
      </c>
      <c r="W21" s="1575">
        <f>J21</f>
        <v>100</v>
      </c>
      <c r="X21" s="2605"/>
      <c r="Y21" s="3430"/>
      <c r="Z21" s="2604" t="str">
        <f>Q21</f>
        <v>基础设施水平</v>
      </c>
      <c r="AA21" s="1577">
        <f>D21/F21</f>
        <v>1</v>
      </c>
      <c r="AB21" s="1577">
        <f>D21/H21</f>
        <v>1</v>
      </c>
      <c r="AC21" s="1577">
        <f>D21/J21</f>
        <v>1</v>
      </c>
    </row>
    <row r="22" spans="1:29" ht="15">
      <c r="A22" s="532"/>
      <c r="B22" s="922"/>
      <c r="C22" s="873" t="str">
        <f>'比较法-住宅、综合'!C32</f>
        <v>六通</v>
      </c>
      <c r="D22" s="555"/>
      <c r="E22" s="576" t="s">
        <v>3013</v>
      </c>
      <c r="F22" s="557"/>
      <c r="G22" s="576" t="s">
        <v>3013</v>
      </c>
      <c r="H22" s="555"/>
      <c r="I22" s="576" t="s">
        <v>3013</v>
      </c>
      <c r="J22" s="555"/>
      <c r="K22" s="2623"/>
      <c r="L22" s="2142"/>
      <c r="M22" s="2134"/>
      <c r="N22" s="2134"/>
      <c r="O22" s="2141"/>
      <c r="P22" s="3430"/>
      <c r="Q22" s="2603"/>
      <c r="R22" s="1574"/>
      <c r="S22" s="1575"/>
      <c r="T22" s="1574"/>
      <c r="U22" s="1575"/>
      <c r="V22" s="1574"/>
      <c r="W22" s="1575"/>
      <c r="X22" s="2605"/>
      <c r="Y22" s="3430"/>
      <c r="Z22" s="2604"/>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f>'比较法-住宅、综合'!K27</f>
        <v>3</v>
      </c>
      <c r="L23" s="2142"/>
      <c r="M23" s="2134"/>
      <c r="N23" s="2134"/>
      <c r="O23" s="2141"/>
      <c r="P23" s="3430"/>
      <c r="Q23" s="1573" t="str">
        <f>B23</f>
        <v>自然及人文环境</v>
      </c>
      <c r="R23" s="1574" t="s">
        <v>11</v>
      </c>
      <c r="S23" s="1575">
        <f>F23</f>
        <v>100</v>
      </c>
      <c r="T23" s="1574" t="s">
        <v>11</v>
      </c>
      <c r="U23" s="1575">
        <f>H23</f>
        <v>100</v>
      </c>
      <c r="V23" s="1574" t="s">
        <v>11</v>
      </c>
      <c r="W23" s="1575">
        <f>J23</f>
        <v>100</v>
      </c>
      <c r="X23" s="1568"/>
      <c r="Y23" s="3430"/>
      <c r="Z23" s="1576" t="str">
        <f>Q23</f>
        <v>自然及人文环境</v>
      </c>
      <c r="AA23" s="1577">
        <f t="shared" si="3"/>
        <v>1</v>
      </c>
      <c r="AB23" s="1577">
        <f t="shared" si="4"/>
        <v>1</v>
      </c>
      <c r="AC23" s="1577">
        <f t="shared" si="5"/>
        <v>1</v>
      </c>
    </row>
    <row r="24" spans="1:29" ht="15.75" thickBot="1">
      <c r="A24" s="532"/>
      <c r="B24" s="595"/>
      <c r="C24" s="576" t="str">
        <f>'比较法-住宅、综合'!C28</f>
        <v>好</v>
      </c>
      <c r="D24" s="555"/>
      <c r="E24" s="556" t="s">
        <v>3012</v>
      </c>
      <c r="F24" s="557"/>
      <c r="G24" s="558" t="s">
        <v>3012</v>
      </c>
      <c r="H24" s="555"/>
      <c r="I24" s="556" t="s">
        <v>3012</v>
      </c>
      <c r="J24" s="555"/>
      <c r="K24" s="870"/>
      <c r="L24" s="2142"/>
      <c r="M24" s="2134"/>
      <c r="N24" s="2134"/>
      <c r="O24" s="2141"/>
      <c r="P24" s="3430"/>
      <c r="Q24" s="1573"/>
      <c r="R24" s="1574"/>
      <c r="S24" s="1575"/>
      <c r="T24" s="1574"/>
      <c r="U24" s="1575"/>
      <c r="V24" s="1574"/>
      <c r="W24" s="1575"/>
      <c r="X24" s="1568"/>
      <c r="Y24" s="3430"/>
      <c r="Z24" s="1576"/>
      <c r="AA24" s="1577">
        <v>1</v>
      </c>
      <c r="AB24" s="1577">
        <v>1</v>
      </c>
      <c r="AC24" s="1577">
        <v>1</v>
      </c>
    </row>
    <row r="25" spans="1:29" ht="15" hidden="1">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30"/>
      <c r="Q25" s="1573" t="str">
        <f t="shared" ref="Q25:Q46" si="8">B25</f>
        <v>楼层-1</v>
      </c>
      <c r="R25" s="1574" t="s">
        <v>11</v>
      </c>
      <c r="S25" s="1575">
        <f>F25</f>
        <v>100</v>
      </c>
      <c r="T25" s="1574" t="s">
        <v>11</v>
      </c>
      <c r="U25" s="1575">
        <f>H25</f>
        <v>100</v>
      </c>
      <c r="V25" s="1574" t="s">
        <v>11</v>
      </c>
      <c r="W25" s="1575">
        <f>J25</f>
        <v>100</v>
      </c>
      <c r="X25" s="1568"/>
      <c r="Y25" s="3430"/>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30"/>
      <c r="Q26" s="1573" t="str">
        <f t="shared" si="8"/>
        <v>朝向</v>
      </c>
      <c r="R26" s="1574" t="s">
        <v>11</v>
      </c>
      <c r="S26" s="1575">
        <f>F26</f>
        <v>100</v>
      </c>
      <c r="T26" s="1574" t="s">
        <v>11</v>
      </c>
      <c r="U26" s="1575">
        <f>H26</f>
        <v>100</v>
      </c>
      <c r="V26" s="1574" t="s">
        <v>11</v>
      </c>
      <c r="W26" s="1575">
        <f>J26</f>
        <v>100</v>
      </c>
      <c r="X26" s="1568"/>
      <c r="Y26" s="3430"/>
      <c r="Z26" s="1576" t="str">
        <f>Q26</f>
        <v>朝向</v>
      </c>
      <c r="AA26" s="1577">
        <f t="shared" si="3"/>
        <v>1</v>
      </c>
      <c r="AB26" s="1577">
        <f t="shared" si="4"/>
        <v>1</v>
      </c>
      <c r="AC26" s="1577">
        <f t="shared" si="5"/>
        <v>1</v>
      </c>
    </row>
    <row r="27" spans="1:29" s="1220"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30"/>
      <c r="Q27" s="1151" t="str">
        <f t="shared" si="8"/>
        <v>道路级别</v>
      </c>
      <c r="R27" s="1569" t="s">
        <v>11</v>
      </c>
      <c r="S27" s="1570">
        <f>F27</f>
        <v>100</v>
      </c>
      <c r="T27" s="1569" t="s">
        <v>11</v>
      </c>
      <c r="U27" s="1570">
        <f>H27</f>
        <v>100</v>
      </c>
      <c r="V27" s="1569" t="s">
        <v>11</v>
      </c>
      <c r="W27" s="1570">
        <f>J27</f>
        <v>100</v>
      </c>
      <c r="X27" s="1571"/>
      <c r="Y27" s="3430"/>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30"/>
      <c r="Q28" s="1573">
        <f t="shared" si="8"/>
        <v>111</v>
      </c>
      <c r="R28" s="1574" t="s">
        <v>11</v>
      </c>
      <c r="S28" s="1575">
        <f t="shared" ref="S28:S46" si="9">F28</f>
        <v>100</v>
      </c>
      <c r="T28" s="1574" t="s">
        <v>11</v>
      </c>
      <c r="U28" s="1575">
        <f t="shared" ref="U28:U46" si="10">H28</f>
        <v>100</v>
      </c>
      <c r="V28" s="1574" t="s">
        <v>11</v>
      </c>
      <c r="W28" s="1575">
        <f t="shared" ref="W28:W46" si="11">J28</f>
        <v>100</v>
      </c>
      <c r="X28" s="1568"/>
      <c r="Y28" s="3430"/>
      <c r="Z28" s="1576">
        <f t="shared" ref="Z28:Z46" si="12">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30"/>
      <c r="Q29" s="1573">
        <f t="shared" si="8"/>
        <v>111</v>
      </c>
      <c r="R29" s="1574" t="s">
        <v>11</v>
      </c>
      <c r="S29" s="1575">
        <f t="shared" si="9"/>
        <v>100</v>
      </c>
      <c r="T29" s="1574" t="s">
        <v>11</v>
      </c>
      <c r="U29" s="1575">
        <f t="shared" si="10"/>
        <v>100</v>
      </c>
      <c r="V29" s="1574" t="s">
        <v>11</v>
      </c>
      <c r="W29" s="1575">
        <f t="shared" si="11"/>
        <v>100</v>
      </c>
      <c r="X29" s="1568"/>
      <c r="Y29" s="3430"/>
      <c r="Z29" s="1576">
        <f t="shared" si="12"/>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30"/>
      <c r="Q30" s="1573">
        <f t="shared" si="8"/>
        <v>111</v>
      </c>
      <c r="R30" s="1574" t="s">
        <v>11</v>
      </c>
      <c r="S30" s="1575">
        <f t="shared" si="9"/>
        <v>100</v>
      </c>
      <c r="T30" s="1574" t="s">
        <v>11</v>
      </c>
      <c r="U30" s="1575">
        <f t="shared" si="10"/>
        <v>100</v>
      </c>
      <c r="V30" s="1574" t="s">
        <v>11</v>
      </c>
      <c r="W30" s="1575">
        <f t="shared" si="11"/>
        <v>100</v>
      </c>
      <c r="X30" s="1568"/>
      <c r="Y30" s="3430"/>
      <c r="Z30" s="1576">
        <f t="shared" si="12"/>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30"/>
      <c r="Q31" s="1573">
        <f t="shared" si="8"/>
        <v>111</v>
      </c>
      <c r="R31" s="1574" t="s">
        <v>11</v>
      </c>
      <c r="S31" s="1575">
        <f t="shared" si="9"/>
        <v>100</v>
      </c>
      <c r="T31" s="1574" t="s">
        <v>11</v>
      </c>
      <c r="U31" s="1575">
        <f t="shared" si="10"/>
        <v>100</v>
      </c>
      <c r="V31" s="1574" t="s">
        <v>11</v>
      </c>
      <c r="W31" s="1575">
        <f t="shared" si="11"/>
        <v>100</v>
      </c>
      <c r="X31" s="1568"/>
      <c r="Y31" s="3430"/>
      <c r="Z31" s="1576">
        <f t="shared" si="12"/>
        <v>111</v>
      </c>
      <c r="AA31" s="1577">
        <f t="shared" si="3"/>
        <v>1</v>
      </c>
      <c r="AB31" s="1577">
        <f t="shared" si="4"/>
        <v>1</v>
      </c>
      <c r="AC31" s="1577">
        <f t="shared" si="5"/>
        <v>1</v>
      </c>
    </row>
    <row r="32" spans="1:29" ht="15">
      <c r="A32" s="2931" t="s">
        <v>2755</v>
      </c>
      <c r="B32" s="172" t="s">
        <v>725</v>
      </c>
      <c r="C32" s="878" t="s">
        <v>3073</v>
      </c>
      <c r="D32" s="597">
        <v>100</v>
      </c>
      <c r="E32" s="879" t="s">
        <v>3073</v>
      </c>
      <c r="F32" s="575">
        <f>SUMIF(100:100,E32,101:101)-SUMIF(100:100,C32,101:101)+100</f>
        <v>100</v>
      </c>
      <c r="G32" s="878" t="s">
        <v>3073</v>
      </c>
      <c r="H32" s="597">
        <f>SUMIF(100:100,G32,101:101)-SUMIF(100:100,C32,101:101)+100</f>
        <v>100</v>
      </c>
      <c r="I32" s="879" t="s">
        <v>3073</v>
      </c>
      <c r="J32" s="540">
        <f>SUMIF(100:100,I32,101:101)-SUMIF(100:100,C32,101:101)+100</f>
        <v>100</v>
      </c>
      <c r="K32" s="864"/>
      <c r="L32" s="2142"/>
      <c r="M32" s="2134"/>
      <c r="N32" s="2134"/>
      <c r="O32" s="2141"/>
      <c r="P32" s="3431" t="s">
        <v>550</v>
      </c>
      <c r="Q32" s="1573" t="str">
        <f t="shared" si="8"/>
        <v>建筑类型</v>
      </c>
      <c r="R32" s="1574" t="s">
        <v>11</v>
      </c>
      <c r="S32" s="1575">
        <f t="shared" si="9"/>
        <v>100</v>
      </c>
      <c r="T32" s="1574" t="s">
        <v>11</v>
      </c>
      <c r="U32" s="1575">
        <f t="shared" si="10"/>
        <v>100</v>
      </c>
      <c r="V32" s="1574" t="s">
        <v>11</v>
      </c>
      <c r="W32" s="1575">
        <f t="shared" si="11"/>
        <v>100</v>
      </c>
      <c r="X32" s="1568"/>
      <c r="Y32" s="3432" t="s">
        <v>550</v>
      </c>
      <c r="Z32" s="1576" t="str">
        <f t="shared" si="12"/>
        <v>建筑类型</v>
      </c>
      <c r="AA32" s="1577">
        <f t="shared" si="3"/>
        <v>1</v>
      </c>
      <c r="AB32" s="1577">
        <f t="shared" si="4"/>
        <v>1</v>
      </c>
      <c r="AC32" s="1577">
        <f t="shared" si="5"/>
        <v>1</v>
      </c>
    </row>
    <row r="33" spans="1:29" s="1339" customFormat="1" ht="15">
      <c r="A33" s="603"/>
      <c r="B33" s="527" t="s">
        <v>726</v>
      </c>
      <c r="C33" s="3204">
        <v>877761</v>
      </c>
      <c r="D33" s="255">
        <v>100</v>
      </c>
      <c r="E33" s="534">
        <v>230552</v>
      </c>
      <c r="F33" s="863">
        <f>LOOKUP(E33,103:103,104:104)-LOOKUP(C33,103:103,104:104)+100</f>
        <v>97</v>
      </c>
      <c r="G33" s="533">
        <v>203418</v>
      </c>
      <c r="H33" s="255">
        <f>LOOKUP(G33,103:103,104:104)-LOOKUP(C33,103:103,104:104)+100</f>
        <v>97</v>
      </c>
      <c r="I33" s="534">
        <v>370000</v>
      </c>
      <c r="J33" s="255">
        <f>LOOKUP(I33,103:103,104:104)-LOOKUP(C33,103:103,104:104)+100</f>
        <v>98</v>
      </c>
      <c r="K33" s="865"/>
      <c r="L33" s="2140"/>
      <c r="M33" s="2171"/>
      <c r="N33" s="2171"/>
      <c r="O33" s="2143"/>
      <c r="P33" s="3432"/>
      <c r="Q33" s="1606" t="str">
        <f t="shared" si="8"/>
        <v>项目建筑规模</v>
      </c>
      <c r="R33" s="1578" t="s">
        <v>11</v>
      </c>
      <c r="S33" s="1579">
        <f t="shared" si="9"/>
        <v>97</v>
      </c>
      <c r="T33" s="1578" t="s">
        <v>11</v>
      </c>
      <c r="U33" s="1579">
        <f t="shared" si="10"/>
        <v>97</v>
      </c>
      <c r="V33" s="1578" t="s">
        <v>11</v>
      </c>
      <c r="W33" s="1579">
        <f t="shared" si="11"/>
        <v>98</v>
      </c>
      <c r="X33" s="1580"/>
      <c r="Y33" s="3432"/>
      <c r="Z33" s="1581" t="str">
        <f t="shared" si="12"/>
        <v>项目建筑规模</v>
      </c>
      <c r="AA33" s="1577">
        <f t="shared" si="3"/>
        <v>1.0309278350515463</v>
      </c>
      <c r="AB33" s="1577">
        <f t="shared" si="4"/>
        <v>1.0309278350515463</v>
      </c>
      <c r="AC33" s="1577">
        <f t="shared" si="5"/>
        <v>1.0204081632653061</v>
      </c>
    </row>
    <row r="34" spans="1:29" ht="15">
      <c r="A34" s="594"/>
      <c r="B34" s="527" t="s">
        <v>727</v>
      </c>
      <c r="C34" s="881" t="s">
        <v>3044</v>
      </c>
      <c r="D34" s="540">
        <v>100</v>
      </c>
      <c r="E34" s="882" t="s">
        <v>3044</v>
      </c>
      <c r="F34" s="575">
        <f>SUMIF(105:105,E34,106:106)-SUMIF(105:105,C34,106:106)+100</f>
        <v>100</v>
      </c>
      <c r="G34" s="881" t="s">
        <v>3044</v>
      </c>
      <c r="H34" s="540">
        <f>SUMIF(105:105,G34,106:106)-SUMIF(105:105,C34,106:106)+100</f>
        <v>100</v>
      </c>
      <c r="I34" s="882" t="s">
        <v>3044</v>
      </c>
      <c r="J34" s="540">
        <f>SUMIF(105:105,I34,106:106)-SUMIF(105:105,C34,106:106)+100</f>
        <v>100</v>
      </c>
      <c r="K34" s="864"/>
      <c r="L34" s="2142"/>
      <c r="M34" s="2134"/>
      <c r="N34" s="2134"/>
      <c r="O34" s="2141"/>
      <c r="P34" s="3432"/>
      <c r="Q34" s="1573" t="str">
        <f t="shared" si="8"/>
        <v>建筑结构</v>
      </c>
      <c r="R34" s="1574" t="s">
        <v>11</v>
      </c>
      <c r="S34" s="1575">
        <f t="shared" si="9"/>
        <v>100</v>
      </c>
      <c r="T34" s="1574" t="s">
        <v>11</v>
      </c>
      <c r="U34" s="1575">
        <f t="shared" si="10"/>
        <v>100</v>
      </c>
      <c r="V34" s="1574" t="s">
        <v>11</v>
      </c>
      <c r="W34" s="1575">
        <f t="shared" si="11"/>
        <v>100</v>
      </c>
      <c r="X34" s="1568"/>
      <c r="Y34" s="3432"/>
      <c r="Z34" s="1576" t="str">
        <f t="shared" si="12"/>
        <v>建筑结构</v>
      </c>
      <c r="AA34" s="1577">
        <f t="shared" si="3"/>
        <v>1</v>
      </c>
      <c r="AB34" s="1577">
        <f t="shared" si="4"/>
        <v>1</v>
      </c>
      <c r="AC34" s="1577">
        <f t="shared" si="5"/>
        <v>1</v>
      </c>
    </row>
    <row r="35" spans="1:29" ht="15">
      <c r="A35" s="594"/>
      <c r="B35" s="527" t="s">
        <v>728</v>
      </c>
      <c r="C35" s="599" t="s">
        <v>3079</v>
      </c>
      <c r="D35" s="540">
        <v>100</v>
      </c>
      <c r="E35" s="874" t="s">
        <v>3081</v>
      </c>
      <c r="F35" s="575">
        <f>SUMIF(107:107,E35,108:108)-SUMIF(107:107,C35,108:108)+100</f>
        <v>95</v>
      </c>
      <c r="G35" s="599" t="s">
        <v>3081</v>
      </c>
      <c r="H35" s="540">
        <f>SUMIF(107:107,G35,108:108)-SUMIF(107:107,C35,108:108)+100</f>
        <v>95</v>
      </c>
      <c r="I35" s="874" t="s">
        <v>3081</v>
      </c>
      <c r="J35" s="540">
        <f>SUMIF(107:107,I35,108:108)-SUMIF(107:107,C35,108:108)+100</f>
        <v>95</v>
      </c>
      <c r="K35" s="864">
        <v>5</v>
      </c>
      <c r="L35" s="2142"/>
      <c r="M35" s="2134"/>
      <c r="N35" s="2134"/>
      <c r="O35" s="2141"/>
      <c r="P35" s="3432"/>
      <c r="Q35" s="1573" t="str">
        <f t="shared" si="8"/>
        <v>建筑品质</v>
      </c>
      <c r="R35" s="1574" t="s">
        <v>11</v>
      </c>
      <c r="S35" s="1575">
        <f t="shared" si="9"/>
        <v>95</v>
      </c>
      <c r="T35" s="1574" t="s">
        <v>11</v>
      </c>
      <c r="U35" s="1575">
        <f t="shared" si="10"/>
        <v>95</v>
      </c>
      <c r="V35" s="1574" t="s">
        <v>11</v>
      </c>
      <c r="W35" s="1575">
        <f t="shared" si="11"/>
        <v>95</v>
      </c>
      <c r="X35" s="1568"/>
      <c r="Y35" s="3432"/>
      <c r="Z35" s="1576" t="str">
        <f t="shared" si="12"/>
        <v>建筑品质</v>
      </c>
      <c r="AA35" s="1577">
        <f t="shared" si="3"/>
        <v>1.0526315789473684</v>
      </c>
      <c r="AB35" s="1577">
        <f t="shared" si="4"/>
        <v>1.0526315789473684</v>
      </c>
      <c r="AC35" s="1577">
        <f t="shared" si="5"/>
        <v>1.0526315789473684</v>
      </c>
    </row>
    <row r="36" spans="1:29" ht="15">
      <c r="A36" s="594"/>
      <c r="B36" s="527" t="s">
        <v>729</v>
      </c>
      <c r="C36" s="3203" t="s">
        <v>3104</v>
      </c>
      <c r="D36" s="540">
        <v>100</v>
      </c>
      <c r="E36" s="874" t="s">
        <v>3084</v>
      </c>
      <c r="F36" s="575">
        <f>SUMIF(109:109,E36,110:110)-SUMIF(109:109,C36,110:110)+100</f>
        <v>97</v>
      </c>
      <c r="G36" s="599" t="s">
        <v>3084</v>
      </c>
      <c r="H36" s="540">
        <f>SUMIF(109:109,G36,110:110)-SUMIF(109:109,C36,110:110)+100</f>
        <v>97</v>
      </c>
      <c r="I36" s="874" t="s">
        <v>3084</v>
      </c>
      <c r="J36" s="540">
        <f>SUMIF(109:109,I36,110:110)-SUMIF(109:109,C36,110:110)+100</f>
        <v>97</v>
      </c>
      <c r="K36" s="3202">
        <v>3</v>
      </c>
      <c r="L36" s="2142"/>
      <c r="M36" s="2134"/>
      <c r="N36" s="2134"/>
      <c r="O36" s="2141"/>
      <c r="P36" s="3432"/>
      <c r="Q36" s="1573" t="str">
        <f t="shared" si="8"/>
        <v>公共部分装修</v>
      </c>
      <c r="R36" s="1574" t="s">
        <v>11</v>
      </c>
      <c r="S36" s="1575">
        <f t="shared" si="9"/>
        <v>97</v>
      </c>
      <c r="T36" s="1574" t="s">
        <v>11</v>
      </c>
      <c r="U36" s="1575">
        <f t="shared" si="10"/>
        <v>97</v>
      </c>
      <c r="V36" s="1574" t="s">
        <v>11</v>
      </c>
      <c r="W36" s="1575">
        <f t="shared" si="11"/>
        <v>97</v>
      </c>
      <c r="X36" s="1568"/>
      <c r="Y36" s="3432"/>
      <c r="Z36" s="1576" t="str">
        <f t="shared" si="12"/>
        <v>公共部分装修</v>
      </c>
      <c r="AA36" s="1577">
        <f t="shared" si="3"/>
        <v>1.0309278350515463</v>
      </c>
      <c r="AB36" s="1577">
        <f t="shared" si="4"/>
        <v>1.0309278350515463</v>
      </c>
      <c r="AC36" s="1577">
        <f t="shared" si="5"/>
        <v>1.0309278350515463</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5"/>
      <c r="M37" s="2136"/>
      <c r="N37" s="2136"/>
      <c r="O37" s="2137"/>
      <c r="P37" s="3432"/>
      <c r="Q37" s="1151" t="str">
        <f t="shared" si="8"/>
        <v>成新度</v>
      </c>
      <c r="R37" s="1569" t="s">
        <v>11</v>
      </c>
      <c r="S37" s="1570">
        <f t="shared" si="9"/>
        <v>100</v>
      </c>
      <c r="T37" s="1569" t="s">
        <v>11</v>
      </c>
      <c r="U37" s="1570">
        <f t="shared" si="10"/>
        <v>100</v>
      </c>
      <c r="V37" s="1569" t="s">
        <v>11</v>
      </c>
      <c r="W37" s="1570">
        <f t="shared" si="11"/>
        <v>100</v>
      </c>
      <c r="X37" s="1571"/>
      <c r="Y37" s="3432"/>
      <c r="Z37" s="1150" t="str">
        <f t="shared" si="12"/>
        <v>成新度</v>
      </c>
      <c r="AA37" s="1572">
        <f t="shared" si="3"/>
        <v>1</v>
      </c>
      <c r="AB37" s="1572">
        <f t="shared" si="4"/>
        <v>1</v>
      </c>
      <c r="AC37" s="1572">
        <f t="shared" si="5"/>
        <v>1</v>
      </c>
    </row>
    <row r="38" spans="1:29" ht="15">
      <c r="A38" s="594"/>
      <c r="B38" s="527" t="s">
        <v>731</v>
      </c>
      <c r="C38" s="599" t="s">
        <v>3088</v>
      </c>
      <c r="D38" s="540">
        <v>100</v>
      </c>
      <c r="E38" s="874" t="s">
        <v>3088</v>
      </c>
      <c r="F38" s="575">
        <f>SUMIF(114:114,E38,115:115)-SUMIF(114:114,C38,115:115)+100</f>
        <v>100</v>
      </c>
      <c r="G38" s="599" t="s">
        <v>3088</v>
      </c>
      <c r="H38" s="540">
        <f>SUMIF(114:114,G38,115:115)-SUMIF(114:114,C38,115:115)+100</f>
        <v>100</v>
      </c>
      <c r="I38" s="874" t="s">
        <v>3088</v>
      </c>
      <c r="J38" s="540">
        <f>SUMIF(114:114,I38,115:115)-SUMIF(114:114,C38,115:115)+100</f>
        <v>100</v>
      </c>
      <c r="K38" s="864"/>
      <c r="L38" s="2142"/>
      <c r="M38" s="2134"/>
      <c r="N38" s="2134"/>
      <c r="O38" s="2141"/>
      <c r="P38" s="3432" t="s">
        <v>550</v>
      </c>
      <c r="Q38" s="1573" t="str">
        <f t="shared" si="8"/>
        <v>物业管理</v>
      </c>
      <c r="R38" s="1574" t="s">
        <v>11</v>
      </c>
      <c r="S38" s="1575">
        <f t="shared" si="9"/>
        <v>100</v>
      </c>
      <c r="T38" s="1574" t="s">
        <v>11</v>
      </c>
      <c r="U38" s="1575">
        <f t="shared" si="10"/>
        <v>100</v>
      </c>
      <c r="V38" s="1574" t="s">
        <v>11</v>
      </c>
      <c r="W38" s="1575">
        <f t="shared" si="11"/>
        <v>100</v>
      </c>
      <c r="X38" s="1568"/>
      <c r="Y38" s="3432" t="s">
        <v>550</v>
      </c>
      <c r="Z38" s="1576" t="str">
        <f t="shared" si="12"/>
        <v>物业管理</v>
      </c>
      <c r="AA38" s="1577">
        <f t="shared" si="3"/>
        <v>1</v>
      </c>
      <c r="AB38" s="1577">
        <f t="shared" si="4"/>
        <v>1</v>
      </c>
      <c r="AC38" s="1577">
        <f t="shared" si="5"/>
        <v>1</v>
      </c>
    </row>
    <row r="39" spans="1:29" ht="15">
      <c r="A39" s="594"/>
      <c r="B39" s="1895" t="s">
        <v>2564</v>
      </c>
      <c r="C39" s="599" t="s">
        <v>3013</v>
      </c>
      <c r="D39" s="540">
        <v>100</v>
      </c>
      <c r="E39" s="874" t="s">
        <v>3013</v>
      </c>
      <c r="F39" s="575">
        <f>SUMIF(116:116,E39,117:117)-SUMIF(116:116,C39,117:117)+100</f>
        <v>100</v>
      </c>
      <c r="G39" s="599" t="s">
        <v>3013</v>
      </c>
      <c r="H39" s="540">
        <f>SUMIF(116:116,G39,117:117)-SUMIF(116:116,C39,117:117)+100</f>
        <v>100</v>
      </c>
      <c r="I39" s="874" t="s">
        <v>3013</v>
      </c>
      <c r="J39" s="540">
        <f>SUMIF(116:116,I39,117:117)-SUMIF(116:116,C39,117:117)+100</f>
        <v>100</v>
      </c>
      <c r="K39" s="864"/>
      <c r="L39" s="2142"/>
      <c r="M39" s="2134"/>
      <c r="N39" s="2134"/>
      <c r="O39" s="2141"/>
      <c r="P39" s="3432"/>
      <c r="Q39" s="1573" t="str">
        <f t="shared" si="8"/>
        <v>市政基础设施</v>
      </c>
      <c r="R39" s="1574" t="s">
        <v>11</v>
      </c>
      <c r="S39" s="1575">
        <f t="shared" si="9"/>
        <v>100</v>
      </c>
      <c r="T39" s="1574" t="s">
        <v>11</v>
      </c>
      <c r="U39" s="1575">
        <f t="shared" si="10"/>
        <v>100</v>
      </c>
      <c r="V39" s="1574" t="s">
        <v>11</v>
      </c>
      <c r="W39" s="1575">
        <f t="shared" si="11"/>
        <v>100</v>
      </c>
      <c r="X39" s="1568"/>
      <c r="Y39" s="3432"/>
      <c r="Z39" s="1576" t="str">
        <f t="shared" si="12"/>
        <v>市政基础设施</v>
      </c>
      <c r="AA39" s="1577">
        <f t="shared" si="3"/>
        <v>1</v>
      </c>
      <c r="AB39" s="1577">
        <f t="shared" si="4"/>
        <v>1</v>
      </c>
      <c r="AC39" s="1577">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32"/>
      <c r="Q40" s="1573" t="str">
        <f t="shared" si="8"/>
        <v>房型</v>
      </c>
      <c r="R40" s="1574" t="s">
        <v>11</v>
      </c>
      <c r="S40" s="1575">
        <f t="shared" si="9"/>
        <v>100</v>
      </c>
      <c r="T40" s="1574" t="s">
        <v>11</v>
      </c>
      <c r="U40" s="1575">
        <f t="shared" si="10"/>
        <v>100</v>
      </c>
      <c r="V40" s="1574" t="s">
        <v>11</v>
      </c>
      <c r="W40" s="1575">
        <f t="shared" si="11"/>
        <v>100</v>
      </c>
      <c r="X40" s="1568"/>
      <c r="Y40" s="3432"/>
      <c r="Z40" s="1576" t="str">
        <f t="shared" si="12"/>
        <v>房型</v>
      </c>
      <c r="AA40" s="1577">
        <f t="shared" si="3"/>
        <v>1</v>
      </c>
      <c r="AB40" s="1577">
        <f t="shared" si="4"/>
        <v>1</v>
      </c>
      <c r="AC40" s="1577">
        <f t="shared" si="5"/>
        <v>1</v>
      </c>
    </row>
    <row r="41" spans="1:29" s="1339" customFormat="1" ht="28.5">
      <c r="A41" s="603"/>
      <c r="B41" s="527" t="s">
        <v>733</v>
      </c>
      <c r="C41" s="880" t="s">
        <v>3099</v>
      </c>
      <c r="D41" s="255">
        <v>100</v>
      </c>
      <c r="E41" s="880" t="s">
        <v>3098</v>
      </c>
      <c r="F41" s="863">
        <f>SUMIF(120:120,E41,121:121)-SUMIF(120:120,C41,121:121)+100</f>
        <v>103</v>
      </c>
      <c r="G41" s="880" t="s">
        <v>3098</v>
      </c>
      <c r="H41" s="255">
        <f>SUMIF(120:120,G41,121:121)-SUMIF(120:120,C41,121:121)+100</f>
        <v>103</v>
      </c>
      <c r="I41" s="880" t="s">
        <v>3109</v>
      </c>
      <c r="J41" s="540">
        <f>SUMIF(120:120,I41,121:121)-SUMIF(120:120,C41,121:121)+100</f>
        <v>106</v>
      </c>
      <c r="K41" s="865"/>
      <c r="L41" s="2140"/>
      <c r="M41" s="2171"/>
      <c r="N41" s="2171"/>
      <c r="O41" s="2143"/>
      <c r="P41" s="3432"/>
      <c r="Q41" s="1606" t="str">
        <f t="shared" si="8"/>
        <v>单套/主力户型建筑面积</v>
      </c>
      <c r="R41" s="1578" t="s">
        <v>11</v>
      </c>
      <c r="S41" s="1579">
        <f t="shared" si="9"/>
        <v>103</v>
      </c>
      <c r="T41" s="1578" t="s">
        <v>11</v>
      </c>
      <c r="U41" s="1579">
        <f t="shared" si="10"/>
        <v>103</v>
      </c>
      <c r="V41" s="1578" t="s">
        <v>11</v>
      </c>
      <c r="W41" s="1579">
        <f t="shared" si="11"/>
        <v>106</v>
      </c>
      <c r="X41" s="1580"/>
      <c r="Y41" s="3432"/>
      <c r="Z41" s="1581" t="str">
        <f t="shared" si="12"/>
        <v>单套/主力户型建筑面积</v>
      </c>
      <c r="AA41" s="1577">
        <f t="shared" si="3"/>
        <v>0.970873786407767</v>
      </c>
      <c r="AB41" s="1577">
        <f t="shared" si="4"/>
        <v>0.970873786407767</v>
      </c>
      <c r="AC41" s="1577">
        <f t="shared" si="5"/>
        <v>0.94339622641509435</v>
      </c>
    </row>
    <row r="42" spans="1:29" ht="15">
      <c r="A42" s="594"/>
      <c r="B42" s="527" t="s">
        <v>734</v>
      </c>
      <c r="C42" s="599" t="s">
        <v>3087</v>
      </c>
      <c r="D42" s="540">
        <v>100</v>
      </c>
      <c r="E42" s="874" t="s">
        <v>3087</v>
      </c>
      <c r="F42" s="575">
        <f>SUMIF(122:122,E42,123:123)-SUMIF(122:122,C42,123:123)+100</f>
        <v>100</v>
      </c>
      <c r="G42" s="599" t="s">
        <v>3087</v>
      </c>
      <c r="H42" s="540">
        <f>SUMIF(122:122,G42,123:123)-SUMIF(122:122,C42,123:123)+100</f>
        <v>100</v>
      </c>
      <c r="I42" s="874" t="s">
        <v>3087</v>
      </c>
      <c r="J42" s="540">
        <f>SUMIF(122:122,I42,123:123)-SUMIF(122:122,C42,123:123)+100</f>
        <v>100</v>
      </c>
      <c r="K42" s="864"/>
      <c r="L42" s="2142"/>
      <c r="M42" s="2134"/>
      <c r="N42" s="2134"/>
      <c r="O42" s="2141"/>
      <c r="P42" s="3432"/>
      <c r="Q42" s="1573" t="str">
        <f t="shared" si="8"/>
        <v>内部装修</v>
      </c>
      <c r="R42" s="1574" t="s">
        <v>11</v>
      </c>
      <c r="S42" s="1575">
        <f t="shared" si="9"/>
        <v>100</v>
      </c>
      <c r="T42" s="1574" t="s">
        <v>11</v>
      </c>
      <c r="U42" s="1575">
        <f t="shared" si="10"/>
        <v>100</v>
      </c>
      <c r="V42" s="1574" t="s">
        <v>11</v>
      </c>
      <c r="W42" s="1575">
        <f t="shared" si="11"/>
        <v>100</v>
      </c>
      <c r="X42" s="1568"/>
      <c r="Y42" s="3432"/>
      <c r="Z42" s="1576" t="str">
        <f t="shared" si="12"/>
        <v>内部装修</v>
      </c>
      <c r="AA42" s="1577">
        <f t="shared" si="3"/>
        <v>1</v>
      </c>
      <c r="AB42" s="1577">
        <f t="shared" si="4"/>
        <v>1</v>
      </c>
      <c r="AC42" s="1577">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32"/>
      <c r="Q43" s="1573" t="str">
        <f t="shared" si="8"/>
        <v>内部装修维护情况</v>
      </c>
      <c r="R43" s="1574" t="s">
        <v>11</v>
      </c>
      <c r="S43" s="1575">
        <f t="shared" si="9"/>
        <v>100</v>
      </c>
      <c r="T43" s="1574" t="s">
        <v>11</v>
      </c>
      <c r="U43" s="1575">
        <f t="shared" si="10"/>
        <v>100</v>
      </c>
      <c r="V43" s="1574" t="s">
        <v>11</v>
      </c>
      <c r="W43" s="1575">
        <f t="shared" si="11"/>
        <v>100</v>
      </c>
      <c r="X43" s="1568"/>
      <c r="Y43" s="3432"/>
      <c r="Z43" s="1576" t="str">
        <f t="shared" si="12"/>
        <v>内部装修维护情况</v>
      </c>
      <c r="AA43" s="1577">
        <f t="shared" si="3"/>
        <v>1</v>
      </c>
      <c r="AB43" s="1577">
        <f t="shared" si="4"/>
        <v>1</v>
      </c>
      <c r="AC43" s="1577">
        <f t="shared" si="5"/>
        <v>1</v>
      </c>
    </row>
    <row r="44" spans="1:29" s="1220" customFormat="1" ht="15.75" thickBot="1">
      <c r="A44" s="600"/>
      <c r="B44" s="877" t="str">
        <f>'比较法-住宅、综合'!B45</f>
        <v>临海情况</v>
      </c>
      <c r="C44" s="3193" t="s">
        <v>3100</v>
      </c>
      <c r="D44" s="255">
        <v>100</v>
      </c>
      <c r="E44" s="3193" t="s">
        <v>3147</v>
      </c>
      <c r="F44" s="863">
        <f>SUMIF(126:126,E44,127:127)-SUMIF(126:126,C44,127:127)+100</f>
        <v>100</v>
      </c>
      <c r="G44" s="3193" t="s">
        <v>3107</v>
      </c>
      <c r="H44" s="255">
        <f>SUMIF(126:126,G44,127:127)-SUMIF(126:126,C44,127:127)+100</f>
        <v>95</v>
      </c>
      <c r="I44" s="3193" t="s">
        <v>3102</v>
      </c>
      <c r="J44" s="255">
        <f>SUMIF(126:126,I44,127:127)-SUMIF(126:126,C44,127:127)+100</f>
        <v>90</v>
      </c>
      <c r="K44" s="865"/>
      <c r="L44" s="2135"/>
      <c r="M44" s="2136"/>
      <c r="N44" s="2136"/>
      <c r="O44" s="2137"/>
      <c r="P44" s="3432"/>
      <c r="Q44" s="1151" t="str">
        <f t="shared" si="8"/>
        <v>临海情况</v>
      </c>
      <c r="R44" s="1569" t="s">
        <v>11</v>
      </c>
      <c r="S44" s="1570">
        <f t="shared" si="9"/>
        <v>100</v>
      </c>
      <c r="T44" s="1569" t="s">
        <v>11</v>
      </c>
      <c r="U44" s="1570">
        <f t="shared" si="10"/>
        <v>95</v>
      </c>
      <c r="V44" s="1569" t="s">
        <v>11</v>
      </c>
      <c r="W44" s="1570">
        <f t="shared" si="11"/>
        <v>90</v>
      </c>
      <c r="X44" s="1571"/>
      <c r="Y44" s="3432"/>
      <c r="Z44" s="1150" t="str">
        <f t="shared" si="12"/>
        <v>临海情况</v>
      </c>
      <c r="AA44" s="1572">
        <f t="shared" si="3"/>
        <v>1</v>
      </c>
      <c r="AB44" s="1572">
        <f t="shared" si="4"/>
        <v>1.0526315789473684</v>
      </c>
      <c r="AC44" s="1572">
        <f t="shared" si="5"/>
        <v>1.1111111111111112</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32"/>
      <c r="Q45" s="1573">
        <f t="shared" si="8"/>
        <v>111</v>
      </c>
      <c r="R45" s="1574" t="s">
        <v>11</v>
      </c>
      <c r="S45" s="1575">
        <f t="shared" si="9"/>
        <v>100</v>
      </c>
      <c r="T45" s="1574" t="s">
        <v>11</v>
      </c>
      <c r="U45" s="1575">
        <f t="shared" si="10"/>
        <v>100</v>
      </c>
      <c r="V45" s="1574" t="s">
        <v>11</v>
      </c>
      <c r="W45" s="1575">
        <f t="shared" si="11"/>
        <v>100</v>
      </c>
      <c r="X45" s="1568"/>
      <c r="Y45" s="3432"/>
      <c r="Z45" s="1576">
        <f t="shared" si="12"/>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31"/>
      <c r="Q46" s="1573">
        <f t="shared" si="8"/>
        <v>111</v>
      </c>
      <c r="R46" s="1574" t="s">
        <v>10</v>
      </c>
      <c r="S46" s="1575">
        <f t="shared" si="9"/>
        <v>100</v>
      </c>
      <c r="T46" s="1574" t="s">
        <v>10</v>
      </c>
      <c r="U46" s="1575">
        <f t="shared" si="10"/>
        <v>100</v>
      </c>
      <c r="V46" s="1574" t="s">
        <v>10</v>
      </c>
      <c r="W46" s="1575">
        <f t="shared" si="11"/>
        <v>100</v>
      </c>
      <c r="X46" s="1568"/>
      <c r="Y46" s="3531"/>
      <c r="Z46" s="1576">
        <f t="shared" si="12"/>
        <v>111</v>
      </c>
      <c r="AA46" s="1577">
        <f t="shared" si="3"/>
        <v>1</v>
      </c>
      <c r="AB46" s="1577">
        <f t="shared" si="4"/>
        <v>1</v>
      </c>
      <c r="AC46" s="1577">
        <f t="shared" si="5"/>
        <v>1</v>
      </c>
    </row>
    <row r="47" spans="1:29" ht="15">
      <c r="A47" s="607" t="s">
        <v>736</v>
      </c>
      <c r="B47" s="887"/>
      <c r="C47" s="2651" t="s">
        <v>9</v>
      </c>
      <c r="D47" s="2652"/>
      <c r="E47" s="2653">
        <v>18520</v>
      </c>
      <c r="F47" s="2654"/>
      <c r="G47" s="2655">
        <v>18556</v>
      </c>
      <c r="H47" s="2656"/>
      <c r="I47" s="2653">
        <v>17620</v>
      </c>
      <c r="J47" s="2656"/>
      <c r="K47" s="1607"/>
      <c r="L47" s="2144"/>
      <c r="M47" s="2145"/>
      <c r="N47" s="2134"/>
      <c r="O47" s="2145"/>
      <c r="P47" s="3427" t="str">
        <f>A47</f>
        <v>成交单价（元/平方米）</v>
      </c>
      <c r="Q47" s="3427"/>
      <c r="R47" s="3530">
        <f>E47</f>
        <v>18520</v>
      </c>
      <c r="S47" s="3530"/>
      <c r="T47" s="3530">
        <f>G47</f>
        <v>18556</v>
      </c>
      <c r="U47" s="3530"/>
      <c r="V47" s="3530">
        <f>I47</f>
        <v>17620</v>
      </c>
      <c r="W47" s="3530"/>
      <c r="X47" s="1560"/>
      <c r="Y47" s="1582"/>
      <c r="Z47" s="1560"/>
      <c r="AA47" s="1560"/>
      <c r="AB47" s="1560"/>
      <c r="AC47" s="1560"/>
    </row>
    <row r="48" spans="1:29" ht="15.75" thickBot="1">
      <c r="A48" s="615" t="s">
        <v>2760</v>
      </c>
      <c r="B48" s="888"/>
      <c r="C48" s="2657">
        <f>R49</f>
        <v>20686</v>
      </c>
      <c r="D48" s="2658"/>
      <c r="E48" s="2659">
        <f>R48</f>
        <v>20746</v>
      </c>
      <c r="F48" s="2659"/>
      <c r="G48" s="2657">
        <f>T48</f>
        <v>21243</v>
      </c>
      <c r="H48" s="2658"/>
      <c r="I48" s="2659">
        <f>V48</f>
        <v>20069</v>
      </c>
      <c r="J48" s="2658"/>
      <c r="K48" s="1608"/>
      <c r="L48" s="2144"/>
      <c r="M48" s="2145"/>
      <c r="N48" s="2145"/>
      <c r="O48" s="2145"/>
      <c r="P48" s="3427" t="str">
        <f>A48</f>
        <v>比较价格（元/平方米）</v>
      </c>
      <c r="Q48" s="3427"/>
      <c r="R48" s="3530">
        <f>IF(F1="售价",ROUND(PRODUCT(R47,AA7:AA46),0),ROUND(PRODUCT(R47,AA7:AA46),1))</f>
        <v>20746</v>
      </c>
      <c r="S48" s="3530"/>
      <c r="T48" s="3530">
        <f>IF(F1="售价",ROUND(PRODUCT(T47,AB7:AB46),0),ROUND(PRODUCT(T47,AB7:AB46),1))</f>
        <v>21243</v>
      </c>
      <c r="U48" s="3530"/>
      <c r="V48" s="3530">
        <f>IF(F1="售价",ROUND(PRODUCT(V47,AC7:AC46),0),ROUND(PRODUCT(V47,AC7:AC46),1))</f>
        <v>20069</v>
      </c>
      <c r="W48" s="3530"/>
      <c r="X48" s="1560"/>
      <c r="Y48" s="1560"/>
      <c r="Z48" s="1560"/>
      <c r="AA48" s="1560"/>
      <c r="AB48" s="1560"/>
      <c r="AC48" s="1560"/>
    </row>
    <row r="49" spans="1:29" ht="15.75" thickBot="1">
      <c r="A49" s="621" t="s">
        <v>2932</v>
      </c>
      <c r="B49" s="622"/>
      <c r="C49" s="2660">
        <f>R49</f>
        <v>20686</v>
      </c>
      <c r="D49" s="2660"/>
      <c r="E49" s="2660"/>
      <c r="F49" s="2660"/>
      <c r="G49" s="2660"/>
      <c r="H49" s="2660"/>
      <c r="I49" s="2660"/>
      <c r="J49" s="2660"/>
      <c r="K49" s="1609"/>
      <c r="L49" s="2144"/>
      <c r="M49" s="2145"/>
      <c r="N49" s="2145"/>
      <c r="O49" s="2145"/>
      <c r="P49" s="3450" t="str">
        <f>A49</f>
        <v>估价对象XX用房的比较价格（楼面单价，元/平方米）</v>
      </c>
      <c r="Q49" s="3451"/>
      <c r="R49" s="3529">
        <f>IF(F1="售价",ROUND(AVERAGE(R48:V48),0),ROUND(AVERAGE(R48:V48),1))</f>
        <v>20686</v>
      </c>
      <c r="S49" s="3529"/>
      <c r="T49" s="3529"/>
      <c r="U49" s="3529"/>
      <c r="V49" s="3529"/>
      <c r="W49" s="352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0.12019438444924413</v>
      </c>
      <c r="F52" s="627" t="str">
        <f>IF(OR(E52&gt;=0.3,E52&lt;=-0.3),"超过30%","")</f>
        <v/>
      </c>
      <c r="G52" s="626">
        <f>IF(G47&lt;G48,G48/G47-1,G47/G48-1)</f>
        <v>0.14480491485233893</v>
      </c>
      <c r="H52" s="627" t="str">
        <f>IF(OR(G52&gt;=0.3,G52&lt;=-0.3),"超过30%","")</f>
        <v/>
      </c>
      <c r="I52" s="626">
        <f>IF(I47&lt;I48,I48/I47-1,I47/I48-1)</f>
        <v>0.13898978433598175</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2.3956425335004417E-2</v>
      </c>
      <c r="F53" s="627" t="str">
        <f>IF(OR(E53&gt;=0.2,E53&lt;=-0.2),"超过20%","")</f>
        <v/>
      </c>
      <c r="G53" s="626">
        <f>IF(G48&lt;I48,I48/G48-1,G48/I48-1)</f>
        <v>5.8498181274602601E-2</v>
      </c>
      <c r="H53" s="627" t="str">
        <f>IF(OR(G53&gt;=0.2,G53&lt;=-0.2),"超过20%","")</f>
        <v/>
      </c>
      <c r="I53" s="626">
        <f>IF(I48&lt;E48,E48/I48-1,I48/E48-1)</f>
        <v>3.3733619014400418E-2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1.9438444924406717E-3</v>
      </c>
      <c r="F54" s="627" t="str">
        <f>IF(OR(E54&gt;=0.3,E54&lt;=-0.3),"超过30%","")</f>
        <v/>
      </c>
      <c r="G54" s="626">
        <f>IF(G47&lt;I47,I47/G47-1,G47/I47-1)</f>
        <v>5.3121452894438148E-2</v>
      </c>
      <c r="H54" s="627" t="str">
        <f>IF(OR(G54&gt;=0.3,G54&lt;=-0.3),"超过30%","")</f>
        <v/>
      </c>
      <c r="I54" s="626">
        <f>IF(I47&lt;E47,E47/I47-1,I47/E47-1)</f>
        <v>5.1078320090805818E-2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28" t="str">
        <f>YEAR(C7)&amp;"-"&amp;MONTH(C7)</f>
        <v>2018-5</v>
      </c>
      <c r="D58" s="2828">
        <f>EDATE(C58,-1)</f>
        <v>43191</v>
      </c>
      <c r="E58" s="2828">
        <f t="shared" ref="E58:O58" si="13">EDATE(D58,-1)</f>
        <v>43160</v>
      </c>
      <c r="F58" s="2828">
        <f t="shared" si="13"/>
        <v>43132</v>
      </c>
      <c r="G58" s="2828">
        <f t="shared" si="13"/>
        <v>43101</v>
      </c>
      <c r="H58" s="2828">
        <f t="shared" si="13"/>
        <v>43070</v>
      </c>
      <c r="I58" s="2828">
        <f t="shared" si="13"/>
        <v>43040</v>
      </c>
      <c r="J58" s="2828">
        <f t="shared" si="13"/>
        <v>43009</v>
      </c>
      <c r="K58" s="2828">
        <f t="shared" si="13"/>
        <v>42979</v>
      </c>
      <c r="L58" s="2828">
        <f t="shared" si="13"/>
        <v>42948</v>
      </c>
      <c r="M58" s="2828">
        <f t="shared" si="13"/>
        <v>42917</v>
      </c>
      <c r="N58" s="2828">
        <f t="shared" si="13"/>
        <v>42887</v>
      </c>
      <c r="O58" s="2828">
        <f t="shared" si="13"/>
        <v>42856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4">C66-$K10</f>
        <v>98</v>
      </c>
      <c r="E66" s="679">
        <f t="shared" si="14"/>
        <v>96</v>
      </c>
      <c r="F66" s="679">
        <f t="shared" si="14"/>
        <v>94</v>
      </c>
      <c r="G66" s="679">
        <f t="shared" si="14"/>
        <v>92</v>
      </c>
      <c r="H66" s="679">
        <f t="shared" si="14"/>
        <v>90</v>
      </c>
      <c r="I66" s="679">
        <f t="shared" si="14"/>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5">D68&amp;"（含）"&amp;"-"&amp;E68</f>
        <v>2（含）-4</v>
      </c>
      <c r="E67" s="682" t="str">
        <f t="shared" si="15"/>
        <v>4（含）-6</v>
      </c>
      <c r="F67" s="682" t="str">
        <f t="shared" si="15"/>
        <v>6（含）-8</v>
      </c>
      <c r="G67" s="682" t="str">
        <f t="shared" si="15"/>
        <v>8（含）-</v>
      </c>
      <c r="H67" s="682" t="str">
        <f t="shared" si="15"/>
        <v>（含）-</v>
      </c>
      <c r="I67" s="682" t="str">
        <f t="shared" si="15"/>
        <v>（含）-</v>
      </c>
      <c r="J67" s="682" t="str">
        <f t="shared" si="15"/>
        <v>（含）-</v>
      </c>
      <c r="K67" s="682" t="str">
        <f t="shared" si="15"/>
        <v>（含）-</v>
      </c>
      <c r="L67" s="682" t="str">
        <f t="shared" si="15"/>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6">C69-$K11</f>
        <v>97</v>
      </c>
      <c r="E69" s="679">
        <f t="shared" si="16"/>
        <v>94</v>
      </c>
      <c r="F69" s="679">
        <f t="shared" si="16"/>
        <v>91</v>
      </c>
      <c r="G69" s="679">
        <f t="shared" si="16"/>
        <v>88</v>
      </c>
      <c r="H69" s="679">
        <f t="shared" si="16"/>
        <v>85</v>
      </c>
      <c r="I69" s="679">
        <f t="shared" si="16"/>
        <v>82</v>
      </c>
      <c r="J69" s="679">
        <f t="shared" si="16"/>
        <v>79</v>
      </c>
      <c r="K69" s="679">
        <f t="shared" si="16"/>
        <v>76</v>
      </c>
      <c r="L69" s="679">
        <f t="shared" si="16"/>
        <v>73</v>
      </c>
      <c r="M69" s="680">
        <f t="shared" si="16"/>
        <v>70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2558</v>
      </c>
      <c r="C82" s="2622" t="s">
        <v>2559</v>
      </c>
      <c r="D82" s="2622" t="s">
        <v>2560</v>
      </c>
      <c r="E82" s="2622" t="s">
        <v>2561</v>
      </c>
      <c r="F82" s="2622" t="s">
        <v>2562</v>
      </c>
      <c r="G82" s="2622" t="s">
        <v>2563</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6"/>
      <c r="O87" s="2166"/>
      <c r="P87" s="2165"/>
      <c r="Q87" s="2158"/>
      <c r="R87" s="1993"/>
      <c r="S87" s="1993"/>
      <c r="T87" s="1993"/>
      <c r="U87" s="1993"/>
      <c r="V87" s="1993"/>
      <c r="W87" s="1993"/>
      <c r="X87" s="1993"/>
      <c r="Y87" s="1993"/>
      <c r="Z87" s="1993"/>
      <c r="AA87" s="1993"/>
      <c r="AB87" s="1993"/>
      <c r="AC87" s="1993"/>
    </row>
    <row r="88" spans="1:29" s="1220" customFormat="1" ht="15.75" hidden="1"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hidden="1"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6"/>
      <c r="O89" s="2166"/>
      <c r="P89" s="2165"/>
      <c r="Q89" s="2158"/>
      <c r="R89" s="1993"/>
      <c r="S89" s="1993"/>
      <c r="T89" s="1993"/>
      <c r="U89" s="1993"/>
      <c r="V89" s="1993"/>
      <c r="W89" s="1993"/>
      <c r="X89" s="1993"/>
      <c r="Y89" s="1993"/>
      <c r="Z89" s="1993"/>
      <c r="AA89" s="1993"/>
      <c r="AB89" s="1993"/>
      <c r="AC89" s="1993"/>
    </row>
    <row r="90" spans="1:29" s="1339" customFormat="1" ht="15.75" hidden="1"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hidden="1"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747</v>
      </c>
      <c r="C100" s="3182" t="s">
        <v>3069</v>
      </c>
      <c r="D100" s="3182" t="s">
        <v>3070</v>
      </c>
      <c r="E100" s="3182" t="s">
        <v>3071</v>
      </c>
      <c r="F100" s="3182" t="s">
        <v>3072</v>
      </c>
      <c r="G100" s="3182" t="s">
        <v>3074</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0">D103&amp;"(含)"&amp;"-"&amp;E103</f>
        <v>100000(含)-200000</v>
      </c>
      <c r="E102" s="708" t="str">
        <f t="shared" si="20"/>
        <v>200000(含)-300000</v>
      </c>
      <c r="F102" s="708" t="str">
        <f t="shared" si="20"/>
        <v>300000(含)-400000</v>
      </c>
      <c r="G102" s="708" t="str">
        <f t="shared" si="20"/>
        <v>400000(含)-500000</v>
      </c>
      <c r="H102" s="708" t="str">
        <f t="shared" si="20"/>
        <v>500000(含)-</v>
      </c>
      <c r="I102" s="708" t="str">
        <f t="shared" si="20"/>
        <v>(含)-</v>
      </c>
      <c r="J102" s="708" t="str">
        <f t="shared" si="20"/>
        <v>(含)-</v>
      </c>
      <c r="K102" s="708" t="str">
        <f t="shared" si="20"/>
        <v>(含)-</v>
      </c>
      <c r="L102" s="708" t="str">
        <f t="shared" si="20"/>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4" t="s">
        <v>3075</v>
      </c>
      <c r="D105" s="3184" t="s">
        <v>3076</v>
      </c>
      <c r="E105" s="3183" t="s">
        <v>3077</v>
      </c>
      <c r="F105" s="3183" t="s">
        <v>3078</v>
      </c>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3" t="s">
        <v>3080</v>
      </c>
      <c r="D107" s="3183" t="s">
        <v>3082</v>
      </c>
      <c r="E107" s="3183" t="s">
        <v>3083</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2">C108-$K35</f>
        <v>95</v>
      </c>
      <c r="E108" s="679">
        <f t="shared" si="22"/>
        <v>90</v>
      </c>
      <c r="F108" s="679">
        <f t="shared" si="22"/>
        <v>85</v>
      </c>
      <c r="G108" s="679">
        <f t="shared" si="22"/>
        <v>80</v>
      </c>
      <c r="H108" s="679">
        <f t="shared" si="22"/>
        <v>75</v>
      </c>
      <c r="I108" s="679">
        <f t="shared" si="22"/>
        <v>70</v>
      </c>
      <c r="J108" s="679">
        <f t="shared" si="22"/>
        <v>65</v>
      </c>
      <c r="K108" s="679">
        <f t="shared" si="22"/>
        <v>60</v>
      </c>
      <c r="L108" s="679">
        <f t="shared" si="22"/>
        <v>55</v>
      </c>
      <c r="M108" s="679">
        <f t="shared" si="22"/>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4" t="s">
        <v>3105</v>
      </c>
      <c r="D109" s="3184" t="s">
        <v>3085</v>
      </c>
      <c r="E109" s="3184" t="s">
        <v>3086</v>
      </c>
      <c r="F109" s="3183" t="s">
        <v>3106</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3">C110-$K36</f>
        <v>97</v>
      </c>
      <c r="E110" s="679">
        <f t="shared" si="23"/>
        <v>94</v>
      </c>
      <c r="F110" s="679">
        <f t="shared" si="23"/>
        <v>91</v>
      </c>
      <c r="G110" s="679">
        <f t="shared" si="23"/>
        <v>88</v>
      </c>
      <c r="H110" s="679">
        <f t="shared" si="23"/>
        <v>85</v>
      </c>
      <c r="I110" s="679">
        <f t="shared" si="23"/>
        <v>82</v>
      </c>
      <c r="J110" s="679">
        <f t="shared" si="23"/>
        <v>79</v>
      </c>
      <c r="K110" s="679">
        <f t="shared" si="23"/>
        <v>76</v>
      </c>
      <c r="L110" s="679">
        <f t="shared" si="23"/>
        <v>73</v>
      </c>
      <c r="M110" s="679">
        <f t="shared" si="23"/>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hidden="1"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hidden="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hidden="1"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4" t="s">
        <v>3089</v>
      </c>
      <c r="D114" s="3184" t="s">
        <v>3090</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2556</v>
      </c>
      <c r="C116" s="3184" t="s">
        <v>3091</v>
      </c>
      <c r="D116" s="3184" t="s">
        <v>3092</v>
      </c>
      <c r="E116" s="3184" t="s">
        <v>3093</v>
      </c>
      <c r="F116" s="3184" t="s">
        <v>3094</v>
      </c>
      <c r="G116" s="3184" t="s">
        <v>3095</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75" hidden="1" customHeight="1"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t="s">
        <v>3096</v>
      </c>
      <c r="D120" s="688" t="s">
        <v>3097</v>
      </c>
      <c r="E120" s="688" t="s">
        <v>3098</v>
      </c>
      <c r="F120" s="688" t="s">
        <v>3099</v>
      </c>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v>100</v>
      </c>
      <c r="D121" s="671">
        <v>97</v>
      </c>
      <c r="E121" s="671">
        <v>94</v>
      </c>
      <c r="F121" s="671">
        <v>91</v>
      </c>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4" t="s">
        <v>3105</v>
      </c>
      <c r="D122" s="3184" t="s">
        <v>3085</v>
      </c>
      <c r="E122" s="3184" t="s">
        <v>3086</v>
      </c>
      <c r="F122" s="3183" t="s">
        <v>3106</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hidden="1"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临海情况</v>
      </c>
      <c r="C126" s="3184" t="s">
        <v>3100</v>
      </c>
      <c r="D126" s="3184" t="s">
        <v>3101</v>
      </c>
      <c r="E126" s="3184" t="s">
        <v>3102</v>
      </c>
      <c r="F126" s="3184" t="s">
        <v>3103</v>
      </c>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95</v>
      </c>
      <c r="E127" s="671">
        <v>90</v>
      </c>
      <c r="F127" s="671">
        <v>85</v>
      </c>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I6" sqref="I6:J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t="s">
        <v>2987</v>
      </c>
      <c r="E1" s="506"/>
      <c r="F1" s="2831" t="s">
        <v>3108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12177</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32123</v>
      </c>
      <c r="C3" s="852" t="s">
        <v>722</v>
      </c>
      <c r="D3" s="851">
        <f>SUMIF('数据-汇总表'!$C19:$C33,D1,'数据-汇总表'!$E19:$E33)</f>
        <v>3790.85</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433" t="s">
        <v>522</v>
      </c>
      <c r="D4" s="3434"/>
      <c r="E4" s="3459" t="s">
        <v>523</v>
      </c>
      <c r="F4" s="3460"/>
      <c r="G4" s="3433" t="s">
        <v>524</v>
      </c>
      <c r="H4" s="3434"/>
      <c r="I4" s="3433" t="s">
        <v>525</v>
      </c>
      <c r="J4" s="3434"/>
      <c r="K4" s="514" t="s">
        <v>526</v>
      </c>
      <c r="L4" s="2133"/>
      <c r="M4" s="2134"/>
      <c r="N4" s="2134"/>
      <c r="O4" s="2134"/>
      <c r="P4" s="3435" t="s">
        <v>527</v>
      </c>
      <c r="Q4" s="3436"/>
      <c r="R4" s="3421" t="s">
        <v>523</v>
      </c>
      <c r="S4" s="3422"/>
      <c r="T4" s="3421" t="s">
        <v>524</v>
      </c>
      <c r="U4" s="3422"/>
      <c r="V4" s="3441" t="s">
        <v>525</v>
      </c>
      <c r="W4" s="3441"/>
      <c r="X4" s="1568"/>
      <c r="Y4" s="3421" t="s">
        <v>527</v>
      </c>
      <c r="Z4" s="3422"/>
      <c r="AA4" s="3416" t="s">
        <v>523</v>
      </c>
      <c r="AB4" s="3441" t="s">
        <v>524</v>
      </c>
      <c r="AC4" s="3416" t="s">
        <v>525</v>
      </c>
    </row>
    <row r="5" spans="1:29" ht="15">
      <c r="A5" s="515"/>
      <c r="B5" s="516"/>
      <c r="C5" s="3446" t="s">
        <v>2926</v>
      </c>
      <c r="D5" s="3445"/>
      <c r="E5" s="3527" t="s">
        <v>3192</v>
      </c>
      <c r="F5" s="3462"/>
      <c r="G5" s="3444" t="s">
        <v>3142</v>
      </c>
      <c r="H5" s="3445"/>
      <c r="I5" s="3444" t="s">
        <v>3143</v>
      </c>
      <c r="J5" s="3445"/>
      <c r="K5" s="514"/>
      <c r="L5" s="2133"/>
      <c r="M5" s="2134"/>
      <c r="N5" s="2134"/>
      <c r="O5" s="2134"/>
      <c r="P5" s="3437"/>
      <c r="Q5" s="3438"/>
      <c r="R5" s="3423"/>
      <c r="S5" s="3424"/>
      <c r="T5" s="3423"/>
      <c r="U5" s="3424"/>
      <c r="V5" s="3441"/>
      <c r="W5" s="3441"/>
      <c r="X5" s="1568"/>
      <c r="Y5" s="3423"/>
      <c r="Z5" s="3424"/>
      <c r="AA5" s="3417"/>
      <c r="AB5" s="3441"/>
      <c r="AC5" s="3417"/>
    </row>
    <row r="6" spans="1:29" ht="15.75" thickBot="1">
      <c r="A6" s="517"/>
      <c r="B6" s="518"/>
      <c r="C6" s="3463" t="s">
        <v>2930</v>
      </c>
      <c r="D6" s="3443"/>
      <c r="E6" s="3528" t="s">
        <v>3110</v>
      </c>
      <c r="F6" s="3465"/>
      <c r="G6" s="3442" t="s">
        <v>3145</v>
      </c>
      <c r="H6" s="3443"/>
      <c r="I6" s="3442" t="s">
        <v>3144</v>
      </c>
      <c r="J6" s="3443"/>
      <c r="K6" s="514" t="s">
        <v>528</v>
      </c>
      <c r="L6" s="2133"/>
      <c r="M6" s="2134"/>
      <c r="N6" s="2134"/>
      <c r="O6" s="2134"/>
      <c r="P6" s="3439"/>
      <c r="Q6" s="3440"/>
      <c r="R6" s="3423"/>
      <c r="S6" s="3424"/>
      <c r="T6" s="3425"/>
      <c r="U6" s="3426"/>
      <c r="V6" s="3441"/>
      <c r="W6" s="3441"/>
      <c r="X6" s="1568"/>
      <c r="Y6" s="3425"/>
      <c r="Z6" s="3426"/>
      <c r="AA6" s="3418"/>
      <c r="AB6" s="3441"/>
      <c r="AC6" s="3418"/>
    </row>
    <row r="7" spans="1:29" s="1220" customFormat="1" ht="15.75" thickBot="1">
      <c r="A7" s="2936"/>
      <c r="B7" s="2943" t="s">
        <v>529</v>
      </c>
      <c r="C7" s="519">
        <f>'数据-取费表'!B2</f>
        <v>43244</v>
      </c>
      <c r="D7" s="520">
        <v>100</v>
      </c>
      <c r="E7" s="521">
        <f>C7</f>
        <v>43244</v>
      </c>
      <c r="F7" s="522">
        <f>SUMIF(58:58,YEAR(E7)&amp;"-"&amp;MONTH(E7),59:59)</f>
        <v>100</v>
      </c>
      <c r="G7" s="521">
        <f>C7</f>
        <v>43244</v>
      </c>
      <c r="H7" s="520">
        <f>SUMIF(58:58,YEAR(G7)&amp;"-"&amp;MONTH(G7),59:59)</f>
        <v>100</v>
      </c>
      <c r="I7" s="521">
        <f>C7</f>
        <v>43244</v>
      </c>
      <c r="J7" s="520">
        <f>SUMIF(58:58,YEAR(I7)&amp;"-"&amp;MONTH(I7),59:59)</f>
        <v>100</v>
      </c>
      <c r="K7" s="524"/>
      <c r="L7" s="2135"/>
      <c r="M7" s="2136"/>
      <c r="N7" s="2136"/>
      <c r="O7" s="2136"/>
      <c r="P7" s="3419" t="s">
        <v>530</v>
      </c>
      <c r="Q7" s="3428"/>
      <c r="R7" s="1569" t="s">
        <v>8</v>
      </c>
      <c r="S7" s="1570">
        <f t="shared" ref="S7:S15" si="0">F7</f>
        <v>100</v>
      </c>
      <c r="T7" s="1569" t="s">
        <v>8</v>
      </c>
      <c r="U7" s="1570">
        <f t="shared" ref="U7:U15" si="1">H7</f>
        <v>100</v>
      </c>
      <c r="V7" s="1569" t="s">
        <v>8</v>
      </c>
      <c r="W7" s="1570">
        <f t="shared" ref="W7:W15" si="2">J7</f>
        <v>100</v>
      </c>
      <c r="X7" s="1571"/>
      <c r="Y7" s="3419" t="s">
        <v>530</v>
      </c>
      <c r="Z7" s="3420"/>
      <c r="AA7" s="1572">
        <f>D7/F7</f>
        <v>1</v>
      </c>
      <c r="AB7" s="1572">
        <f>D7/H7</f>
        <v>1</v>
      </c>
      <c r="AC7" s="1572">
        <f>D7/J7</f>
        <v>1</v>
      </c>
    </row>
    <row r="8" spans="1:29" s="1220" customFormat="1" ht="15.75" thickBot="1">
      <c r="A8" s="2937"/>
      <c r="B8" s="2944" t="s">
        <v>531</v>
      </c>
      <c r="C8" s="525" t="s">
        <v>576</v>
      </c>
      <c r="D8" s="520">
        <v>100</v>
      </c>
      <c r="E8" s="525" t="s">
        <v>3007</v>
      </c>
      <c r="F8" s="522">
        <f>SUMIF(61:61,E8,62:62)-SUMIF(61:61,C8,62:62)+100</f>
        <v>100</v>
      </c>
      <c r="G8" s="525" t="s">
        <v>3007</v>
      </c>
      <c r="H8" s="520">
        <f>SUMIF(61:61,G8,62:62)-SUMIF(61:61,C8,62:62)+100</f>
        <v>100</v>
      </c>
      <c r="I8" s="525" t="s">
        <v>3007</v>
      </c>
      <c r="J8" s="520">
        <f>SUMIF(61:61,I8,62:62)-SUMIF(61:61,C8,62:62)+100</f>
        <v>100</v>
      </c>
      <c r="K8" s="524"/>
      <c r="L8" s="2135"/>
      <c r="M8" s="2136"/>
      <c r="N8" s="2136"/>
      <c r="O8" s="2136"/>
      <c r="P8" s="3419" t="s">
        <v>533</v>
      </c>
      <c r="Q8" s="3420"/>
      <c r="R8" s="1569" t="s">
        <v>8</v>
      </c>
      <c r="S8" s="1570">
        <f t="shared" si="0"/>
        <v>100</v>
      </c>
      <c r="T8" s="1569" t="s">
        <v>8</v>
      </c>
      <c r="U8" s="1570">
        <f t="shared" si="1"/>
        <v>100</v>
      </c>
      <c r="V8" s="1569" t="s">
        <v>8</v>
      </c>
      <c r="W8" s="1570">
        <f t="shared" si="2"/>
        <v>100</v>
      </c>
      <c r="X8" s="1571"/>
      <c r="Y8" s="3419" t="s">
        <v>533</v>
      </c>
      <c r="Z8" s="3420"/>
      <c r="AA8" s="1572">
        <f t="shared" ref="AA8:AA46" si="3">D8/F8</f>
        <v>1</v>
      </c>
      <c r="AB8" s="1572">
        <f t="shared" ref="AB8:AB46" si="4">D8/H8</f>
        <v>1</v>
      </c>
      <c r="AC8" s="1572">
        <f t="shared" ref="AC8:AC46" si="5">D8/J8</f>
        <v>1</v>
      </c>
    </row>
    <row r="9" spans="1:29" s="1220" customFormat="1" ht="15">
      <c r="A9" s="2938"/>
      <c r="B9" s="2945" t="s">
        <v>2756</v>
      </c>
      <c r="C9" s="3192" t="s">
        <v>3111</v>
      </c>
      <c r="D9" s="254">
        <v>100</v>
      </c>
      <c r="E9" s="860" t="s">
        <v>2987</v>
      </c>
      <c r="F9" s="254">
        <f>SUMIF(63:63,E9,64:64)-SUMIF(63:63,C9,64:64)+100</f>
        <v>100</v>
      </c>
      <c r="G9" s="858" t="s">
        <v>2987</v>
      </c>
      <c r="H9" s="254">
        <f>SUMIF(63:63,G9,64:64)-SUMIF(63:63,C9,64:64)+100</f>
        <v>100</v>
      </c>
      <c r="I9" s="858" t="s">
        <v>2987</v>
      </c>
      <c r="J9" s="254">
        <f>SUMIF(63:63,I9,64:64)-SUMIF(63:63,C9,64:64)+100</f>
        <v>100</v>
      </c>
      <c r="K9" s="524"/>
      <c r="L9" s="2135"/>
      <c r="M9" s="2136"/>
      <c r="N9" s="2136"/>
      <c r="O9" s="2137"/>
      <c r="P9" s="3427" t="s">
        <v>535</v>
      </c>
      <c r="Q9" s="1151" t="str">
        <f t="shared" ref="Q9:Q15" si="6">B9</f>
        <v>用途</v>
      </c>
      <c r="R9" s="1569" t="s">
        <v>8</v>
      </c>
      <c r="S9" s="1570">
        <f t="shared" si="0"/>
        <v>100</v>
      </c>
      <c r="T9" s="1569" t="s">
        <v>8</v>
      </c>
      <c r="U9" s="1570">
        <f t="shared" si="1"/>
        <v>100</v>
      </c>
      <c r="V9" s="1569" t="s">
        <v>8</v>
      </c>
      <c r="W9" s="1570">
        <f t="shared" si="2"/>
        <v>100</v>
      </c>
      <c r="X9" s="1571"/>
      <c r="Y9" s="3384" t="s">
        <v>536</v>
      </c>
      <c r="Z9" s="1150" t="str">
        <f t="shared" ref="Z9:Z15" si="7">Q9</f>
        <v>用途</v>
      </c>
      <c r="AA9" s="1572">
        <f t="shared" si="3"/>
        <v>1</v>
      </c>
      <c r="AB9" s="1572">
        <f t="shared" si="4"/>
        <v>1</v>
      </c>
      <c r="AC9" s="1572">
        <f t="shared" si="5"/>
        <v>1</v>
      </c>
    </row>
    <row r="10" spans="1:29" s="1338" customFormat="1" ht="27">
      <c r="A10" s="2939"/>
      <c r="B10" s="2944" t="s">
        <v>2757</v>
      </c>
      <c r="C10" s="861" t="s">
        <v>3112</v>
      </c>
      <c r="D10" s="255">
        <v>100</v>
      </c>
      <c r="E10" s="861" t="s">
        <v>3113</v>
      </c>
      <c r="F10" s="255">
        <f>SUMIF(65:65,E10,66:66)-SUMIF(65:65,C10,66:66)+100</f>
        <v>105</v>
      </c>
      <c r="G10" s="862" t="s">
        <v>3113</v>
      </c>
      <c r="H10" s="255">
        <f>SUMIF(65:65,G10,66:66)-SUMIF(65:65,C10,66:66)+100</f>
        <v>105</v>
      </c>
      <c r="I10" s="861" t="s">
        <v>3113</v>
      </c>
      <c r="J10" s="255">
        <f>SUMIF(65:65,I10,66:66)-SUMIF(65:65,C10,66:66)+100</f>
        <v>105</v>
      </c>
      <c r="K10" s="584">
        <v>5</v>
      </c>
      <c r="L10" s="2138"/>
      <c r="M10" s="2178"/>
      <c r="N10" s="2178"/>
      <c r="O10" s="2139"/>
      <c r="P10" s="3427"/>
      <c r="Q10" s="1151" t="str">
        <f t="shared" si="6"/>
        <v>土地使用年限（年）</v>
      </c>
      <c r="R10" s="1569" t="s">
        <v>8</v>
      </c>
      <c r="S10" s="1570">
        <f t="shared" si="0"/>
        <v>105</v>
      </c>
      <c r="T10" s="1569" t="s">
        <v>8</v>
      </c>
      <c r="U10" s="1570">
        <f t="shared" si="1"/>
        <v>105</v>
      </c>
      <c r="V10" s="1569" t="s">
        <v>8</v>
      </c>
      <c r="W10" s="1570">
        <f t="shared" si="2"/>
        <v>105</v>
      </c>
      <c r="X10" s="1571"/>
      <c r="Y10" s="3384"/>
      <c r="Z10" s="1150" t="str">
        <f t="shared" si="7"/>
        <v>土地使用年限（年）</v>
      </c>
      <c r="AA10" s="1572">
        <f t="shared" si="3"/>
        <v>0.95238095238095233</v>
      </c>
      <c r="AB10" s="1572">
        <f t="shared" si="4"/>
        <v>0.95238095238095233</v>
      </c>
      <c r="AC10" s="1572">
        <f t="shared" si="5"/>
        <v>0.95238095238095233</v>
      </c>
    </row>
    <row r="11" spans="1:29" ht="15.75" thickBot="1">
      <c r="A11" s="2940"/>
      <c r="B11" s="2944" t="s">
        <v>2758</v>
      </c>
      <c r="C11" s="533">
        <f>'不动产比较法-住宅'!C11</f>
        <v>4.0599999999999996</v>
      </c>
      <c r="D11" s="255">
        <v>100</v>
      </c>
      <c r="E11" s="533">
        <v>3</v>
      </c>
      <c r="F11" s="255">
        <f>LOOKUP(E11,68:68,69:69)-LOOKUP(C11,68:68,69:69)+100</f>
        <v>103</v>
      </c>
      <c r="G11" s="534">
        <v>3.5</v>
      </c>
      <c r="H11" s="255">
        <f>LOOKUP(G11,68:68,69:69)-LOOKUP(C11,68:68,69:69)+100</f>
        <v>103</v>
      </c>
      <c r="I11" s="533">
        <v>4.37</v>
      </c>
      <c r="J11" s="255">
        <f>LOOKUP(I11,68:68,69:69)-LOOKUP(C11,68:68,69:69)+100</f>
        <v>100</v>
      </c>
      <c r="K11" s="584">
        <f>'不动产比较法-住宅'!K11</f>
        <v>3</v>
      </c>
      <c r="L11" s="2140"/>
      <c r="M11" s="2134"/>
      <c r="N11" s="2134"/>
      <c r="O11" s="2141"/>
      <c r="P11" s="3427"/>
      <c r="Q11" s="1151" t="str">
        <f t="shared" si="6"/>
        <v>容积率</v>
      </c>
      <c r="R11" s="1569" t="s">
        <v>8</v>
      </c>
      <c r="S11" s="1570">
        <f t="shared" si="0"/>
        <v>103</v>
      </c>
      <c r="T11" s="1569" t="s">
        <v>8</v>
      </c>
      <c r="U11" s="1570">
        <f t="shared" si="1"/>
        <v>103</v>
      </c>
      <c r="V11" s="1569" t="s">
        <v>8</v>
      </c>
      <c r="W11" s="1570">
        <f t="shared" si="2"/>
        <v>100</v>
      </c>
      <c r="X11" s="1571"/>
      <c r="Y11" s="3384"/>
      <c r="Z11" s="1150" t="str">
        <f t="shared" si="7"/>
        <v>容积率</v>
      </c>
      <c r="AA11" s="1572">
        <f t="shared" si="3"/>
        <v>0.970873786407767</v>
      </c>
      <c r="AB11" s="1572">
        <f t="shared" si="4"/>
        <v>0.970873786407767</v>
      </c>
      <c r="AC11" s="1572">
        <f t="shared" si="5"/>
        <v>1</v>
      </c>
    </row>
    <row r="12" spans="1:29" s="1220" customFormat="1" ht="15" hidden="1">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27"/>
      <c r="Q12" s="1151">
        <f t="shared" si="6"/>
        <v>111</v>
      </c>
      <c r="R12" s="1569" t="s">
        <v>8</v>
      </c>
      <c r="S12" s="1570">
        <f t="shared" si="0"/>
        <v>100</v>
      </c>
      <c r="T12" s="1569" t="s">
        <v>8</v>
      </c>
      <c r="U12" s="1570">
        <f t="shared" si="1"/>
        <v>100</v>
      </c>
      <c r="V12" s="1569" t="s">
        <v>8</v>
      </c>
      <c r="W12" s="1570">
        <f t="shared" si="2"/>
        <v>100</v>
      </c>
      <c r="X12" s="1571"/>
      <c r="Y12" s="3384"/>
      <c r="Z12" s="1150">
        <f t="shared" si="7"/>
        <v>111</v>
      </c>
      <c r="AA12" s="1572">
        <f>D12/F12</f>
        <v>1</v>
      </c>
      <c r="AB12" s="1572">
        <f>D12/H12</f>
        <v>1</v>
      </c>
      <c r="AC12" s="1572">
        <f>D12/J12</f>
        <v>1</v>
      </c>
    </row>
    <row r="13" spans="1:29" ht="15" hidden="1">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27"/>
      <c r="Q13" s="1151">
        <f t="shared" si="6"/>
        <v>111</v>
      </c>
      <c r="R13" s="1569" t="s">
        <v>8</v>
      </c>
      <c r="S13" s="1570">
        <f t="shared" si="0"/>
        <v>100</v>
      </c>
      <c r="T13" s="1569" t="s">
        <v>8</v>
      </c>
      <c r="U13" s="1570">
        <f t="shared" si="1"/>
        <v>100</v>
      </c>
      <c r="V13" s="1569" t="s">
        <v>8</v>
      </c>
      <c r="W13" s="1570">
        <f t="shared" si="2"/>
        <v>100</v>
      </c>
      <c r="X13" s="1571"/>
      <c r="Y13" s="3384"/>
      <c r="Z13" s="1150">
        <f t="shared" si="7"/>
        <v>111</v>
      </c>
      <c r="AA13" s="1572">
        <f t="shared" si="3"/>
        <v>1</v>
      </c>
      <c r="AB13" s="1572">
        <f t="shared" si="4"/>
        <v>1</v>
      </c>
      <c r="AC13" s="1572">
        <f t="shared" si="5"/>
        <v>1</v>
      </c>
    </row>
    <row r="14" spans="1:29" ht="15.75" hidden="1"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27"/>
      <c r="Q14" s="1151">
        <f t="shared" si="6"/>
        <v>111</v>
      </c>
      <c r="R14" s="1569" t="s">
        <v>8</v>
      </c>
      <c r="S14" s="1570">
        <f t="shared" si="0"/>
        <v>100</v>
      </c>
      <c r="T14" s="1569" t="s">
        <v>8</v>
      </c>
      <c r="U14" s="1570">
        <f t="shared" si="1"/>
        <v>100</v>
      </c>
      <c r="V14" s="1569" t="s">
        <v>8</v>
      </c>
      <c r="W14" s="1570">
        <f t="shared" si="2"/>
        <v>100</v>
      </c>
      <c r="X14" s="1571"/>
      <c r="Y14" s="3384"/>
      <c r="Z14" s="1150">
        <f t="shared" si="7"/>
        <v>111</v>
      </c>
      <c r="AA14" s="1572">
        <f t="shared" si="3"/>
        <v>1</v>
      </c>
      <c r="AB14" s="1572">
        <f t="shared" si="4"/>
        <v>1</v>
      </c>
      <c r="AC14" s="1572">
        <f t="shared" si="5"/>
        <v>1</v>
      </c>
    </row>
    <row r="15" spans="1:29" ht="71.25">
      <c r="A15" s="2934"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f>'比较法-住宅、综合'!K19</f>
        <v>3</v>
      </c>
      <c r="L15" s="2142"/>
      <c r="M15" s="2134"/>
      <c r="N15" s="2134"/>
      <c r="O15" s="2141"/>
      <c r="P15" s="3429" t="s">
        <v>540</v>
      </c>
      <c r="Q15" s="1573" t="str">
        <f t="shared" si="6"/>
        <v>商业繁华度</v>
      </c>
      <c r="R15" s="1574" t="s">
        <v>8</v>
      </c>
      <c r="S15" s="1575">
        <f t="shared" si="0"/>
        <v>100</v>
      </c>
      <c r="T15" s="1574" t="s">
        <v>8</v>
      </c>
      <c r="U15" s="1575">
        <f t="shared" si="1"/>
        <v>100</v>
      </c>
      <c r="V15" s="1574" t="s">
        <v>8</v>
      </c>
      <c r="W15" s="1575">
        <f t="shared" si="2"/>
        <v>100</v>
      </c>
      <c r="X15" s="1568"/>
      <c r="Y15" s="3429" t="s">
        <v>540</v>
      </c>
      <c r="Z15" s="1576" t="str">
        <f t="shared" si="7"/>
        <v>商业繁华度</v>
      </c>
      <c r="AA15" s="1577">
        <f t="shared" si="3"/>
        <v>1</v>
      </c>
      <c r="AB15" s="1577">
        <f t="shared" si="4"/>
        <v>1</v>
      </c>
      <c r="AC15" s="1577">
        <f t="shared" si="5"/>
        <v>1</v>
      </c>
    </row>
    <row r="16" spans="1:29" ht="15">
      <c r="A16" s="532"/>
      <c r="B16" s="869"/>
      <c r="C16" s="576" t="str">
        <f>'比较法-住宅、综合'!C20</f>
        <v>一般</v>
      </c>
      <c r="D16" s="555"/>
      <c r="E16" s="576" t="s">
        <v>3011</v>
      </c>
      <c r="F16" s="557"/>
      <c r="G16" s="576" t="s">
        <v>3011</v>
      </c>
      <c r="H16" s="559"/>
      <c r="I16" s="576" t="s">
        <v>3011</v>
      </c>
      <c r="J16" s="555"/>
      <c r="K16" s="899"/>
      <c r="L16" s="2142"/>
      <c r="M16" s="2134"/>
      <c r="N16" s="2134"/>
      <c r="O16" s="2141"/>
      <c r="P16" s="3430"/>
      <c r="Q16" s="1573"/>
      <c r="R16" s="1574"/>
      <c r="S16" s="1575"/>
      <c r="T16" s="1574"/>
      <c r="U16" s="1575"/>
      <c r="V16" s="1574"/>
      <c r="W16" s="1575"/>
      <c r="X16" s="1568"/>
      <c r="Y16" s="343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f>'比较法-住宅、综合'!K23</f>
        <v>3</v>
      </c>
      <c r="L17" s="2142"/>
      <c r="M17" s="2134"/>
      <c r="N17" s="2134"/>
      <c r="O17" s="2141"/>
      <c r="P17" s="3430"/>
      <c r="Q17" s="1573" t="str">
        <f>B17</f>
        <v>交通便捷度</v>
      </c>
      <c r="R17" s="1574" t="s">
        <v>8</v>
      </c>
      <c r="S17" s="1575">
        <f>F17</f>
        <v>100</v>
      </c>
      <c r="T17" s="1574" t="s">
        <v>8</v>
      </c>
      <c r="U17" s="1575">
        <f>H17</f>
        <v>100</v>
      </c>
      <c r="V17" s="1574" t="s">
        <v>8</v>
      </c>
      <c r="W17" s="1575">
        <f>J17</f>
        <v>100</v>
      </c>
      <c r="X17" s="1568"/>
      <c r="Y17" s="3430"/>
      <c r="Z17" s="1576" t="str">
        <f>Q17</f>
        <v>交通便捷度</v>
      </c>
      <c r="AA17" s="1577">
        <f t="shared" si="3"/>
        <v>1</v>
      </c>
      <c r="AB17" s="1577">
        <f t="shared" si="4"/>
        <v>1</v>
      </c>
      <c r="AC17" s="1577">
        <f t="shared" si="5"/>
        <v>1</v>
      </c>
    </row>
    <row r="18" spans="1:29" ht="15">
      <c r="A18" s="532"/>
      <c r="B18" s="595"/>
      <c r="C18" s="873" t="str">
        <f>'比较法-住宅、综合'!C24</f>
        <v>一般</v>
      </c>
      <c r="D18" s="559"/>
      <c r="E18" s="568" t="s">
        <v>3011</v>
      </c>
      <c r="F18" s="563"/>
      <c r="G18" s="569" t="s">
        <v>3011</v>
      </c>
      <c r="H18" s="555"/>
      <c r="I18" s="568" t="s">
        <v>3011</v>
      </c>
      <c r="J18" s="555"/>
      <c r="K18" s="899"/>
      <c r="L18" s="2142"/>
      <c r="M18" s="2134"/>
      <c r="N18" s="2134"/>
      <c r="O18" s="2141"/>
      <c r="P18" s="3430"/>
      <c r="Q18" s="1573"/>
      <c r="R18" s="1574"/>
      <c r="S18" s="1575"/>
      <c r="T18" s="1574"/>
      <c r="U18" s="1575"/>
      <c r="V18" s="1574"/>
      <c r="W18" s="1575"/>
      <c r="X18" s="1568"/>
      <c r="Y18" s="3430"/>
      <c r="Z18" s="1576"/>
      <c r="AA18" s="1577">
        <v>1</v>
      </c>
      <c r="AB18" s="1577">
        <v>1</v>
      </c>
      <c r="AC18" s="1577">
        <v>1</v>
      </c>
    </row>
    <row r="19" spans="1:29" ht="42.75">
      <c r="A19" s="532"/>
      <c r="B19" s="2624" t="s">
        <v>2546</v>
      </c>
      <c r="C19" s="872" t="str">
        <f>估价对象房地状况!C7</f>
        <v>估价对象所在区域公共配套设施齐备情况</v>
      </c>
      <c r="D19" s="565">
        <v>100</v>
      </c>
      <c r="E19" s="570"/>
      <c r="F19" s="571">
        <f>SUMIF(80:80,E20,81:81)-SUMIF(80:80,C20,81:81)+100</f>
        <v>98</v>
      </c>
      <c r="G19" s="572"/>
      <c r="H19" s="559">
        <f>SUMIF(80:80,G20,81:81)-SUMIF(80:80,C20,81:81)+100</f>
        <v>98</v>
      </c>
      <c r="I19" s="570"/>
      <c r="J19" s="559">
        <f>SUMIF(80:80,I20,81:81)-SUMIF(80:80,C20,81:81)+100</f>
        <v>100</v>
      </c>
      <c r="K19" s="898">
        <f>'比较法-住宅、综合'!K29</f>
        <v>2</v>
      </c>
      <c r="L19" s="2142"/>
      <c r="M19" s="2134"/>
      <c r="N19" s="2134"/>
      <c r="O19" s="2141"/>
      <c r="P19" s="3430"/>
      <c r="Q19" s="1573" t="str">
        <f>B19</f>
        <v>公共配套设施</v>
      </c>
      <c r="R19" s="1574" t="s">
        <v>8</v>
      </c>
      <c r="S19" s="1575">
        <f>F19</f>
        <v>98</v>
      </c>
      <c r="T19" s="1574" t="s">
        <v>8</v>
      </c>
      <c r="U19" s="1575">
        <f>H19</f>
        <v>98</v>
      </c>
      <c r="V19" s="1574" t="s">
        <v>8</v>
      </c>
      <c r="W19" s="1575">
        <f>J19</f>
        <v>100</v>
      </c>
      <c r="X19" s="1568"/>
      <c r="Y19" s="3430"/>
      <c r="Z19" s="1576" t="str">
        <f>Q19</f>
        <v>公共配套设施</v>
      </c>
      <c r="AA19" s="1577">
        <f t="shared" si="3"/>
        <v>1.0204081632653061</v>
      </c>
      <c r="AB19" s="1577">
        <f t="shared" si="4"/>
        <v>1.0204081632653061</v>
      </c>
      <c r="AC19" s="1577">
        <f t="shared" si="5"/>
        <v>1</v>
      </c>
    </row>
    <row r="20" spans="1:29" ht="15">
      <c r="A20" s="532"/>
      <c r="B20" s="595"/>
      <c r="C20" s="576" t="str">
        <f>'比较法-住宅、综合'!C30</f>
        <v>一般</v>
      </c>
      <c r="D20" s="555"/>
      <c r="E20" s="3196" t="str">
        <f>'比较法-住宅、综合'!E30</f>
        <v>较差</v>
      </c>
      <c r="F20" s="557"/>
      <c r="G20" s="3196" t="str">
        <f>'比较法-住宅、综合'!G30</f>
        <v>较差</v>
      </c>
      <c r="H20" s="555"/>
      <c r="I20" s="576" t="str">
        <f>'比较法-住宅、综合'!I30</f>
        <v>一般</v>
      </c>
      <c r="J20" s="555"/>
      <c r="K20" s="899"/>
      <c r="L20" s="2142"/>
      <c r="M20" s="2134"/>
      <c r="N20" s="2134"/>
      <c r="O20" s="2141"/>
      <c r="P20" s="3430"/>
      <c r="Q20" s="1573"/>
      <c r="R20" s="1574"/>
      <c r="S20" s="1575"/>
      <c r="T20" s="1574"/>
      <c r="U20" s="1575"/>
      <c r="V20" s="1574"/>
      <c r="W20" s="1575"/>
      <c r="X20" s="1568"/>
      <c r="Y20" s="3430"/>
      <c r="Z20" s="1576"/>
      <c r="AA20" s="1577">
        <v>1</v>
      </c>
      <c r="AB20" s="1577">
        <v>1</v>
      </c>
      <c r="AC20" s="1577">
        <v>1</v>
      </c>
    </row>
    <row r="21" spans="1:29" ht="28.5">
      <c r="A21" s="532"/>
      <c r="B21" s="261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30"/>
      <c r="Q21" s="2603" t="str">
        <f>B21</f>
        <v>基础设施水平</v>
      </c>
      <c r="R21" s="1574" t="s">
        <v>8</v>
      </c>
      <c r="S21" s="1575">
        <f>F21</f>
        <v>100</v>
      </c>
      <c r="T21" s="1574" t="s">
        <v>8</v>
      </c>
      <c r="U21" s="1575">
        <f>H21</f>
        <v>100</v>
      </c>
      <c r="V21" s="1574" t="s">
        <v>8</v>
      </c>
      <c r="W21" s="1575">
        <f>J21</f>
        <v>100</v>
      </c>
      <c r="X21" s="2605"/>
      <c r="Y21" s="3430"/>
      <c r="Z21" s="2604" t="str">
        <f>Q21</f>
        <v>基础设施水平</v>
      </c>
      <c r="AA21" s="1577">
        <f>D21/F21</f>
        <v>1</v>
      </c>
      <c r="AB21" s="1577">
        <f>D21/H21</f>
        <v>1</v>
      </c>
      <c r="AC21" s="1577">
        <f>D21/J21</f>
        <v>1</v>
      </c>
    </row>
    <row r="22" spans="1:29" ht="15">
      <c r="A22" s="532"/>
      <c r="B22" s="922"/>
      <c r="C22" s="873" t="str">
        <f>'比较法-住宅、综合'!C32</f>
        <v>六通</v>
      </c>
      <c r="D22" s="555"/>
      <c r="E22" s="576" t="s">
        <v>3013</v>
      </c>
      <c r="F22" s="557"/>
      <c r="G22" s="576" t="s">
        <v>3013</v>
      </c>
      <c r="H22" s="555"/>
      <c r="I22" s="576" t="s">
        <v>3013</v>
      </c>
      <c r="J22" s="555"/>
      <c r="K22" s="2626"/>
      <c r="L22" s="2142"/>
      <c r="M22" s="2134"/>
      <c r="N22" s="2134"/>
      <c r="O22" s="2141"/>
      <c r="P22" s="3430"/>
      <c r="Q22" s="2603"/>
      <c r="R22" s="1574"/>
      <c r="S22" s="1575"/>
      <c r="T22" s="1574"/>
      <c r="U22" s="1575"/>
      <c r="V22" s="1574"/>
      <c r="W22" s="1575"/>
      <c r="X22" s="2605"/>
      <c r="Y22" s="3430"/>
      <c r="Z22" s="2604"/>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f>'比较法-住宅、综合'!K27</f>
        <v>3</v>
      </c>
      <c r="L23" s="2142"/>
      <c r="M23" s="2134"/>
      <c r="N23" s="2134"/>
      <c r="O23" s="2141"/>
      <c r="P23" s="3430"/>
      <c r="Q23" s="1573" t="str">
        <f>B23</f>
        <v>自然及人文环境</v>
      </c>
      <c r="R23" s="1574" t="s">
        <v>8</v>
      </c>
      <c r="S23" s="1575">
        <f>F23</f>
        <v>100</v>
      </c>
      <c r="T23" s="1574" t="s">
        <v>8</v>
      </c>
      <c r="U23" s="1575">
        <f>H23</f>
        <v>100</v>
      </c>
      <c r="V23" s="1574" t="s">
        <v>8</v>
      </c>
      <c r="W23" s="1575">
        <f>J23</f>
        <v>100</v>
      </c>
      <c r="X23" s="1568"/>
      <c r="Y23" s="3430"/>
      <c r="Z23" s="1576" t="str">
        <f>Q23</f>
        <v>自然及人文环境</v>
      </c>
      <c r="AA23" s="1577">
        <f t="shared" si="3"/>
        <v>1</v>
      </c>
      <c r="AB23" s="1577">
        <f t="shared" si="4"/>
        <v>1</v>
      </c>
      <c r="AC23" s="1577">
        <f t="shared" si="5"/>
        <v>1</v>
      </c>
    </row>
    <row r="24" spans="1:29" ht="15">
      <c r="A24" s="532"/>
      <c r="B24" s="595"/>
      <c r="C24" s="576" t="str">
        <f>'比较法-住宅、综合'!C28</f>
        <v>好</v>
      </c>
      <c r="D24" s="555"/>
      <c r="E24" s="556" t="s">
        <v>3012</v>
      </c>
      <c r="F24" s="557"/>
      <c r="G24" s="558" t="s">
        <v>3012</v>
      </c>
      <c r="H24" s="555"/>
      <c r="I24" s="556" t="s">
        <v>3012</v>
      </c>
      <c r="J24" s="555"/>
      <c r="K24" s="899"/>
      <c r="L24" s="2142"/>
      <c r="M24" s="2134"/>
      <c r="N24" s="2134"/>
      <c r="O24" s="2141"/>
      <c r="P24" s="3430"/>
      <c r="Q24" s="1573"/>
      <c r="R24" s="1574"/>
      <c r="S24" s="1575"/>
      <c r="T24" s="1574"/>
      <c r="U24" s="1575"/>
      <c r="V24" s="1574"/>
      <c r="W24" s="1575"/>
      <c r="X24" s="1568"/>
      <c r="Y24" s="3430"/>
      <c r="Z24" s="1576"/>
      <c r="AA24" s="1577">
        <v>1</v>
      </c>
      <c r="AB24" s="1577">
        <v>1</v>
      </c>
      <c r="AC24" s="1577">
        <v>1</v>
      </c>
    </row>
    <row r="25" spans="1:29" ht="15" hidden="1">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30"/>
      <c r="Q25" s="1573" t="str">
        <f t="shared" ref="Q25:Q46" si="8">B25</f>
        <v>临街状况</v>
      </c>
      <c r="R25" s="1574" t="s">
        <v>8</v>
      </c>
      <c r="S25" s="1575">
        <f>F25</f>
        <v>100</v>
      </c>
      <c r="T25" s="1574" t="s">
        <v>8</v>
      </c>
      <c r="U25" s="1575">
        <f>H25</f>
        <v>100</v>
      </c>
      <c r="V25" s="1574" t="s">
        <v>8</v>
      </c>
      <c r="W25" s="1575">
        <f>J25</f>
        <v>100</v>
      </c>
      <c r="X25" s="1568"/>
      <c r="Y25" s="3430"/>
      <c r="Z25" s="1576" t="str">
        <f>Q25</f>
        <v>临街状况</v>
      </c>
      <c r="AA25" s="1577">
        <f t="shared" si="3"/>
        <v>1</v>
      </c>
      <c r="AB25" s="1577">
        <f t="shared" si="4"/>
        <v>1</v>
      </c>
      <c r="AC25" s="1577">
        <f t="shared" si="5"/>
        <v>1</v>
      </c>
    </row>
    <row r="26" spans="1:29" ht="15">
      <c r="A26" s="532"/>
      <c r="B26" s="877" t="s">
        <v>758</v>
      </c>
      <c r="C26" s="3194" t="s">
        <v>3114</v>
      </c>
      <c r="D26" s="540">
        <v>100</v>
      </c>
      <c r="E26" s="3194" t="s">
        <v>3141</v>
      </c>
      <c r="F26" s="575">
        <f>SUMIF(88:88,E26,89:89)-SUMIF(88:88,C26,89:89)+100</f>
        <v>100</v>
      </c>
      <c r="G26" s="3194" t="s">
        <v>3141</v>
      </c>
      <c r="H26" s="540">
        <f>SUMIF(88:88,G26,89:89)-SUMIF(88:88,C26,89:89)+100</f>
        <v>100</v>
      </c>
      <c r="I26" s="3194" t="s">
        <v>3141</v>
      </c>
      <c r="J26" s="540">
        <f>SUMIF(88:88,I26,89:89)-SUMIF(88:88,C26,89:89)+100</f>
        <v>100</v>
      </c>
      <c r="K26" s="581"/>
      <c r="L26" s="2142"/>
      <c r="M26" s="2134"/>
      <c r="N26" s="2134"/>
      <c r="O26" s="2141"/>
      <c r="P26" s="3430"/>
      <c r="Q26" s="1573" t="str">
        <f t="shared" si="8"/>
        <v>平面位置/可视性</v>
      </c>
      <c r="R26" s="1574" t="s">
        <v>8</v>
      </c>
      <c r="S26" s="1575">
        <f>F26</f>
        <v>100</v>
      </c>
      <c r="T26" s="1574" t="s">
        <v>8</v>
      </c>
      <c r="U26" s="1575">
        <f>H26</f>
        <v>100</v>
      </c>
      <c r="V26" s="1574" t="s">
        <v>8</v>
      </c>
      <c r="W26" s="1575">
        <f>J26</f>
        <v>100</v>
      </c>
      <c r="X26" s="1568"/>
      <c r="Y26" s="3430"/>
      <c r="Z26" s="1576" t="str">
        <f>Q26</f>
        <v>平面位置/可视性</v>
      </c>
      <c r="AA26" s="1577">
        <f t="shared" si="3"/>
        <v>1</v>
      </c>
      <c r="AB26" s="1577">
        <f t="shared" si="4"/>
        <v>1</v>
      </c>
      <c r="AC26" s="1577">
        <f t="shared" si="5"/>
        <v>1</v>
      </c>
    </row>
    <row r="27" spans="1:29" s="1220" customFormat="1" ht="15">
      <c r="A27" s="536"/>
      <c r="B27" s="871" t="s">
        <v>759</v>
      </c>
      <c r="C27" s="901" t="s">
        <v>3028</v>
      </c>
      <c r="D27" s="875">
        <v>100</v>
      </c>
      <c r="E27" s="901" t="s">
        <v>3028</v>
      </c>
      <c r="F27" s="876">
        <f>SUMIF(90:90,E27,91:91)-SUMIF(90:90,C27,91:91)+100</f>
        <v>100</v>
      </c>
      <c r="G27" s="901" t="s">
        <v>3028</v>
      </c>
      <c r="H27" s="875">
        <f>SUMIF(90:90,G27,91:91)-SUMIF(90:90,C27,91:91)+100</f>
        <v>100</v>
      </c>
      <c r="I27" s="901" t="s">
        <v>3028</v>
      </c>
      <c r="J27" s="875">
        <f>SUMIF(90:90,I27,91:91)-SUMIF(90:90,C27,91:91)+100</f>
        <v>100</v>
      </c>
      <c r="K27" s="584"/>
      <c r="L27" s="2135"/>
      <c r="M27" s="2136"/>
      <c r="N27" s="2136"/>
      <c r="O27" s="2137"/>
      <c r="P27" s="3430"/>
      <c r="Q27" s="1151" t="str">
        <f t="shared" si="8"/>
        <v>人流量</v>
      </c>
      <c r="R27" s="1569" t="s">
        <v>8</v>
      </c>
      <c r="S27" s="1570">
        <f>F27</f>
        <v>100</v>
      </c>
      <c r="T27" s="1569" t="s">
        <v>8</v>
      </c>
      <c r="U27" s="1570">
        <f>H27</f>
        <v>100</v>
      </c>
      <c r="V27" s="1569" t="s">
        <v>8</v>
      </c>
      <c r="W27" s="1570">
        <f>J27</f>
        <v>100</v>
      </c>
      <c r="X27" s="1571"/>
      <c r="Y27" s="3430"/>
      <c r="Z27" s="1150" t="str">
        <f>Q27</f>
        <v>人流量</v>
      </c>
      <c r="AA27" s="1577">
        <f>D27/F27</f>
        <v>1</v>
      </c>
      <c r="AB27" s="1577">
        <f>D27/H27</f>
        <v>1</v>
      </c>
      <c r="AC27" s="1577">
        <f>D27/J27</f>
        <v>1</v>
      </c>
    </row>
    <row r="28" spans="1:29" ht="15.75" thickBot="1">
      <c r="A28" s="532"/>
      <c r="B28" s="527" t="s">
        <v>761</v>
      </c>
      <c r="C28" s="583" t="s">
        <v>3140</v>
      </c>
      <c r="D28" s="540">
        <v>100</v>
      </c>
      <c r="E28" s="583" t="s">
        <v>3140</v>
      </c>
      <c r="F28" s="575">
        <f>SUMIF(92:92,E28,93:93)-SUMIF(92:92,C28,93:93)+100</f>
        <v>100</v>
      </c>
      <c r="G28" s="583" t="s">
        <v>3140</v>
      </c>
      <c r="H28" s="540">
        <f>SUMIF(92:92,G28,93:93)-SUMIF(92:92,C28,93:93)+100</f>
        <v>100</v>
      </c>
      <c r="I28" s="583" t="s">
        <v>3140</v>
      </c>
      <c r="J28" s="540">
        <f>SUMIF(92:92,I28,93:93)-SUMIF(92:92,C28,93:93)+100</f>
        <v>100</v>
      </c>
      <c r="K28" s="581"/>
      <c r="L28" s="2142"/>
      <c r="M28" s="2134"/>
      <c r="N28" s="2134"/>
      <c r="O28" s="2141"/>
      <c r="P28" s="3430"/>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430"/>
      <c r="Z28" s="1576" t="str">
        <f t="shared" ref="Z28:Z46" si="12">Q28</f>
        <v>楼层</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30"/>
      <c r="Q29" s="1573">
        <f t="shared" si="8"/>
        <v>111</v>
      </c>
      <c r="R29" s="1574" t="s">
        <v>8</v>
      </c>
      <c r="S29" s="1575">
        <f t="shared" si="9"/>
        <v>100</v>
      </c>
      <c r="T29" s="1574" t="s">
        <v>8</v>
      </c>
      <c r="U29" s="1575">
        <f t="shared" si="10"/>
        <v>100</v>
      </c>
      <c r="V29" s="1574" t="s">
        <v>8</v>
      </c>
      <c r="W29" s="1575">
        <f t="shared" si="11"/>
        <v>100</v>
      </c>
      <c r="X29" s="1568"/>
      <c r="Y29" s="3430"/>
      <c r="Z29" s="1576">
        <f t="shared" si="12"/>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30"/>
      <c r="Q30" s="1573">
        <f t="shared" si="8"/>
        <v>111</v>
      </c>
      <c r="R30" s="1574" t="s">
        <v>8</v>
      </c>
      <c r="S30" s="1575">
        <f t="shared" si="9"/>
        <v>100</v>
      </c>
      <c r="T30" s="1574" t="s">
        <v>8</v>
      </c>
      <c r="U30" s="1575">
        <f t="shared" si="10"/>
        <v>100</v>
      </c>
      <c r="V30" s="1574" t="s">
        <v>8</v>
      </c>
      <c r="W30" s="1575">
        <f t="shared" si="11"/>
        <v>100</v>
      </c>
      <c r="X30" s="1568"/>
      <c r="Y30" s="3430"/>
      <c r="Z30" s="1576">
        <f t="shared" si="12"/>
        <v>111</v>
      </c>
      <c r="AA30" s="1577">
        <f t="shared" si="3"/>
        <v>1</v>
      </c>
      <c r="AB30" s="1577">
        <f t="shared" si="4"/>
        <v>1</v>
      </c>
      <c r="AC30" s="1577">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30"/>
      <c r="Q31" s="1573">
        <f t="shared" si="8"/>
        <v>111</v>
      </c>
      <c r="R31" s="1574" t="s">
        <v>8</v>
      </c>
      <c r="S31" s="1575">
        <f t="shared" si="9"/>
        <v>100</v>
      </c>
      <c r="T31" s="1574" t="s">
        <v>8</v>
      </c>
      <c r="U31" s="1575">
        <f t="shared" si="10"/>
        <v>100</v>
      </c>
      <c r="V31" s="1574" t="s">
        <v>8</v>
      </c>
      <c r="W31" s="1575">
        <f t="shared" si="11"/>
        <v>100</v>
      </c>
      <c r="X31" s="1568"/>
      <c r="Y31" s="3430"/>
      <c r="Z31" s="1576">
        <f t="shared" si="12"/>
        <v>111</v>
      </c>
      <c r="AA31" s="1577">
        <f t="shared" si="3"/>
        <v>1</v>
      </c>
      <c r="AB31" s="1577">
        <f t="shared" si="4"/>
        <v>1</v>
      </c>
      <c r="AC31" s="1577">
        <f t="shared" si="5"/>
        <v>1</v>
      </c>
    </row>
    <row r="32" spans="1:29" ht="15">
      <c r="A32" s="2931" t="s">
        <v>2755</v>
      </c>
      <c r="B32" s="172" t="s">
        <v>762</v>
      </c>
      <c r="C32" s="878" t="s">
        <v>3135</v>
      </c>
      <c r="D32" s="597">
        <v>100</v>
      </c>
      <c r="E32" s="878" t="s">
        <v>3135</v>
      </c>
      <c r="F32" s="575">
        <f>SUMIF(100:100,E32,101:101)-SUMIF(100:100,C32,101:101)+100</f>
        <v>100</v>
      </c>
      <c r="G32" s="878" t="s">
        <v>3135</v>
      </c>
      <c r="H32" s="540">
        <f>SUMIF(100:100,G32,101:101)-SUMIF(100:100,C32,101:101)+100</f>
        <v>100</v>
      </c>
      <c r="I32" s="878" t="s">
        <v>3135</v>
      </c>
      <c r="J32" s="597">
        <f>SUMIF(100:100,I32,101:101)-SUMIF(100:100,C32,101:101)+100</f>
        <v>100</v>
      </c>
      <c r="K32" s="584"/>
      <c r="L32" s="2142"/>
      <c r="M32" s="2134"/>
      <c r="N32" s="2134"/>
      <c r="O32" s="2141"/>
      <c r="P32" s="3431" t="s">
        <v>550</v>
      </c>
      <c r="Q32" s="1573" t="str">
        <f t="shared" si="8"/>
        <v>商业类型</v>
      </c>
      <c r="R32" s="1574" t="s">
        <v>8</v>
      </c>
      <c r="S32" s="1575">
        <f t="shared" si="9"/>
        <v>100</v>
      </c>
      <c r="T32" s="1574" t="s">
        <v>8</v>
      </c>
      <c r="U32" s="1575">
        <f t="shared" si="10"/>
        <v>100</v>
      </c>
      <c r="V32" s="1574" t="s">
        <v>8</v>
      </c>
      <c r="W32" s="1575">
        <f t="shared" si="11"/>
        <v>100</v>
      </c>
      <c r="X32" s="1568"/>
      <c r="Y32" s="3432" t="s">
        <v>550</v>
      </c>
      <c r="Z32" s="1576" t="str">
        <f t="shared" si="12"/>
        <v>商业类型</v>
      </c>
      <c r="AA32" s="1577">
        <f t="shared" si="3"/>
        <v>1</v>
      </c>
      <c r="AB32" s="1577">
        <f t="shared" si="4"/>
        <v>1</v>
      </c>
      <c r="AC32" s="1577">
        <f t="shared" si="5"/>
        <v>1</v>
      </c>
    </row>
    <row r="33" spans="1:29" s="1339" customFormat="1" ht="15">
      <c r="A33" s="603"/>
      <c r="B33" s="527" t="s">
        <v>726</v>
      </c>
      <c r="C33" s="880">
        <f>'不动产比较法-住宅'!C33</f>
        <v>877761</v>
      </c>
      <c r="D33" s="255">
        <v>100</v>
      </c>
      <c r="E33" s="534">
        <v>66820</v>
      </c>
      <c r="F33" s="863">
        <f>LOOKUP(E33,103:103,104:104)-LOOKUP(C33,103:103,104:104)+100</f>
        <v>95</v>
      </c>
      <c r="G33" s="533">
        <v>362797</v>
      </c>
      <c r="H33" s="255">
        <f>LOOKUP(G33,103:103,104:104)-LOOKUP(C33,103:103,104:104)+100</f>
        <v>98</v>
      </c>
      <c r="I33" s="533">
        <v>407514</v>
      </c>
      <c r="J33" s="255">
        <f>LOOKUP(I33,103:103,104:104)-LOOKUP(C33,103:103,104:104)+100</f>
        <v>99</v>
      </c>
      <c r="K33" s="581"/>
      <c r="L33" s="2140"/>
      <c r="M33" s="2171"/>
      <c r="N33" s="2171"/>
      <c r="O33" s="2143"/>
      <c r="P33" s="3432"/>
      <c r="Q33" s="1606" t="str">
        <f t="shared" si="8"/>
        <v>项目建筑规模</v>
      </c>
      <c r="R33" s="1578" t="s">
        <v>8</v>
      </c>
      <c r="S33" s="1579">
        <f t="shared" si="9"/>
        <v>95</v>
      </c>
      <c r="T33" s="1578" t="s">
        <v>8</v>
      </c>
      <c r="U33" s="1579">
        <f t="shared" si="10"/>
        <v>98</v>
      </c>
      <c r="V33" s="1578" t="s">
        <v>8</v>
      </c>
      <c r="W33" s="1579">
        <f t="shared" si="11"/>
        <v>99</v>
      </c>
      <c r="X33" s="1580"/>
      <c r="Y33" s="3432"/>
      <c r="Z33" s="1581" t="str">
        <f t="shared" si="12"/>
        <v>项目建筑规模</v>
      </c>
      <c r="AA33" s="1577">
        <f t="shared" si="3"/>
        <v>1.0526315789473684</v>
      </c>
      <c r="AB33" s="1577">
        <f t="shared" si="4"/>
        <v>1.0204081632653061</v>
      </c>
      <c r="AC33" s="1577">
        <f t="shared" si="5"/>
        <v>1.0101010101010102</v>
      </c>
    </row>
    <row r="34" spans="1:29" ht="15">
      <c r="A34" s="594"/>
      <c r="B34" s="527" t="s">
        <v>727</v>
      </c>
      <c r="C34" s="881" t="s">
        <v>3044</v>
      </c>
      <c r="D34" s="540">
        <v>100</v>
      </c>
      <c r="E34" s="882" t="s">
        <v>3044</v>
      </c>
      <c r="F34" s="575">
        <f>SUMIF(105:105,E34,106:106)-SUMIF(105:105,C34,106:106)+100</f>
        <v>100</v>
      </c>
      <c r="G34" s="881" t="s">
        <v>3044</v>
      </c>
      <c r="H34" s="540">
        <f>SUMIF(105:105,G34,106:106)-SUMIF(105:105,C34,106:106)+100</f>
        <v>100</v>
      </c>
      <c r="I34" s="881" t="s">
        <v>3044</v>
      </c>
      <c r="J34" s="540">
        <f>SUMIF(105:105,I34,106:106)-SUMIF(105:105,C34,106:106)+100</f>
        <v>100</v>
      </c>
      <c r="K34" s="584"/>
      <c r="L34" s="2142"/>
      <c r="M34" s="2134"/>
      <c r="N34" s="2134"/>
      <c r="O34" s="2141"/>
      <c r="P34" s="3432"/>
      <c r="Q34" s="1573" t="str">
        <f t="shared" si="8"/>
        <v>建筑结构</v>
      </c>
      <c r="R34" s="1574" t="s">
        <v>8</v>
      </c>
      <c r="S34" s="1575">
        <f t="shared" si="9"/>
        <v>100</v>
      </c>
      <c r="T34" s="1574" t="s">
        <v>8</v>
      </c>
      <c r="U34" s="1575">
        <f t="shared" si="10"/>
        <v>100</v>
      </c>
      <c r="V34" s="1574" t="s">
        <v>8</v>
      </c>
      <c r="W34" s="1575">
        <f t="shared" si="11"/>
        <v>100</v>
      </c>
      <c r="X34" s="1568"/>
      <c r="Y34" s="3432"/>
      <c r="Z34" s="1576" t="str">
        <f t="shared" si="12"/>
        <v>建筑结构</v>
      </c>
      <c r="AA34" s="1577">
        <f t="shared" si="3"/>
        <v>1</v>
      </c>
      <c r="AB34" s="1577">
        <f t="shared" si="4"/>
        <v>1</v>
      </c>
      <c r="AC34" s="1577">
        <f t="shared" si="5"/>
        <v>1</v>
      </c>
    </row>
    <row r="35" spans="1:29" ht="15">
      <c r="A35" s="594"/>
      <c r="B35" s="527" t="s">
        <v>763</v>
      </c>
      <c r="C35" s="599" t="s">
        <v>3084</v>
      </c>
      <c r="D35" s="540">
        <v>100</v>
      </c>
      <c r="E35" s="599" t="s">
        <v>3084</v>
      </c>
      <c r="F35" s="575">
        <f>SUMIF(107:107,E35,108:108)-SUMIF(107:107,C35,108:108)+100</f>
        <v>100</v>
      </c>
      <c r="G35" s="599" t="s">
        <v>3084</v>
      </c>
      <c r="H35" s="540">
        <f>SUMIF(107:107,G35,108:108)-SUMIF(107:107,C35,108:108)+100</f>
        <v>100</v>
      </c>
      <c r="I35" s="599" t="s">
        <v>3084</v>
      </c>
      <c r="J35" s="540">
        <f>SUMIF(107:107,I35,108:108)-SUMIF(107:107,C35,108:108)+100</f>
        <v>100</v>
      </c>
      <c r="K35" s="584"/>
      <c r="L35" s="2142"/>
      <c r="M35" s="2134"/>
      <c r="N35" s="2134"/>
      <c r="O35" s="2141"/>
      <c r="P35" s="3432"/>
      <c r="Q35" s="1573" t="str">
        <f t="shared" si="8"/>
        <v>公共部分装修</v>
      </c>
      <c r="R35" s="1574" t="s">
        <v>8</v>
      </c>
      <c r="S35" s="1575">
        <f t="shared" si="9"/>
        <v>100</v>
      </c>
      <c r="T35" s="1574" t="s">
        <v>8</v>
      </c>
      <c r="U35" s="1575">
        <f t="shared" si="10"/>
        <v>100</v>
      </c>
      <c r="V35" s="1574" t="s">
        <v>8</v>
      </c>
      <c r="W35" s="1575">
        <f t="shared" si="11"/>
        <v>100</v>
      </c>
      <c r="X35" s="1568"/>
      <c r="Y35" s="3432"/>
      <c r="Z35" s="1576" t="str">
        <f t="shared" si="12"/>
        <v>公共部分装修</v>
      </c>
      <c r="AA35" s="1577">
        <f t="shared" si="3"/>
        <v>1</v>
      </c>
      <c r="AB35" s="1577">
        <f t="shared" si="4"/>
        <v>1</v>
      </c>
      <c r="AC35" s="1577">
        <f t="shared" si="5"/>
        <v>1</v>
      </c>
    </row>
    <row r="36" spans="1:29" ht="15" hidden="1">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432"/>
      <c r="Q36" s="1573" t="str">
        <f t="shared" si="8"/>
        <v>成新度</v>
      </c>
      <c r="R36" s="1574" t="s">
        <v>8</v>
      </c>
      <c r="S36" s="1575">
        <f t="shared" si="9"/>
        <v>100</v>
      </c>
      <c r="T36" s="1574" t="s">
        <v>8</v>
      </c>
      <c r="U36" s="1575">
        <f t="shared" si="10"/>
        <v>100</v>
      </c>
      <c r="V36" s="1574" t="s">
        <v>8</v>
      </c>
      <c r="W36" s="1575">
        <f t="shared" si="11"/>
        <v>100</v>
      </c>
      <c r="X36" s="1568"/>
      <c r="Y36" s="3432"/>
      <c r="Z36" s="1576" t="str">
        <f t="shared" si="12"/>
        <v>成新度</v>
      </c>
      <c r="AA36" s="1577">
        <f t="shared" si="3"/>
        <v>1</v>
      </c>
      <c r="AB36" s="1577">
        <f t="shared" si="4"/>
        <v>1</v>
      </c>
      <c r="AC36" s="1577">
        <f t="shared" si="5"/>
        <v>1</v>
      </c>
    </row>
    <row r="37" spans="1:29" s="1220" customFormat="1" ht="15">
      <c r="A37" s="600"/>
      <c r="B37" s="1895" t="s">
        <v>2565</v>
      </c>
      <c r="C37" s="599" t="s">
        <v>3013</v>
      </c>
      <c r="D37" s="255">
        <v>100</v>
      </c>
      <c r="E37" s="599" t="s">
        <v>3013</v>
      </c>
      <c r="F37" s="575">
        <f>SUMIF(112:112,E37,113:113)-SUMIF(112:112,C37,113:113)+100</f>
        <v>100</v>
      </c>
      <c r="G37" s="599" t="s">
        <v>3013</v>
      </c>
      <c r="H37" s="540">
        <f>SUMIF(112:112,G37,113:113)-SUMIF(112:112,C37,113:113)+100</f>
        <v>100</v>
      </c>
      <c r="I37" s="599" t="s">
        <v>3013</v>
      </c>
      <c r="J37" s="540">
        <f>SUMIF(112:112,I37,113:113)-SUMIF(112:112,C37,113:113)+100</f>
        <v>100</v>
      </c>
      <c r="K37" s="584"/>
      <c r="L37" s="2135"/>
      <c r="M37" s="2136"/>
      <c r="N37" s="2136"/>
      <c r="O37" s="2137"/>
      <c r="P37" s="3432"/>
      <c r="Q37" s="1151" t="str">
        <f t="shared" si="8"/>
        <v>市政基础设施</v>
      </c>
      <c r="R37" s="1569" t="s">
        <v>8</v>
      </c>
      <c r="S37" s="1570">
        <f t="shared" si="9"/>
        <v>100</v>
      </c>
      <c r="T37" s="1569" t="s">
        <v>8</v>
      </c>
      <c r="U37" s="1570">
        <f t="shared" si="10"/>
        <v>100</v>
      </c>
      <c r="V37" s="1569" t="s">
        <v>8</v>
      </c>
      <c r="W37" s="1570">
        <f t="shared" si="11"/>
        <v>100</v>
      </c>
      <c r="X37" s="1571"/>
      <c r="Y37" s="3432"/>
      <c r="Z37" s="1150" t="str">
        <f t="shared" si="12"/>
        <v>市政基础设施</v>
      </c>
      <c r="AA37" s="1572">
        <f t="shared" si="3"/>
        <v>1</v>
      </c>
      <c r="AB37" s="1572">
        <f t="shared" si="4"/>
        <v>1</v>
      </c>
      <c r="AC37" s="1572">
        <f t="shared" si="5"/>
        <v>1</v>
      </c>
    </row>
    <row r="38" spans="1:29" ht="15" hidden="1">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32" t="s">
        <v>766</v>
      </c>
      <c r="Q38" s="1573" t="str">
        <f t="shared" si="8"/>
        <v>业态</v>
      </c>
      <c r="R38" s="1574" t="s">
        <v>8</v>
      </c>
      <c r="S38" s="1575">
        <f t="shared" si="9"/>
        <v>100</v>
      </c>
      <c r="T38" s="1574" t="s">
        <v>8</v>
      </c>
      <c r="U38" s="1575">
        <f t="shared" si="10"/>
        <v>100</v>
      </c>
      <c r="V38" s="1574" t="s">
        <v>8</v>
      </c>
      <c r="W38" s="1575">
        <f t="shared" si="11"/>
        <v>100</v>
      </c>
      <c r="X38" s="1568"/>
      <c r="Y38" s="3432" t="s">
        <v>766</v>
      </c>
      <c r="Z38" s="1576" t="str">
        <f t="shared" si="12"/>
        <v>业态</v>
      </c>
      <c r="AA38" s="1577">
        <f t="shared" si="3"/>
        <v>1</v>
      </c>
      <c r="AB38" s="1577">
        <f t="shared" si="4"/>
        <v>1</v>
      </c>
      <c r="AC38" s="1577">
        <f t="shared" si="5"/>
        <v>1</v>
      </c>
    </row>
    <row r="39" spans="1:29" ht="15">
      <c r="A39" s="594"/>
      <c r="B39" s="527" t="s">
        <v>767</v>
      </c>
      <c r="C39" s="599" t="s">
        <v>3138</v>
      </c>
      <c r="D39" s="540">
        <v>100</v>
      </c>
      <c r="E39" s="599" t="s">
        <v>3138</v>
      </c>
      <c r="F39" s="575">
        <f>SUMIF(116:116,E39,117:117)-SUMIF(116:116,C39,117:117)+100</f>
        <v>100</v>
      </c>
      <c r="G39" s="599" t="s">
        <v>3138</v>
      </c>
      <c r="H39" s="540">
        <f>SUMIF(116:116,G39,117:117)-SUMIF(116:116,C39,117:117)+100</f>
        <v>100</v>
      </c>
      <c r="I39" s="599" t="s">
        <v>3138</v>
      </c>
      <c r="J39" s="540">
        <f>SUMIF(116:116,I39,117:117)-SUMIF(116:116,C39,117:117)+100</f>
        <v>100</v>
      </c>
      <c r="K39" s="584"/>
      <c r="L39" s="2142"/>
      <c r="M39" s="2134"/>
      <c r="N39" s="2134"/>
      <c r="O39" s="2141"/>
      <c r="P39" s="3432"/>
      <c r="Q39" s="1573" t="str">
        <f t="shared" si="8"/>
        <v>层高</v>
      </c>
      <c r="R39" s="1574" t="s">
        <v>8</v>
      </c>
      <c r="S39" s="1575">
        <f t="shared" si="9"/>
        <v>100</v>
      </c>
      <c r="T39" s="1574" t="s">
        <v>8</v>
      </c>
      <c r="U39" s="1575">
        <f t="shared" si="10"/>
        <v>100</v>
      </c>
      <c r="V39" s="1574" t="s">
        <v>8</v>
      </c>
      <c r="W39" s="1575">
        <f t="shared" si="11"/>
        <v>100</v>
      </c>
      <c r="X39" s="1568"/>
      <c r="Y39" s="3432"/>
      <c r="Z39" s="1576" t="str">
        <f t="shared" si="12"/>
        <v>层高</v>
      </c>
      <c r="AA39" s="1577">
        <f t="shared" si="3"/>
        <v>1</v>
      </c>
      <c r="AB39" s="1577">
        <f t="shared" si="4"/>
        <v>1</v>
      </c>
      <c r="AC39" s="1577">
        <f t="shared" si="5"/>
        <v>1</v>
      </c>
    </row>
    <row r="40" spans="1:29" ht="15" hidden="1">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32"/>
      <c r="Q40" s="1573" t="str">
        <f t="shared" si="8"/>
        <v>单套建筑面积</v>
      </c>
      <c r="R40" s="1574" t="s">
        <v>8</v>
      </c>
      <c r="S40" s="1575">
        <f t="shared" si="9"/>
        <v>100</v>
      </c>
      <c r="T40" s="1574" t="s">
        <v>8</v>
      </c>
      <c r="U40" s="1575">
        <f t="shared" si="10"/>
        <v>100</v>
      </c>
      <c r="V40" s="1574" t="s">
        <v>8</v>
      </c>
      <c r="W40" s="1575">
        <f t="shared" si="11"/>
        <v>100</v>
      </c>
      <c r="X40" s="1568"/>
      <c r="Y40" s="3432"/>
      <c r="Z40" s="1576" t="str">
        <f t="shared" si="12"/>
        <v>单套建筑面积</v>
      </c>
      <c r="AA40" s="1577">
        <f t="shared" si="3"/>
        <v>1</v>
      </c>
      <c r="AB40" s="1577">
        <f t="shared" si="4"/>
        <v>1</v>
      </c>
      <c r="AC40" s="1577">
        <f t="shared" si="5"/>
        <v>1</v>
      </c>
    </row>
    <row r="41" spans="1:29" s="1339" customFormat="1" ht="15" hidden="1">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32"/>
      <c r="Q41" s="1606" t="str">
        <f t="shared" si="8"/>
        <v>进深比</v>
      </c>
      <c r="R41" s="1578" t="s">
        <v>8</v>
      </c>
      <c r="S41" s="1579">
        <f t="shared" si="9"/>
        <v>100</v>
      </c>
      <c r="T41" s="1578" t="s">
        <v>8</v>
      </c>
      <c r="U41" s="1579">
        <f t="shared" si="10"/>
        <v>100</v>
      </c>
      <c r="V41" s="1578" t="s">
        <v>8</v>
      </c>
      <c r="W41" s="1579">
        <f t="shared" si="11"/>
        <v>100</v>
      </c>
      <c r="X41" s="1580"/>
      <c r="Y41" s="3432"/>
      <c r="Z41" s="1581" t="str">
        <f t="shared" si="12"/>
        <v>进深比</v>
      </c>
      <c r="AA41" s="1577">
        <f t="shared" si="3"/>
        <v>1</v>
      </c>
      <c r="AB41" s="1577">
        <f t="shared" si="4"/>
        <v>1</v>
      </c>
      <c r="AC41" s="1577">
        <f t="shared" si="5"/>
        <v>1</v>
      </c>
    </row>
    <row r="42" spans="1:29" ht="15.75" thickBot="1">
      <c r="A42" s="594"/>
      <c r="B42" s="527" t="s">
        <v>770</v>
      </c>
      <c r="C42" s="599" t="s">
        <v>3087</v>
      </c>
      <c r="D42" s="540">
        <v>100</v>
      </c>
      <c r="E42" s="599" t="s">
        <v>3087</v>
      </c>
      <c r="F42" s="575">
        <f>SUMIF(122:122,E42,123:123)-SUMIF(122:122,C42,123:123)+100</f>
        <v>100</v>
      </c>
      <c r="G42" s="599" t="s">
        <v>3087</v>
      </c>
      <c r="H42" s="540">
        <f>SUMIF(122:122,G42,123:123)-SUMIF(122:122,C42,123:123)+100</f>
        <v>100</v>
      </c>
      <c r="I42" s="599" t="s">
        <v>3087</v>
      </c>
      <c r="J42" s="540">
        <f>SUMIF(122:122,I42,123:123)-SUMIF(122:122,C42,123:123)+100</f>
        <v>100</v>
      </c>
      <c r="K42" s="584"/>
      <c r="L42" s="2142"/>
      <c r="M42" s="2134"/>
      <c r="N42" s="2134"/>
      <c r="O42" s="2141"/>
      <c r="P42" s="3432"/>
      <c r="Q42" s="1573" t="str">
        <f t="shared" si="8"/>
        <v>内部装修</v>
      </c>
      <c r="R42" s="1574" t="s">
        <v>8</v>
      </c>
      <c r="S42" s="1575">
        <f t="shared" si="9"/>
        <v>100</v>
      </c>
      <c r="T42" s="1574" t="s">
        <v>8</v>
      </c>
      <c r="U42" s="1575">
        <f t="shared" si="10"/>
        <v>100</v>
      </c>
      <c r="V42" s="1574" t="s">
        <v>8</v>
      </c>
      <c r="W42" s="1575">
        <f t="shared" si="11"/>
        <v>100</v>
      </c>
      <c r="X42" s="1568"/>
      <c r="Y42" s="3432"/>
      <c r="Z42" s="1576" t="str">
        <f t="shared" si="12"/>
        <v>内部装修</v>
      </c>
      <c r="AA42" s="1577">
        <f t="shared" si="3"/>
        <v>1</v>
      </c>
      <c r="AB42" s="1577">
        <f t="shared" si="4"/>
        <v>1</v>
      </c>
      <c r="AC42" s="1577">
        <f t="shared" si="5"/>
        <v>1</v>
      </c>
    </row>
    <row r="43" spans="1:29" ht="27" hidden="1">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32"/>
      <c r="Q43" s="1573" t="str">
        <f t="shared" si="8"/>
        <v>内部装修维护情况</v>
      </c>
      <c r="R43" s="1574" t="s">
        <v>8</v>
      </c>
      <c r="S43" s="1575">
        <f t="shared" si="9"/>
        <v>100</v>
      </c>
      <c r="T43" s="1574" t="s">
        <v>8</v>
      </c>
      <c r="U43" s="1575">
        <f t="shared" si="10"/>
        <v>100</v>
      </c>
      <c r="V43" s="1574" t="s">
        <v>8</v>
      </c>
      <c r="W43" s="1575">
        <f t="shared" si="11"/>
        <v>100</v>
      </c>
      <c r="X43" s="1568"/>
      <c r="Y43" s="3432"/>
      <c r="Z43" s="1576" t="str">
        <f t="shared" si="12"/>
        <v>内部装修维护情况</v>
      </c>
      <c r="AA43" s="1577">
        <f t="shared" si="3"/>
        <v>1</v>
      </c>
      <c r="AB43" s="1577">
        <f t="shared" si="4"/>
        <v>1</v>
      </c>
      <c r="AC43" s="1577">
        <f t="shared" si="5"/>
        <v>1</v>
      </c>
    </row>
    <row r="44" spans="1:29" s="1220"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32"/>
      <c r="Q44" s="1151">
        <f t="shared" si="8"/>
        <v>111</v>
      </c>
      <c r="R44" s="1569" t="s">
        <v>8</v>
      </c>
      <c r="S44" s="1570">
        <f t="shared" si="9"/>
        <v>100</v>
      </c>
      <c r="T44" s="1569" t="s">
        <v>8</v>
      </c>
      <c r="U44" s="1570">
        <f t="shared" si="10"/>
        <v>100</v>
      </c>
      <c r="V44" s="1569" t="s">
        <v>8</v>
      </c>
      <c r="W44" s="1570">
        <f t="shared" si="11"/>
        <v>100</v>
      </c>
      <c r="X44" s="1571"/>
      <c r="Y44" s="3432"/>
      <c r="Z44" s="1150">
        <f t="shared" si="12"/>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32"/>
      <c r="Q45" s="1573">
        <f t="shared" si="8"/>
        <v>111</v>
      </c>
      <c r="R45" s="1574" t="s">
        <v>8</v>
      </c>
      <c r="S45" s="1575">
        <f t="shared" si="9"/>
        <v>100</v>
      </c>
      <c r="T45" s="1574" t="s">
        <v>8</v>
      </c>
      <c r="U45" s="1575">
        <f t="shared" si="10"/>
        <v>100</v>
      </c>
      <c r="V45" s="1574" t="s">
        <v>8</v>
      </c>
      <c r="W45" s="1575">
        <f t="shared" si="11"/>
        <v>100</v>
      </c>
      <c r="X45" s="1568"/>
      <c r="Y45" s="3432"/>
      <c r="Z45" s="1576">
        <f t="shared" si="12"/>
        <v>111</v>
      </c>
      <c r="AA45" s="1577">
        <f t="shared" si="3"/>
        <v>1</v>
      </c>
      <c r="AB45" s="1577">
        <f t="shared" si="4"/>
        <v>1</v>
      </c>
      <c r="AC45" s="1577">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31"/>
      <c r="Q46" s="1573">
        <f t="shared" si="8"/>
        <v>111</v>
      </c>
      <c r="R46" s="1574" t="s">
        <v>8</v>
      </c>
      <c r="S46" s="1575">
        <f t="shared" si="9"/>
        <v>100</v>
      </c>
      <c r="T46" s="1574" t="s">
        <v>8</v>
      </c>
      <c r="U46" s="1575">
        <f t="shared" si="10"/>
        <v>100</v>
      </c>
      <c r="V46" s="1574" t="s">
        <v>8</v>
      </c>
      <c r="W46" s="1575">
        <f t="shared" si="11"/>
        <v>100</v>
      </c>
      <c r="X46" s="1568"/>
      <c r="Y46" s="3531"/>
      <c r="Z46" s="1576">
        <f t="shared" si="12"/>
        <v>111</v>
      </c>
      <c r="AA46" s="1577">
        <f t="shared" si="3"/>
        <v>1</v>
      </c>
      <c r="AB46" s="1577">
        <f t="shared" si="4"/>
        <v>1</v>
      </c>
      <c r="AC46" s="1577">
        <f t="shared" si="5"/>
        <v>1</v>
      </c>
    </row>
    <row r="47" spans="1:29" ht="15">
      <c r="A47" s="607" t="s">
        <v>736</v>
      </c>
      <c r="B47" s="887"/>
      <c r="C47" s="2651" t="s">
        <v>1</v>
      </c>
      <c r="D47" s="2652"/>
      <c r="E47" s="2653">
        <f>ROUND(35000*0.97,0)</f>
        <v>33950</v>
      </c>
      <c r="F47" s="2654"/>
      <c r="G47" s="2655">
        <f>ROUND(32500*0.98,0)</f>
        <v>31850</v>
      </c>
      <c r="H47" s="2656"/>
      <c r="I47" s="2653">
        <f>ROUND(35000*0.95,0)</f>
        <v>33250</v>
      </c>
      <c r="J47" s="2656"/>
      <c r="K47" s="1612"/>
      <c r="L47" s="2144"/>
      <c r="M47" s="2145"/>
      <c r="N47" s="2134"/>
      <c r="O47" s="2145"/>
      <c r="P47" s="3427" t="str">
        <f>A47</f>
        <v>成交单价（元/平方米）</v>
      </c>
      <c r="Q47" s="3427"/>
      <c r="R47" s="3530">
        <f>E47</f>
        <v>33950</v>
      </c>
      <c r="S47" s="3530"/>
      <c r="T47" s="3530">
        <f>G47</f>
        <v>31850</v>
      </c>
      <c r="U47" s="3530"/>
      <c r="V47" s="3530">
        <f>I47</f>
        <v>33250</v>
      </c>
      <c r="W47" s="3530"/>
      <c r="X47" s="1560"/>
      <c r="Y47" s="1582"/>
      <c r="Z47" s="1560"/>
      <c r="AA47" s="1560"/>
      <c r="AB47" s="1560"/>
      <c r="AC47" s="1560"/>
    </row>
    <row r="48" spans="1:29" ht="15.75" thickBot="1">
      <c r="A48" s="615" t="s">
        <v>2760</v>
      </c>
      <c r="B48" s="888"/>
      <c r="C48" s="2657">
        <f>R49</f>
        <v>32123</v>
      </c>
      <c r="D48" s="2658"/>
      <c r="E48" s="2659">
        <f>R48</f>
        <v>33718</v>
      </c>
      <c r="F48" s="2659"/>
      <c r="G48" s="2657">
        <f>T48</f>
        <v>30664</v>
      </c>
      <c r="H48" s="2658"/>
      <c r="I48" s="2659">
        <f>V48</f>
        <v>31987</v>
      </c>
      <c r="J48" s="2658"/>
      <c r="K48" s="1613"/>
      <c r="L48" s="2144"/>
      <c r="M48" s="2145"/>
      <c r="N48" s="2134"/>
      <c r="O48" s="2145"/>
      <c r="P48" s="3427" t="str">
        <f>A48</f>
        <v>比较价格（元/平方米）</v>
      </c>
      <c r="Q48" s="3427"/>
      <c r="R48" s="3530">
        <f>IF(F1="售价",ROUND(PRODUCT(R47,AA7:AA46),0),ROUND(PRODUCT(R47,AA7:AA46),1))</f>
        <v>33718</v>
      </c>
      <c r="S48" s="3530"/>
      <c r="T48" s="3530">
        <f>IF(F1="售价",ROUND(PRODUCT(T47,AB7:AB46),0),ROUND(PRODUCT(T47,AB7:AB46),1))</f>
        <v>30664</v>
      </c>
      <c r="U48" s="3530"/>
      <c r="V48" s="3530">
        <f>IF(F1="售价",ROUND(PRODUCT(V47,AC7:AC46),0),ROUND(PRODUCT(V47,AC7:AC46),1))</f>
        <v>31987</v>
      </c>
      <c r="W48" s="3530"/>
      <c r="X48" s="1560"/>
      <c r="Y48" s="1560"/>
      <c r="Z48" s="1560"/>
      <c r="AA48" s="1560"/>
      <c r="AB48" s="1560"/>
      <c r="AC48" s="1560"/>
    </row>
    <row r="49" spans="1:29" ht="15.75" thickBot="1">
      <c r="A49" s="621" t="s">
        <v>2932</v>
      </c>
      <c r="B49" s="622"/>
      <c r="C49" s="2660">
        <f>R49</f>
        <v>32123</v>
      </c>
      <c r="D49" s="2660"/>
      <c r="E49" s="2660"/>
      <c r="F49" s="2660"/>
      <c r="G49" s="2660"/>
      <c r="H49" s="2660"/>
      <c r="I49" s="2660"/>
      <c r="J49" s="2660"/>
      <c r="K49" s="1614"/>
      <c r="L49" s="2144"/>
      <c r="M49" s="2145"/>
      <c r="N49" s="2134"/>
      <c r="O49" s="2145"/>
      <c r="P49" s="3450" t="str">
        <f>A49</f>
        <v>估价对象XX用房的比较价格（楼面单价，元/平方米）</v>
      </c>
      <c r="Q49" s="3451"/>
      <c r="R49" s="3529">
        <f>IF(F1="售价",ROUND(AVERAGE(R48:V48),0),ROUND(AVERAGE(R48:V48),1))</f>
        <v>32123</v>
      </c>
      <c r="S49" s="3529"/>
      <c r="T49" s="3529"/>
      <c r="U49" s="3529"/>
      <c r="V49" s="3529"/>
      <c r="W49" s="352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6.8805979002313222E-3</v>
      </c>
      <c r="F52" s="627" t="str">
        <f>IF(OR(E52&gt;=0.3,E52&lt;=-0.3),"超过30%","")</f>
        <v/>
      </c>
      <c r="G52" s="626">
        <f>IF(G47&lt;G48,G48/G47-1,G47/G48-1)</f>
        <v>3.8677276284894369E-2</v>
      </c>
      <c r="H52" s="627" t="str">
        <f>IF(OR(G52&gt;=0.3,G52&lt;=-0.3),"超过30%","")</f>
        <v/>
      </c>
      <c r="I52" s="626">
        <f>IF(I47&lt;I48,I48/I47-1,I47/I48-1)</f>
        <v>3.9484790696220351E-2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9.9595617010174831E-2</v>
      </c>
      <c r="F53" s="627" t="str">
        <f>IF(OR(E53&gt;=0.2,E53&lt;=-0.2),"超过20%","")</f>
        <v/>
      </c>
      <c r="G53" s="626">
        <f>IF(G48&lt;I48,I48/G48-1,G48/I48-1)</f>
        <v>4.3145056091834055E-2</v>
      </c>
      <c r="H53" s="627" t="str">
        <f>IF(OR(G53&gt;=0.2,G53&lt;=-0.2),"超过20%","")</f>
        <v/>
      </c>
      <c r="I53" s="626">
        <f>IF(I48&lt;E48,E48/I48-1,I48/E48-1)</f>
        <v>5.4115734517147684E-2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6.5934065934065922E-2</v>
      </c>
      <c r="F54" s="627" t="str">
        <f>IF(OR(E54&gt;=0.3,E54&lt;=-0.3),"超过30%","")</f>
        <v/>
      </c>
      <c r="G54" s="626">
        <f>IF(G47&lt;I47,I47/G47-1,G47/I47-1)</f>
        <v>4.3956043956044022E-2</v>
      </c>
      <c r="H54" s="627" t="str">
        <f>IF(OR(G54&gt;=0.3,G54&lt;=-0.3),"超过30%","")</f>
        <v/>
      </c>
      <c r="I54" s="626">
        <f>IF(I47&lt;E47,E47/I47-1,I47/E47-1)</f>
        <v>2.1052631578947434E-2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26" t="str">
        <f>YEAR(C7)&amp;"-"&amp;MONTH(C7)</f>
        <v>2018-5</v>
      </c>
      <c r="D58" s="2828">
        <f>EDATE(C58,-1)</f>
        <v>43191</v>
      </c>
      <c r="E58" s="2828">
        <f t="shared" ref="E58:O58" si="13">EDATE(D58,-1)</f>
        <v>43160</v>
      </c>
      <c r="F58" s="2828">
        <f t="shared" si="13"/>
        <v>43132</v>
      </c>
      <c r="G58" s="2828">
        <f t="shared" si="13"/>
        <v>43101</v>
      </c>
      <c r="H58" s="2828">
        <f t="shared" si="13"/>
        <v>43070</v>
      </c>
      <c r="I58" s="2828">
        <f t="shared" si="13"/>
        <v>43040</v>
      </c>
      <c r="J58" s="2828">
        <f t="shared" si="13"/>
        <v>43009</v>
      </c>
      <c r="K58" s="2828">
        <f t="shared" si="13"/>
        <v>42979</v>
      </c>
      <c r="L58" s="2828">
        <f t="shared" si="13"/>
        <v>42948</v>
      </c>
      <c r="M58" s="2828">
        <f t="shared" si="13"/>
        <v>42917</v>
      </c>
      <c r="N58" s="2828">
        <f t="shared" si="13"/>
        <v>42887</v>
      </c>
      <c r="O58" s="2828">
        <f t="shared" si="13"/>
        <v>42856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95</v>
      </c>
      <c r="H66" s="679">
        <f>G66-$K10</f>
        <v>90</v>
      </c>
      <c r="I66" s="679">
        <f>H66-$K10</f>
        <v>85</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4">D68&amp;"（含）"&amp;"-"&amp;E68</f>
        <v>2（含）-4</v>
      </c>
      <c r="E67" s="682" t="str">
        <f t="shared" si="14"/>
        <v>4（含）-6</v>
      </c>
      <c r="F67" s="682" t="str">
        <f t="shared" si="14"/>
        <v>6（含）-8</v>
      </c>
      <c r="G67" s="682" t="str">
        <f t="shared" si="14"/>
        <v>8（含）-</v>
      </c>
      <c r="H67" s="682" t="str">
        <f t="shared" si="14"/>
        <v>（含）-</v>
      </c>
      <c r="I67" s="682" t="str">
        <f t="shared" si="14"/>
        <v>（含）-</v>
      </c>
      <c r="J67" s="682" t="str">
        <f t="shared" si="14"/>
        <v>（含）-</v>
      </c>
      <c r="K67" s="682" t="str">
        <f t="shared" si="14"/>
        <v>（含）-</v>
      </c>
      <c r="L67" s="682" t="str">
        <f t="shared" si="14"/>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5">C69-$K11</f>
        <v>97</v>
      </c>
      <c r="E69" s="679">
        <f t="shared" si="15"/>
        <v>94</v>
      </c>
      <c r="F69" s="679">
        <f t="shared" si="15"/>
        <v>91</v>
      </c>
      <c r="G69" s="679">
        <f t="shared" si="15"/>
        <v>88</v>
      </c>
      <c r="H69" s="679">
        <f t="shared" si="15"/>
        <v>85</v>
      </c>
      <c r="I69" s="679">
        <f t="shared" si="15"/>
        <v>82</v>
      </c>
      <c r="J69" s="679">
        <f t="shared" si="15"/>
        <v>79</v>
      </c>
      <c r="K69" s="679">
        <f t="shared" si="15"/>
        <v>76</v>
      </c>
      <c r="L69" s="679">
        <f t="shared" si="15"/>
        <v>73</v>
      </c>
      <c r="M69" s="680">
        <f t="shared" si="15"/>
        <v>70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2558</v>
      </c>
      <c r="C82" s="2622" t="s">
        <v>2559</v>
      </c>
      <c r="D82" s="2622" t="s">
        <v>2560</v>
      </c>
      <c r="E82" s="2622" t="s">
        <v>2561</v>
      </c>
      <c r="F82" s="2622" t="s">
        <v>2562</v>
      </c>
      <c r="G82" s="2622" t="s">
        <v>2563</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3195" t="s">
        <v>579</v>
      </c>
      <c r="D88" s="3195" t="s">
        <v>580</v>
      </c>
      <c r="E88" s="3195" t="s">
        <v>581</v>
      </c>
      <c r="F88" s="3195" t="s">
        <v>582</v>
      </c>
      <c r="G88" s="3195" t="s">
        <v>583</v>
      </c>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v>100</v>
      </c>
      <c r="D89" s="671">
        <v>103</v>
      </c>
      <c r="E89" s="671">
        <v>106</v>
      </c>
      <c r="F89" s="671">
        <v>109</v>
      </c>
      <c r="G89" s="671">
        <v>112</v>
      </c>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3195" t="s">
        <v>579</v>
      </c>
      <c r="D90" s="3195" t="s">
        <v>580</v>
      </c>
      <c r="E90" s="3195" t="s">
        <v>581</v>
      </c>
      <c r="F90" s="3195" t="s">
        <v>582</v>
      </c>
      <c r="G90" s="3195" t="s">
        <v>583</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t="s">
        <v>3115</v>
      </c>
      <c r="D92" s="688" t="s">
        <v>3116</v>
      </c>
      <c r="E92" s="688" t="s">
        <v>3117</v>
      </c>
      <c r="F92" s="688" t="s">
        <v>3118</v>
      </c>
      <c r="G92" s="688" t="s">
        <v>3119</v>
      </c>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v>85</v>
      </c>
      <c r="E93" s="671">
        <v>70</v>
      </c>
      <c r="F93" s="671">
        <v>60</v>
      </c>
      <c r="G93" s="671">
        <v>50</v>
      </c>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772</v>
      </c>
      <c r="C100" s="3182" t="s">
        <v>3120</v>
      </c>
      <c r="D100" s="3182" t="s">
        <v>3121</v>
      </c>
      <c r="E100" s="3182" t="s">
        <v>3136</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19">D103&amp;"(含)"&amp;"-"&amp;E103</f>
        <v>100000(含)-200000</v>
      </c>
      <c r="E102" s="708" t="str">
        <f t="shared" si="19"/>
        <v>200000(含)-300000</v>
      </c>
      <c r="F102" s="708" t="str">
        <f t="shared" si="19"/>
        <v>300000(含)-400000</v>
      </c>
      <c r="G102" s="708" t="str">
        <f t="shared" si="19"/>
        <v>400000(含)-500000</v>
      </c>
      <c r="H102" s="708" t="str">
        <f t="shared" si="19"/>
        <v>500000(含)-</v>
      </c>
      <c r="I102" s="708" t="str">
        <f t="shared" si="19"/>
        <v>(含)-</v>
      </c>
      <c r="J102" s="708" t="str">
        <f t="shared" si="19"/>
        <v>(含)-</v>
      </c>
      <c r="K102" s="708" t="str">
        <f t="shared" si="19"/>
        <v>(含)-</v>
      </c>
      <c r="L102" s="708" t="str">
        <f t="shared" si="19"/>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4" t="s">
        <v>3122</v>
      </c>
      <c r="D105" s="3184" t="s">
        <v>3123</v>
      </c>
      <c r="E105" s="3183" t="s">
        <v>3124</v>
      </c>
      <c r="F105" s="3183" t="s">
        <v>3125</v>
      </c>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84" t="s">
        <v>3126</v>
      </c>
      <c r="D107" s="3184" t="s">
        <v>3127</v>
      </c>
      <c r="E107" s="3184" t="s">
        <v>3128</v>
      </c>
      <c r="F107" s="3183" t="s">
        <v>3129</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6"/>
      <c r="O108" s="2166"/>
      <c r="P108" s="2165"/>
      <c r="Q108" s="2158"/>
      <c r="R108" s="2145"/>
      <c r="S108" s="2145"/>
      <c r="T108" s="2145"/>
      <c r="U108" s="2145"/>
      <c r="V108" s="2145"/>
      <c r="W108" s="2145"/>
      <c r="X108" s="2145"/>
      <c r="Y108" s="2145"/>
      <c r="Z108" s="2145"/>
      <c r="AA108" s="2145"/>
      <c r="AB108" s="2145"/>
      <c r="AC108" s="2145"/>
    </row>
    <row r="109" spans="1:29" ht="15" hidden="1"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idden="1">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2556</v>
      </c>
      <c r="C112" s="3184" t="s">
        <v>3130</v>
      </c>
      <c r="D112" s="3184" t="s">
        <v>3131</v>
      </c>
      <c r="E112" s="3184" t="s">
        <v>3132</v>
      </c>
      <c r="F112" s="3184" t="s">
        <v>3133</v>
      </c>
      <c r="G112" s="3184" t="s">
        <v>3134</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7"/>
      <c r="O113" s="2167"/>
      <c r="P113" s="2168"/>
      <c r="Q113" s="2169"/>
      <c r="R113" s="2170"/>
      <c r="S113" s="2170"/>
      <c r="T113" s="2170"/>
      <c r="U113" s="2170"/>
      <c r="V113" s="2170"/>
      <c r="W113" s="2170"/>
      <c r="X113" s="2170"/>
      <c r="Y113" s="2170"/>
      <c r="Z113" s="2170"/>
      <c r="AA113" s="2170"/>
      <c r="AB113" s="2170"/>
      <c r="AC113" s="2170"/>
    </row>
    <row r="114" spans="1:29" ht="15" hidden="1"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3184" t="s">
        <v>3137</v>
      </c>
      <c r="D116" s="3184" t="s">
        <v>3139</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hidden="1"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hidden="1"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4" t="s">
        <v>3126</v>
      </c>
      <c r="D122" s="3184" t="s">
        <v>3127</v>
      </c>
      <c r="E122" s="3184" t="s">
        <v>3128</v>
      </c>
      <c r="F122" s="3183" t="s">
        <v>3129</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hidden="1"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hidden="1"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hidden="1"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9" priority="17" stopIfTrue="1" operator="containsText" text="超过">
      <formula>NOT(ISERROR(SEARCH("超过",F52)))</formula>
    </cfRule>
  </conditionalFormatting>
  <conditionalFormatting sqref="H54">
    <cfRule type="containsText" dxfId="78" priority="15" stopIfTrue="1" operator="containsText" text="超过">
      <formula>NOT(ISERROR(SEARCH("超过",H54)))</formula>
    </cfRule>
  </conditionalFormatting>
  <conditionalFormatting sqref="F54">
    <cfRule type="containsText" dxfId="77" priority="14" stopIfTrue="1" operator="containsText" text="超过">
      <formula>NOT(ISERROR(SEARCH("超过",F54)))</formula>
    </cfRule>
  </conditionalFormatting>
  <conditionalFormatting sqref="F53 H53">
    <cfRule type="containsText" dxfId="76" priority="13" stopIfTrue="1" operator="containsText" text="超过">
      <formula>NOT(ISERROR(SEARCH("超过",F53)))</formula>
    </cfRule>
  </conditionalFormatting>
  <conditionalFormatting sqref="E52">
    <cfRule type="expression" dxfId="75" priority="12" stopIfTrue="1">
      <formula>$F$52="超过30%"</formula>
    </cfRule>
  </conditionalFormatting>
  <conditionalFormatting sqref="E53">
    <cfRule type="expression" dxfId="74" priority="11" stopIfTrue="1">
      <formula>$F$53="超过20%"</formula>
    </cfRule>
  </conditionalFormatting>
  <conditionalFormatting sqref="E54">
    <cfRule type="expression" dxfId="73" priority="10" stopIfTrue="1">
      <formula>$F$54="超过30%"</formula>
    </cfRule>
  </conditionalFormatting>
  <conditionalFormatting sqref="G54">
    <cfRule type="expression" dxfId="72" priority="9" stopIfTrue="1">
      <formula>$H$54="超过30%"</formula>
    </cfRule>
  </conditionalFormatting>
  <conditionalFormatting sqref="G52">
    <cfRule type="expression" dxfId="71" priority="8" stopIfTrue="1">
      <formula>$H$52="超过30%"</formula>
    </cfRule>
  </conditionalFormatting>
  <conditionalFormatting sqref="G53">
    <cfRule type="expression" dxfId="70" priority="7" stopIfTrue="1">
      <formula>$H$53="超过20%"</formula>
    </cfRule>
  </conditionalFormatting>
  <conditionalFormatting sqref="J52">
    <cfRule type="containsText" dxfId="69" priority="6" stopIfTrue="1" operator="containsText" text="超过">
      <formula>NOT(ISERROR(SEARCH("超过",J52)))</formula>
    </cfRule>
  </conditionalFormatting>
  <conditionalFormatting sqref="J54">
    <cfRule type="containsText" dxfId="68" priority="5" stopIfTrue="1" operator="containsText" text="超过">
      <formula>NOT(ISERROR(SEARCH("超过",J54)))</formula>
    </cfRule>
  </conditionalFormatting>
  <conditionalFormatting sqref="J53">
    <cfRule type="containsText" dxfId="67" priority="4" stopIfTrue="1" operator="containsText" text="超过">
      <formula>NOT(ISERROR(SEARCH("超过",J53)))</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1"/>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433" t="s">
        <v>522</v>
      </c>
      <c r="D4" s="3434"/>
      <c r="E4" s="3459" t="s">
        <v>523</v>
      </c>
      <c r="F4" s="3460"/>
      <c r="G4" s="3433" t="s">
        <v>524</v>
      </c>
      <c r="H4" s="3434"/>
      <c r="I4" s="3433" t="s">
        <v>525</v>
      </c>
      <c r="J4" s="3434"/>
      <c r="K4" s="514" t="s">
        <v>526</v>
      </c>
      <c r="L4" s="2133"/>
      <c r="M4" s="2134"/>
      <c r="N4" s="2134"/>
      <c r="O4" s="2134"/>
      <c r="P4" s="3532" t="s">
        <v>527</v>
      </c>
      <c r="Q4" s="3436"/>
      <c r="R4" s="3421" t="s">
        <v>523</v>
      </c>
      <c r="S4" s="3422"/>
      <c r="T4" s="3421" t="s">
        <v>524</v>
      </c>
      <c r="U4" s="3422"/>
      <c r="V4" s="3441" t="s">
        <v>525</v>
      </c>
      <c r="W4" s="3441"/>
      <c r="X4" s="1568"/>
      <c r="Y4" s="3421" t="s">
        <v>527</v>
      </c>
      <c r="Z4" s="3422"/>
      <c r="AA4" s="3416" t="s">
        <v>523</v>
      </c>
      <c r="AB4" s="3416" t="s">
        <v>524</v>
      </c>
      <c r="AC4" s="3416" t="s">
        <v>525</v>
      </c>
    </row>
    <row r="5" spans="1:29" ht="15">
      <c r="A5" s="515"/>
      <c r="B5" s="516"/>
      <c r="C5" s="3446" t="s">
        <v>2926</v>
      </c>
      <c r="D5" s="3445"/>
      <c r="E5" s="3461" t="s">
        <v>2927</v>
      </c>
      <c r="F5" s="3462"/>
      <c r="G5" s="3446" t="s">
        <v>2928</v>
      </c>
      <c r="H5" s="3445"/>
      <c r="I5" s="3446" t="s">
        <v>2929</v>
      </c>
      <c r="J5" s="3445"/>
      <c r="K5" s="514"/>
      <c r="L5" s="2133"/>
      <c r="M5" s="2134"/>
      <c r="N5" s="2134"/>
      <c r="O5" s="2134"/>
      <c r="P5" s="3533"/>
      <c r="Q5" s="3438"/>
      <c r="R5" s="3423"/>
      <c r="S5" s="3424"/>
      <c r="T5" s="3423"/>
      <c r="U5" s="3424"/>
      <c r="V5" s="3441"/>
      <c r="W5" s="3441"/>
      <c r="X5" s="1568"/>
      <c r="Y5" s="3423"/>
      <c r="Z5" s="3424"/>
      <c r="AA5" s="3417"/>
      <c r="AB5" s="3417"/>
      <c r="AC5" s="3417"/>
    </row>
    <row r="6" spans="1:29" ht="15.75" thickBot="1">
      <c r="A6" s="517"/>
      <c r="B6" s="518"/>
      <c r="C6" s="3463" t="s">
        <v>2930</v>
      </c>
      <c r="D6" s="3443"/>
      <c r="E6" s="3464" t="s">
        <v>2930</v>
      </c>
      <c r="F6" s="3465"/>
      <c r="G6" s="3463" t="s">
        <v>2930</v>
      </c>
      <c r="H6" s="3443"/>
      <c r="I6" s="3463" t="s">
        <v>2930</v>
      </c>
      <c r="J6" s="3443"/>
      <c r="K6" s="514" t="s">
        <v>528</v>
      </c>
      <c r="L6" s="2133"/>
      <c r="M6" s="2134"/>
      <c r="N6" s="2134"/>
      <c r="O6" s="2134"/>
      <c r="P6" s="3534"/>
      <c r="Q6" s="3440"/>
      <c r="R6" s="3423"/>
      <c r="S6" s="3424"/>
      <c r="T6" s="3425"/>
      <c r="U6" s="3426"/>
      <c r="V6" s="3441"/>
      <c r="W6" s="3441"/>
      <c r="X6" s="1568"/>
      <c r="Y6" s="3425"/>
      <c r="Z6" s="3426"/>
      <c r="AA6" s="3418"/>
      <c r="AB6" s="3418"/>
      <c r="AC6" s="3418"/>
    </row>
    <row r="7" spans="1:29" s="1220" customFormat="1" ht="15.75" thickBot="1">
      <c r="A7" s="2936"/>
      <c r="B7" s="2943" t="s">
        <v>529</v>
      </c>
      <c r="C7" s="519">
        <f>'数据-取费表'!B2</f>
        <v>43244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28" t="s">
        <v>530</v>
      </c>
      <c r="Q7" s="3428"/>
      <c r="R7" s="1569" t="s">
        <v>8</v>
      </c>
      <c r="S7" s="1570">
        <f t="shared" ref="S7:S15" si="0">F7</f>
        <v>0</v>
      </c>
      <c r="T7" s="1569" t="s">
        <v>8</v>
      </c>
      <c r="U7" s="1570">
        <f t="shared" ref="U7:U15" si="1">H7</f>
        <v>0</v>
      </c>
      <c r="V7" s="1569" t="s">
        <v>8</v>
      </c>
      <c r="W7" s="1570">
        <f t="shared" ref="W7:W15" si="2">J7</f>
        <v>0</v>
      </c>
      <c r="X7" s="1571"/>
      <c r="Y7" s="3419" t="s">
        <v>530</v>
      </c>
      <c r="Z7" s="3420"/>
      <c r="AA7" s="1572" t="e">
        <f>D7/F7</f>
        <v>#DIV/0!</v>
      </c>
      <c r="AB7" s="1572" t="e">
        <f>D7/H7</f>
        <v>#DIV/0!</v>
      </c>
      <c r="AC7" s="1572" t="e">
        <f>D7/J7</f>
        <v>#DIV/0!</v>
      </c>
    </row>
    <row r="8" spans="1:29" s="1220"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28" t="s">
        <v>533</v>
      </c>
      <c r="Q8" s="3420"/>
      <c r="R8" s="1569" t="s">
        <v>8</v>
      </c>
      <c r="S8" s="1570">
        <f t="shared" si="0"/>
        <v>0</v>
      </c>
      <c r="T8" s="1569" t="s">
        <v>8</v>
      </c>
      <c r="U8" s="1570">
        <f t="shared" si="1"/>
        <v>0</v>
      </c>
      <c r="V8" s="1569" t="s">
        <v>8</v>
      </c>
      <c r="W8" s="1570">
        <f t="shared" si="2"/>
        <v>0</v>
      </c>
      <c r="X8" s="1571"/>
      <c r="Y8" s="3419" t="s">
        <v>533</v>
      </c>
      <c r="Z8" s="3420"/>
      <c r="AA8" s="1572" t="e">
        <f t="shared" ref="AA8:AA47" si="3">D8/F8</f>
        <v>#DIV/0!</v>
      </c>
      <c r="AB8" s="1572" t="e">
        <f t="shared" ref="AB8:AB47" si="4">D8/H8</f>
        <v>#DIV/0!</v>
      </c>
      <c r="AC8" s="1572" t="e">
        <f t="shared" ref="AC8:AC47" si="5">D8/J8</f>
        <v>#DIV/0!</v>
      </c>
    </row>
    <row r="9" spans="1:29" s="1220" customFormat="1" ht="15">
      <c r="A9" s="2938"/>
      <c r="B9" s="2945"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27" t="s">
        <v>535</v>
      </c>
      <c r="Q9" s="1151" t="str">
        <f t="shared" ref="Q9:Q15" si="6">B9</f>
        <v>用途</v>
      </c>
      <c r="R9" s="1569" t="s">
        <v>8</v>
      </c>
      <c r="S9" s="1570">
        <f t="shared" si="0"/>
        <v>100</v>
      </c>
      <c r="T9" s="1569" t="s">
        <v>8</v>
      </c>
      <c r="U9" s="1570">
        <f t="shared" si="1"/>
        <v>100</v>
      </c>
      <c r="V9" s="1569" t="s">
        <v>8</v>
      </c>
      <c r="W9" s="1570">
        <f t="shared" si="2"/>
        <v>100</v>
      </c>
      <c r="X9" s="1571"/>
      <c r="Y9" s="3384" t="s">
        <v>536</v>
      </c>
      <c r="Z9" s="1150" t="str">
        <f t="shared" ref="Z9:Z15" si="7">Q9</f>
        <v>用途</v>
      </c>
      <c r="AA9" s="1572">
        <f t="shared" si="3"/>
        <v>1</v>
      </c>
      <c r="AB9" s="1572">
        <f t="shared" si="4"/>
        <v>1</v>
      </c>
      <c r="AC9" s="1572">
        <f t="shared" si="5"/>
        <v>1</v>
      </c>
    </row>
    <row r="10" spans="1:29" s="1338" customFormat="1" ht="27">
      <c r="A10" s="2939"/>
      <c r="B10" s="2944"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27"/>
      <c r="Q10" s="1151" t="str">
        <f t="shared" si="6"/>
        <v>土地使用年限（年）</v>
      </c>
      <c r="R10" s="1569" t="s">
        <v>8</v>
      </c>
      <c r="S10" s="1570">
        <f t="shared" si="0"/>
        <v>100</v>
      </c>
      <c r="T10" s="1569" t="s">
        <v>8</v>
      </c>
      <c r="U10" s="1570">
        <f t="shared" si="1"/>
        <v>100</v>
      </c>
      <c r="V10" s="1569" t="s">
        <v>8</v>
      </c>
      <c r="W10" s="1570">
        <f t="shared" si="2"/>
        <v>100</v>
      </c>
      <c r="X10" s="1571"/>
      <c r="Y10" s="3384"/>
      <c r="Z10" s="1150" t="str">
        <f t="shared" si="7"/>
        <v>土地使用年限（年）</v>
      </c>
      <c r="AA10" s="1572">
        <f t="shared" si="3"/>
        <v>1</v>
      </c>
      <c r="AB10" s="1572">
        <f t="shared" si="4"/>
        <v>1</v>
      </c>
      <c r="AC10" s="1572">
        <f t="shared" si="5"/>
        <v>1</v>
      </c>
    </row>
    <row r="11" spans="1:29" ht="15">
      <c r="A11" s="2940"/>
      <c r="B11" s="294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27"/>
      <c r="Q11" s="1151" t="str">
        <f t="shared" si="6"/>
        <v>容积率</v>
      </c>
      <c r="R11" s="1569" t="s">
        <v>8</v>
      </c>
      <c r="S11" s="1570" t="e">
        <f t="shared" si="0"/>
        <v>#N/A</v>
      </c>
      <c r="T11" s="1569" t="s">
        <v>8</v>
      </c>
      <c r="U11" s="1570" t="e">
        <f t="shared" si="1"/>
        <v>#N/A</v>
      </c>
      <c r="V11" s="1569" t="s">
        <v>8</v>
      </c>
      <c r="W11" s="1570" t="e">
        <f t="shared" si="2"/>
        <v>#N/A</v>
      </c>
      <c r="X11" s="1571"/>
      <c r="Y11" s="3384"/>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27"/>
      <c r="Q12" s="1151">
        <f t="shared" si="6"/>
        <v>111</v>
      </c>
      <c r="R12" s="1569" t="s">
        <v>8</v>
      </c>
      <c r="S12" s="1570">
        <f t="shared" si="0"/>
        <v>100</v>
      </c>
      <c r="T12" s="1569" t="s">
        <v>8</v>
      </c>
      <c r="U12" s="1570">
        <f t="shared" si="1"/>
        <v>100</v>
      </c>
      <c r="V12" s="1569" t="s">
        <v>8</v>
      </c>
      <c r="W12" s="1570">
        <f t="shared" si="2"/>
        <v>100</v>
      </c>
      <c r="X12" s="1571"/>
      <c r="Y12" s="3384"/>
      <c r="Z12" s="1150">
        <f t="shared" si="7"/>
        <v>111</v>
      </c>
      <c r="AA12" s="1572">
        <f>D12/F12</f>
        <v>1</v>
      </c>
      <c r="AB12" s="1572">
        <f>D12/H12</f>
        <v>1</v>
      </c>
      <c r="AC12" s="1572">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27"/>
      <c r="Q13" s="1151">
        <f t="shared" si="6"/>
        <v>111</v>
      </c>
      <c r="R13" s="1569" t="s">
        <v>8</v>
      </c>
      <c r="S13" s="1570">
        <f t="shared" si="0"/>
        <v>100</v>
      </c>
      <c r="T13" s="1569" t="s">
        <v>8</v>
      </c>
      <c r="U13" s="1570">
        <f t="shared" si="1"/>
        <v>100</v>
      </c>
      <c r="V13" s="1569" t="s">
        <v>8</v>
      </c>
      <c r="W13" s="1570">
        <f t="shared" si="2"/>
        <v>100</v>
      </c>
      <c r="X13" s="1571"/>
      <c r="Y13" s="3384"/>
      <c r="Z13" s="1150">
        <f t="shared" si="7"/>
        <v>111</v>
      </c>
      <c r="AA13" s="1572">
        <f t="shared" si="3"/>
        <v>1</v>
      </c>
      <c r="AB13" s="1572">
        <f t="shared" si="4"/>
        <v>1</v>
      </c>
      <c r="AC13" s="1572">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27"/>
      <c r="Q14" s="1151">
        <f t="shared" si="6"/>
        <v>111</v>
      </c>
      <c r="R14" s="1569" t="s">
        <v>8</v>
      </c>
      <c r="S14" s="1570">
        <f t="shared" si="0"/>
        <v>100</v>
      </c>
      <c r="T14" s="1569" t="s">
        <v>8</v>
      </c>
      <c r="U14" s="1570">
        <f t="shared" si="1"/>
        <v>100</v>
      </c>
      <c r="V14" s="1569" t="s">
        <v>8</v>
      </c>
      <c r="W14" s="1570">
        <f t="shared" si="2"/>
        <v>100</v>
      </c>
      <c r="X14" s="1571"/>
      <c r="Y14" s="3384"/>
      <c r="Z14" s="1150">
        <f t="shared" si="7"/>
        <v>111</v>
      </c>
      <c r="AA14" s="1572">
        <f t="shared" si="3"/>
        <v>1</v>
      </c>
      <c r="AB14" s="1572">
        <f t="shared" si="4"/>
        <v>1</v>
      </c>
      <c r="AC14" s="1572">
        <f t="shared" si="5"/>
        <v>1</v>
      </c>
    </row>
    <row r="15" spans="1:29" ht="71.25">
      <c r="A15" s="2934"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29" t="s">
        <v>540</v>
      </c>
      <c r="Q15" s="1573" t="str">
        <f t="shared" si="6"/>
        <v>办公集聚程度</v>
      </c>
      <c r="R15" s="1574" t="s">
        <v>8</v>
      </c>
      <c r="S15" s="1575">
        <f t="shared" si="0"/>
        <v>100</v>
      </c>
      <c r="T15" s="1574" t="s">
        <v>8</v>
      </c>
      <c r="U15" s="1575">
        <f t="shared" si="1"/>
        <v>100</v>
      </c>
      <c r="V15" s="1574" t="s">
        <v>8</v>
      </c>
      <c r="W15" s="1575">
        <f t="shared" si="2"/>
        <v>100</v>
      </c>
      <c r="X15" s="1568"/>
      <c r="Y15" s="342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30"/>
      <c r="Q16" s="1573"/>
      <c r="R16" s="1574"/>
      <c r="S16" s="1575"/>
      <c r="T16" s="1574"/>
      <c r="U16" s="1575"/>
      <c r="V16" s="1574"/>
      <c r="W16" s="1575"/>
      <c r="X16" s="1568"/>
      <c r="Y16" s="343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30"/>
      <c r="Q17" s="1573" t="str">
        <f>B17</f>
        <v>交通便捷度</v>
      </c>
      <c r="R17" s="1574" t="s">
        <v>8</v>
      </c>
      <c r="S17" s="1575">
        <f>F17</f>
        <v>100</v>
      </c>
      <c r="T17" s="1574" t="s">
        <v>8</v>
      </c>
      <c r="U17" s="1575">
        <f>H17</f>
        <v>100</v>
      </c>
      <c r="V17" s="1574" t="s">
        <v>8</v>
      </c>
      <c r="W17" s="1575">
        <f>J17</f>
        <v>100</v>
      </c>
      <c r="X17" s="1568"/>
      <c r="Y17" s="343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30"/>
      <c r="Q18" s="1573"/>
      <c r="R18" s="1574"/>
      <c r="S18" s="1575"/>
      <c r="T18" s="1574"/>
      <c r="U18" s="1575"/>
      <c r="V18" s="1574"/>
      <c r="W18" s="1575"/>
      <c r="X18" s="1568"/>
      <c r="Y18" s="3430"/>
      <c r="Z18" s="1576"/>
      <c r="AA18" s="1577">
        <v>1</v>
      </c>
      <c r="AB18" s="1577">
        <v>1</v>
      </c>
      <c r="AC18" s="1577">
        <v>1</v>
      </c>
    </row>
    <row r="19" spans="1:29" ht="42.75">
      <c r="A19" s="532"/>
      <c r="B19" s="2627"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30"/>
      <c r="Q19" s="1573" t="str">
        <f>B19</f>
        <v>公共配套设施</v>
      </c>
      <c r="R19" s="1574" t="s">
        <v>8</v>
      </c>
      <c r="S19" s="1575">
        <f>F19</f>
        <v>100</v>
      </c>
      <c r="T19" s="1574" t="s">
        <v>8</v>
      </c>
      <c r="U19" s="1575">
        <f>H19</f>
        <v>100</v>
      </c>
      <c r="V19" s="1574" t="s">
        <v>8</v>
      </c>
      <c r="W19" s="1575">
        <f>J19</f>
        <v>100</v>
      </c>
      <c r="X19" s="1568"/>
      <c r="Y19" s="343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30"/>
      <c r="Q20" s="1573"/>
      <c r="R20" s="1574"/>
      <c r="S20" s="1575"/>
      <c r="T20" s="1574"/>
      <c r="U20" s="1575"/>
      <c r="V20" s="1574"/>
      <c r="W20" s="1575"/>
      <c r="X20" s="1568"/>
      <c r="Y20" s="3430"/>
      <c r="Z20" s="1576"/>
      <c r="AA20" s="1577">
        <v>1</v>
      </c>
      <c r="AB20" s="1577">
        <v>1</v>
      </c>
      <c r="AC20" s="1577">
        <v>1</v>
      </c>
    </row>
    <row r="21" spans="1:29" ht="28.5">
      <c r="A21" s="532"/>
      <c r="B21" s="2615"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30"/>
      <c r="Q21" s="2603" t="str">
        <f>B21</f>
        <v>基础设施水平</v>
      </c>
      <c r="R21" s="1574" t="s">
        <v>8</v>
      </c>
      <c r="S21" s="1575">
        <f>F21</f>
        <v>100</v>
      </c>
      <c r="T21" s="1574" t="s">
        <v>8</v>
      </c>
      <c r="U21" s="1575">
        <f>H21</f>
        <v>100</v>
      </c>
      <c r="V21" s="1574" t="s">
        <v>8</v>
      </c>
      <c r="W21" s="1575">
        <f>J21</f>
        <v>100</v>
      </c>
      <c r="X21" s="2605"/>
      <c r="Y21" s="3430"/>
      <c r="Z21" s="2604" t="str">
        <f>Q21</f>
        <v>基础设施水平</v>
      </c>
      <c r="AA21" s="1577">
        <f>D21/F21</f>
        <v>1</v>
      </c>
      <c r="AB21" s="1577">
        <f>D21/H21</f>
        <v>1</v>
      </c>
      <c r="AC21" s="1577">
        <f>D21/J21</f>
        <v>1</v>
      </c>
    </row>
    <row r="22" spans="1:29" ht="15">
      <c r="A22" s="532"/>
      <c r="B22" s="578"/>
      <c r="C22" s="567"/>
      <c r="D22" s="555"/>
      <c r="E22" s="576"/>
      <c r="F22" s="555"/>
      <c r="G22" s="554"/>
      <c r="H22" s="555"/>
      <c r="I22" s="554"/>
      <c r="J22" s="555"/>
      <c r="K22" s="2626"/>
      <c r="L22" s="2142"/>
      <c r="M22" s="2134"/>
      <c r="N22" s="2134"/>
      <c r="O22" s="2134"/>
      <c r="P22" s="3430"/>
      <c r="Q22" s="2603"/>
      <c r="R22" s="1574"/>
      <c r="S22" s="1575"/>
      <c r="T22" s="1574"/>
      <c r="U22" s="1575"/>
      <c r="V22" s="1574"/>
      <c r="W22" s="1575"/>
      <c r="X22" s="2605"/>
      <c r="Y22" s="3430"/>
      <c r="Z22" s="2604"/>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30"/>
      <c r="Q23" s="1573" t="str">
        <f>B23</f>
        <v>环境质量</v>
      </c>
      <c r="R23" s="1574" t="s">
        <v>8</v>
      </c>
      <c r="S23" s="1575">
        <f>F23</f>
        <v>100</v>
      </c>
      <c r="T23" s="1574" t="s">
        <v>8</v>
      </c>
      <c r="U23" s="1575">
        <f>H23</f>
        <v>100</v>
      </c>
      <c r="V23" s="1574" t="s">
        <v>8</v>
      </c>
      <c r="W23" s="1575">
        <f>J23</f>
        <v>100</v>
      </c>
      <c r="X23" s="1568"/>
      <c r="Y23" s="343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30"/>
      <c r="Q24" s="1573"/>
      <c r="R24" s="1574"/>
      <c r="S24" s="1575"/>
      <c r="T24" s="1574"/>
      <c r="U24" s="1575"/>
      <c r="V24" s="1574"/>
      <c r="W24" s="1575"/>
      <c r="X24" s="1568"/>
      <c r="Y24" s="343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30"/>
      <c r="Q25" s="1573" t="str">
        <f>B25</f>
        <v>毗邻道路的类型与等级</v>
      </c>
      <c r="R25" s="1574" t="s">
        <v>8</v>
      </c>
      <c r="S25" s="1575">
        <f>F25</f>
        <v>100</v>
      </c>
      <c r="T25" s="1574" t="s">
        <v>8</v>
      </c>
      <c r="U25" s="1575">
        <f>H25</f>
        <v>100</v>
      </c>
      <c r="V25" s="1574" t="s">
        <v>8</v>
      </c>
      <c r="W25" s="1575">
        <f>J25</f>
        <v>100</v>
      </c>
      <c r="X25" s="1568"/>
      <c r="Y25" s="343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30"/>
      <c r="Q26" s="1573"/>
      <c r="R26" s="1574"/>
      <c r="S26" s="1575"/>
      <c r="T26" s="1574"/>
      <c r="U26" s="1575"/>
      <c r="V26" s="1574"/>
      <c r="W26" s="1575"/>
      <c r="X26" s="1568"/>
      <c r="Y26" s="343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30"/>
      <c r="Q27" s="1573" t="str">
        <f t="shared" ref="Q27:Q47" si="8">B27</f>
        <v>楼层</v>
      </c>
      <c r="R27" s="1574" t="s">
        <v>8</v>
      </c>
      <c r="S27" s="1575">
        <f>F27</f>
        <v>100</v>
      </c>
      <c r="T27" s="1574" t="s">
        <v>8</v>
      </c>
      <c r="U27" s="1575">
        <f>H27</f>
        <v>100</v>
      </c>
      <c r="V27" s="1574" t="s">
        <v>8</v>
      </c>
      <c r="W27" s="1575">
        <f>J27</f>
        <v>100</v>
      </c>
      <c r="X27" s="1568"/>
      <c r="Y27" s="343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30"/>
      <c r="Q28" s="1151" t="str">
        <f t="shared" si="8"/>
        <v>朝向</v>
      </c>
      <c r="R28" s="1569" t="s">
        <v>8</v>
      </c>
      <c r="S28" s="1570">
        <f>F28</f>
        <v>100</v>
      </c>
      <c r="T28" s="1569" t="s">
        <v>8</v>
      </c>
      <c r="U28" s="1570">
        <f>H28</f>
        <v>100</v>
      </c>
      <c r="V28" s="1569" t="s">
        <v>8</v>
      </c>
      <c r="W28" s="1570">
        <f>J28</f>
        <v>100</v>
      </c>
      <c r="X28" s="1571"/>
      <c r="Y28" s="343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30"/>
      <c r="Q29" s="1573">
        <f t="shared" si="8"/>
        <v>111</v>
      </c>
      <c r="R29" s="1574" t="s">
        <v>8</v>
      </c>
      <c r="S29" s="1575">
        <f t="shared" ref="S29:S47" si="9">F29</f>
        <v>100</v>
      </c>
      <c r="T29" s="1574" t="s">
        <v>8</v>
      </c>
      <c r="U29" s="1575">
        <f t="shared" ref="U29:U47" si="10">H29</f>
        <v>100</v>
      </c>
      <c r="V29" s="1574" t="s">
        <v>8</v>
      </c>
      <c r="W29" s="1575">
        <f t="shared" ref="W29:W47" si="11">J29</f>
        <v>100</v>
      </c>
      <c r="X29" s="1568"/>
      <c r="Y29" s="3430"/>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30"/>
      <c r="Q30" s="1573">
        <f t="shared" si="8"/>
        <v>111</v>
      </c>
      <c r="R30" s="1574" t="s">
        <v>8</v>
      </c>
      <c r="S30" s="1575">
        <f t="shared" si="9"/>
        <v>100</v>
      </c>
      <c r="T30" s="1574" t="s">
        <v>8</v>
      </c>
      <c r="U30" s="1575">
        <f t="shared" si="10"/>
        <v>100</v>
      </c>
      <c r="V30" s="1574" t="s">
        <v>8</v>
      </c>
      <c r="W30" s="1575">
        <f t="shared" si="11"/>
        <v>100</v>
      </c>
      <c r="X30" s="1568"/>
      <c r="Y30" s="3430"/>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30"/>
      <c r="Q31" s="1573">
        <f t="shared" si="8"/>
        <v>111</v>
      </c>
      <c r="R31" s="1574" t="s">
        <v>8</v>
      </c>
      <c r="S31" s="1575">
        <f t="shared" si="9"/>
        <v>100</v>
      </c>
      <c r="T31" s="1574" t="s">
        <v>8</v>
      </c>
      <c r="U31" s="1575">
        <f t="shared" si="10"/>
        <v>100</v>
      </c>
      <c r="V31" s="1574" t="s">
        <v>8</v>
      </c>
      <c r="W31" s="1575">
        <f t="shared" si="11"/>
        <v>100</v>
      </c>
      <c r="X31" s="1568"/>
      <c r="Y31" s="3430"/>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30"/>
      <c r="Q32" s="1573">
        <f t="shared" si="8"/>
        <v>111</v>
      </c>
      <c r="R32" s="1574" t="s">
        <v>8</v>
      </c>
      <c r="S32" s="1575">
        <f t="shared" si="9"/>
        <v>100</v>
      </c>
      <c r="T32" s="1574" t="s">
        <v>8</v>
      </c>
      <c r="U32" s="1575">
        <f t="shared" si="10"/>
        <v>100</v>
      </c>
      <c r="V32" s="1574" t="s">
        <v>8</v>
      </c>
      <c r="W32" s="1575">
        <f t="shared" si="11"/>
        <v>100</v>
      </c>
      <c r="X32" s="1568"/>
      <c r="Y32" s="3430"/>
      <c r="Z32" s="1576">
        <f t="shared" si="12"/>
        <v>111</v>
      </c>
      <c r="AA32" s="1577">
        <f t="shared" si="3"/>
        <v>1</v>
      </c>
      <c r="AB32" s="1577">
        <f t="shared" si="4"/>
        <v>1</v>
      </c>
      <c r="AC32" s="1577">
        <f t="shared" si="5"/>
        <v>1</v>
      </c>
    </row>
    <row r="33" spans="1:29" ht="15">
      <c r="A33" s="2931"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31" t="s">
        <v>550</v>
      </c>
      <c r="Q33" s="1573" t="str">
        <f t="shared" si="8"/>
        <v>建筑类型</v>
      </c>
      <c r="R33" s="1574" t="s">
        <v>8</v>
      </c>
      <c r="S33" s="1575">
        <f t="shared" si="9"/>
        <v>100</v>
      </c>
      <c r="T33" s="1574" t="s">
        <v>8</v>
      </c>
      <c r="U33" s="1575">
        <f t="shared" si="10"/>
        <v>100</v>
      </c>
      <c r="V33" s="1574" t="s">
        <v>8</v>
      </c>
      <c r="W33" s="1575">
        <f t="shared" si="11"/>
        <v>100</v>
      </c>
      <c r="X33" s="1568"/>
      <c r="Y33" s="3432"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32"/>
      <c r="Q34" s="1606" t="str">
        <f t="shared" si="8"/>
        <v>项目建筑规模</v>
      </c>
      <c r="R34" s="1578" t="s">
        <v>8</v>
      </c>
      <c r="S34" s="1579" t="e">
        <f t="shared" si="9"/>
        <v>#N/A</v>
      </c>
      <c r="T34" s="1578" t="s">
        <v>8</v>
      </c>
      <c r="U34" s="1579" t="e">
        <f t="shared" si="10"/>
        <v>#N/A</v>
      </c>
      <c r="V34" s="1578" t="s">
        <v>8</v>
      </c>
      <c r="W34" s="1579" t="e">
        <f t="shared" si="11"/>
        <v>#N/A</v>
      </c>
      <c r="X34" s="1580"/>
      <c r="Y34" s="3432"/>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32"/>
      <c r="Q35" s="1573" t="str">
        <f t="shared" si="8"/>
        <v>建筑结构</v>
      </c>
      <c r="R35" s="1574" t="s">
        <v>8</v>
      </c>
      <c r="S35" s="1575">
        <f t="shared" si="9"/>
        <v>100</v>
      </c>
      <c r="T35" s="1574" t="s">
        <v>8</v>
      </c>
      <c r="U35" s="1575">
        <f t="shared" si="10"/>
        <v>100</v>
      </c>
      <c r="V35" s="1574" t="s">
        <v>8</v>
      </c>
      <c r="W35" s="1575">
        <f t="shared" si="11"/>
        <v>100</v>
      </c>
      <c r="X35" s="1568"/>
      <c r="Y35" s="3432"/>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32"/>
      <c r="Q36" s="1573" t="str">
        <f t="shared" si="8"/>
        <v>公共部分装修</v>
      </c>
      <c r="R36" s="1574" t="s">
        <v>8</v>
      </c>
      <c r="S36" s="1575">
        <f t="shared" si="9"/>
        <v>100</v>
      </c>
      <c r="T36" s="1574" t="s">
        <v>8</v>
      </c>
      <c r="U36" s="1575">
        <f t="shared" si="10"/>
        <v>100</v>
      </c>
      <c r="V36" s="1574" t="s">
        <v>8</v>
      </c>
      <c r="W36" s="1575">
        <f t="shared" si="11"/>
        <v>100</v>
      </c>
      <c r="X36" s="1568"/>
      <c r="Y36" s="3432"/>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32"/>
      <c r="Q37" s="1573" t="str">
        <f t="shared" si="8"/>
        <v>成新度</v>
      </c>
      <c r="R37" s="1574" t="s">
        <v>8</v>
      </c>
      <c r="S37" s="1575" t="e">
        <f t="shared" si="9"/>
        <v>#N/A</v>
      </c>
      <c r="T37" s="1574" t="s">
        <v>8</v>
      </c>
      <c r="U37" s="1575" t="e">
        <f t="shared" si="10"/>
        <v>#N/A</v>
      </c>
      <c r="V37" s="1574" t="s">
        <v>8</v>
      </c>
      <c r="W37" s="1575" t="e">
        <f t="shared" si="11"/>
        <v>#N/A</v>
      </c>
      <c r="X37" s="1568"/>
      <c r="Y37" s="3432"/>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32"/>
      <c r="Q38" s="1151" t="str">
        <f t="shared" si="8"/>
        <v>写字楼等级</v>
      </c>
      <c r="R38" s="1569" t="s">
        <v>8</v>
      </c>
      <c r="S38" s="1570">
        <f t="shared" si="9"/>
        <v>100</v>
      </c>
      <c r="T38" s="1569" t="s">
        <v>8</v>
      </c>
      <c r="U38" s="1570">
        <f t="shared" si="10"/>
        <v>100</v>
      </c>
      <c r="V38" s="1569" t="s">
        <v>8</v>
      </c>
      <c r="W38" s="1570">
        <f t="shared" si="11"/>
        <v>100</v>
      </c>
      <c r="X38" s="1571"/>
      <c r="Y38" s="3432"/>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32" t="s">
        <v>550</v>
      </c>
      <c r="Q39" s="1573" t="str">
        <f t="shared" si="8"/>
        <v>物业管理</v>
      </c>
      <c r="R39" s="1574" t="s">
        <v>8</v>
      </c>
      <c r="S39" s="1575">
        <f t="shared" si="9"/>
        <v>100</v>
      </c>
      <c r="T39" s="1574" t="s">
        <v>8</v>
      </c>
      <c r="U39" s="1575">
        <f t="shared" si="10"/>
        <v>100</v>
      </c>
      <c r="V39" s="1574" t="s">
        <v>8</v>
      </c>
      <c r="W39" s="1575">
        <f t="shared" si="11"/>
        <v>100</v>
      </c>
      <c r="X39" s="1568"/>
      <c r="Y39" s="3432" t="s">
        <v>550</v>
      </c>
      <c r="Z39" s="1576" t="str">
        <f t="shared" si="12"/>
        <v>物业管理</v>
      </c>
      <c r="AA39" s="1577">
        <f t="shared" si="3"/>
        <v>1</v>
      </c>
      <c r="AB39" s="1577">
        <f t="shared" si="4"/>
        <v>1</v>
      </c>
      <c r="AC39" s="1577">
        <f t="shared" si="5"/>
        <v>1</v>
      </c>
    </row>
    <row r="40" spans="1:29" ht="15">
      <c r="A40" s="594"/>
      <c r="B40" s="1895"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32"/>
      <c r="Q40" s="1573" t="str">
        <f t="shared" si="8"/>
        <v>市政基础设施</v>
      </c>
      <c r="R40" s="1574" t="s">
        <v>8</v>
      </c>
      <c r="S40" s="1575">
        <f t="shared" si="9"/>
        <v>100</v>
      </c>
      <c r="T40" s="1574" t="s">
        <v>8</v>
      </c>
      <c r="U40" s="1575">
        <f t="shared" si="10"/>
        <v>100</v>
      </c>
      <c r="V40" s="1574" t="s">
        <v>8</v>
      </c>
      <c r="W40" s="1575">
        <f t="shared" si="11"/>
        <v>100</v>
      </c>
      <c r="X40" s="1568"/>
      <c r="Y40" s="3432"/>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32"/>
      <c r="Q41" s="1573" t="str">
        <f t="shared" si="8"/>
        <v>层高</v>
      </c>
      <c r="R41" s="1574" t="s">
        <v>8</v>
      </c>
      <c r="S41" s="1575">
        <f t="shared" si="9"/>
        <v>100</v>
      </c>
      <c r="T41" s="1574" t="s">
        <v>8</v>
      </c>
      <c r="U41" s="1575">
        <f t="shared" si="10"/>
        <v>100</v>
      </c>
      <c r="V41" s="1574" t="s">
        <v>8</v>
      </c>
      <c r="W41" s="1575">
        <f t="shared" si="11"/>
        <v>100</v>
      </c>
      <c r="X41" s="1568"/>
      <c r="Y41" s="3432"/>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32"/>
      <c r="Q42" s="1606" t="str">
        <f t="shared" si="8"/>
        <v>单套建筑面积</v>
      </c>
      <c r="R42" s="1578" t="s">
        <v>8</v>
      </c>
      <c r="S42" s="1579">
        <f t="shared" si="9"/>
        <v>100</v>
      </c>
      <c r="T42" s="1578" t="s">
        <v>8</v>
      </c>
      <c r="U42" s="1579">
        <f t="shared" si="10"/>
        <v>100</v>
      </c>
      <c r="V42" s="1578" t="s">
        <v>8</v>
      </c>
      <c r="W42" s="1579">
        <f t="shared" si="11"/>
        <v>100</v>
      </c>
      <c r="X42" s="1580"/>
      <c r="Y42" s="3432"/>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32"/>
      <c r="Q43" s="1573" t="str">
        <f t="shared" si="8"/>
        <v>内部装修</v>
      </c>
      <c r="R43" s="1574" t="s">
        <v>8</v>
      </c>
      <c r="S43" s="1575">
        <f t="shared" si="9"/>
        <v>100</v>
      </c>
      <c r="T43" s="1574" t="s">
        <v>8</v>
      </c>
      <c r="U43" s="1575">
        <f t="shared" si="10"/>
        <v>100</v>
      </c>
      <c r="V43" s="1574" t="s">
        <v>8</v>
      </c>
      <c r="W43" s="1575">
        <f t="shared" si="11"/>
        <v>100</v>
      </c>
      <c r="X43" s="1568"/>
      <c r="Y43" s="3432"/>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32"/>
      <c r="Q44" s="1573" t="str">
        <f t="shared" si="8"/>
        <v>内部装修维护情况</v>
      </c>
      <c r="R44" s="1574" t="s">
        <v>8</v>
      </c>
      <c r="S44" s="1575">
        <f t="shared" si="9"/>
        <v>100</v>
      </c>
      <c r="T44" s="1574" t="s">
        <v>8</v>
      </c>
      <c r="U44" s="1575">
        <f t="shared" si="10"/>
        <v>100</v>
      </c>
      <c r="V44" s="1574" t="s">
        <v>8</v>
      </c>
      <c r="W44" s="1575">
        <f t="shared" si="11"/>
        <v>100</v>
      </c>
      <c r="X44" s="1568"/>
      <c r="Y44" s="3432"/>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32"/>
      <c r="Q45" s="1151">
        <f t="shared" si="8"/>
        <v>111</v>
      </c>
      <c r="R45" s="1569" t="s">
        <v>8</v>
      </c>
      <c r="S45" s="1570">
        <f t="shared" si="9"/>
        <v>100</v>
      </c>
      <c r="T45" s="1569" t="s">
        <v>8</v>
      </c>
      <c r="U45" s="1570">
        <f t="shared" si="10"/>
        <v>100</v>
      </c>
      <c r="V45" s="1569" t="s">
        <v>8</v>
      </c>
      <c r="W45" s="1570">
        <f t="shared" si="11"/>
        <v>100</v>
      </c>
      <c r="X45" s="1571"/>
      <c r="Y45" s="3432"/>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32"/>
      <c r="Q46" s="1573">
        <f t="shared" si="8"/>
        <v>111</v>
      </c>
      <c r="R46" s="1574" t="s">
        <v>8</v>
      </c>
      <c r="S46" s="1575">
        <f t="shared" si="9"/>
        <v>100</v>
      </c>
      <c r="T46" s="1574" t="s">
        <v>8</v>
      </c>
      <c r="U46" s="1575">
        <f t="shared" si="10"/>
        <v>100</v>
      </c>
      <c r="V46" s="1574" t="s">
        <v>8</v>
      </c>
      <c r="W46" s="1575">
        <f t="shared" si="11"/>
        <v>100</v>
      </c>
      <c r="X46" s="1568"/>
      <c r="Y46" s="3432"/>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31"/>
      <c r="Q47" s="1573">
        <f t="shared" si="8"/>
        <v>111</v>
      </c>
      <c r="R47" s="1574" t="s">
        <v>8</v>
      </c>
      <c r="S47" s="1575">
        <f t="shared" si="9"/>
        <v>100</v>
      </c>
      <c r="T47" s="1574" t="s">
        <v>8</v>
      </c>
      <c r="U47" s="1575">
        <f t="shared" si="10"/>
        <v>100</v>
      </c>
      <c r="V47" s="1574" t="s">
        <v>8</v>
      </c>
      <c r="W47" s="1575">
        <f t="shared" si="11"/>
        <v>100</v>
      </c>
      <c r="X47" s="1568"/>
      <c r="Y47" s="3531"/>
      <c r="Z47" s="1576">
        <f t="shared" si="12"/>
        <v>111</v>
      </c>
      <c r="AA47" s="1577">
        <f t="shared" si="3"/>
        <v>1</v>
      </c>
      <c r="AB47" s="1577">
        <f t="shared" si="4"/>
        <v>1</v>
      </c>
      <c r="AC47" s="1577">
        <f t="shared" si="5"/>
        <v>1</v>
      </c>
    </row>
    <row r="48" spans="1:29" ht="15">
      <c r="A48" s="607" t="s">
        <v>736</v>
      </c>
      <c r="B48" s="887"/>
      <c r="C48" s="2651" t="s">
        <v>1</v>
      </c>
      <c r="D48" s="2652"/>
      <c r="E48" s="2653"/>
      <c r="F48" s="2654"/>
      <c r="G48" s="2655"/>
      <c r="H48" s="2656"/>
      <c r="I48" s="2653"/>
      <c r="J48" s="2656"/>
      <c r="K48" s="1612"/>
      <c r="L48" s="2144"/>
      <c r="M48" s="2134"/>
      <c r="N48" s="2134"/>
      <c r="O48" s="2134"/>
      <c r="P48" s="3451" t="str">
        <f>A48</f>
        <v>成交单价（元/平方米）</v>
      </c>
      <c r="Q48" s="3427"/>
      <c r="R48" s="3530">
        <f>E48</f>
        <v>0</v>
      </c>
      <c r="S48" s="3530"/>
      <c r="T48" s="3530">
        <f>G48</f>
        <v>0</v>
      </c>
      <c r="U48" s="3530"/>
      <c r="V48" s="3530">
        <f>I48</f>
        <v>0</v>
      </c>
      <c r="W48" s="3530"/>
      <c r="X48" s="1560"/>
      <c r="Y48" s="1582"/>
      <c r="Z48" s="1560"/>
      <c r="AA48" s="1560"/>
      <c r="AB48" s="1560"/>
      <c r="AC48" s="1560"/>
    </row>
    <row r="49" spans="1:29" ht="15.75" thickBot="1">
      <c r="A49" s="615" t="s">
        <v>2760</v>
      </c>
      <c r="B49" s="888"/>
      <c r="C49" s="2657" t="e">
        <f>R50</f>
        <v>#DIV/0!</v>
      </c>
      <c r="D49" s="2658"/>
      <c r="E49" s="2659" t="e">
        <f>R49</f>
        <v>#DIV/0!</v>
      </c>
      <c r="F49" s="2659"/>
      <c r="G49" s="2657" t="e">
        <f>T49</f>
        <v>#DIV/0!</v>
      </c>
      <c r="H49" s="2658"/>
      <c r="I49" s="2659" t="e">
        <f>V49</f>
        <v>#DIV/0!</v>
      </c>
      <c r="J49" s="2658"/>
      <c r="K49" s="1613"/>
      <c r="L49" s="2144"/>
      <c r="M49" s="2134"/>
      <c r="N49" s="2134"/>
      <c r="O49" s="2134"/>
      <c r="P49" s="3451" t="str">
        <f>A49</f>
        <v>比较价格（元/平方米）</v>
      </c>
      <c r="Q49" s="3427"/>
      <c r="R49" s="3530" t="e">
        <f>IF(F1="售价",ROUND(PRODUCT(R48,AA7:AA47),0),ROUND(PRODUCT(R48,AA7:AA47),1))</f>
        <v>#DIV/0!</v>
      </c>
      <c r="S49" s="3530"/>
      <c r="T49" s="3530" t="e">
        <f>IF(F1="售价",ROUND(PRODUCT(T48,AB7:AB47),0),ROUND(PRODUCT(T48,AB7:AB47),1))</f>
        <v>#DIV/0!</v>
      </c>
      <c r="U49" s="3530"/>
      <c r="V49" s="3530" t="e">
        <f>IF(F1="售价",ROUND(PRODUCT(V48,AC7:AC47),0),ROUND(PRODUCT(V48,AC7:AC47),1))</f>
        <v>#DIV/0!</v>
      </c>
      <c r="W49" s="3530"/>
      <c r="X49" s="1560"/>
      <c r="Y49" s="1560"/>
      <c r="Z49" s="1560"/>
      <c r="AA49" s="1560"/>
      <c r="AB49" s="1560"/>
      <c r="AC49" s="1560"/>
    </row>
    <row r="50" spans="1:29" ht="15.75" thickBot="1">
      <c r="A50" s="621" t="s">
        <v>2932</v>
      </c>
      <c r="B50" s="622"/>
      <c r="C50" s="2660" t="e">
        <f>R50</f>
        <v>#DIV/0!</v>
      </c>
      <c r="D50" s="2660"/>
      <c r="E50" s="2660"/>
      <c r="F50" s="2660"/>
      <c r="G50" s="2660"/>
      <c r="H50" s="2660"/>
      <c r="I50" s="2660"/>
      <c r="J50" s="2660"/>
      <c r="K50" s="1614"/>
      <c r="L50" s="2144"/>
      <c r="M50" s="2134"/>
      <c r="N50" s="2134"/>
      <c r="O50" s="2134"/>
      <c r="P50" s="3535" t="str">
        <f>A50</f>
        <v>估价对象XX用房的比较价格（楼面单价，元/平方米）</v>
      </c>
      <c r="Q50" s="3451"/>
      <c r="R50" s="3529" t="e">
        <f>IF(F1="售价",ROUND(AVERAGE(R49:V49),0),ROUND(AVERAGE(R49:V49),1))</f>
        <v>#DIV/0!</v>
      </c>
      <c r="S50" s="3529"/>
      <c r="T50" s="3529"/>
      <c r="U50" s="3529"/>
      <c r="V50" s="3529"/>
      <c r="W50" s="3529"/>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26" t="str">
        <f>YEAR(C7)&amp;"-"&amp;MONTH(C7)</f>
        <v>2018-5</v>
      </c>
      <c r="D59" s="2828">
        <f>EDATE(C59,-1)</f>
        <v>43191</v>
      </c>
      <c r="E59" s="2828">
        <f t="shared" ref="E59:O59" si="13">EDATE(D59,-1)</f>
        <v>43160</v>
      </c>
      <c r="F59" s="2828">
        <f t="shared" si="13"/>
        <v>43132</v>
      </c>
      <c r="G59" s="2828">
        <f t="shared" si="13"/>
        <v>43101</v>
      </c>
      <c r="H59" s="2828">
        <f t="shared" si="13"/>
        <v>43070</v>
      </c>
      <c r="I59" s="2828">
        <f t="shared" si="13"/>
        <v>43040</v>
      </c>
      <c r="J59" s="2828">
        <f t="shared" si="13"/>
        <v>43009</v>
      </c>
      <c r="K59" s="2828">
        <f t="shared" si="13"/>
        <v>42979</v>
      </c>
      <c r="L59" s="2828">
        <f t="shared" si="13"/>
        <v>42948</v>
      </c>
      <c r="M59" s="2828">
        <f t="shared" si="13"/>
        <v>42917</v>
      </c>
      <c r="N59" s="2828">
        <f t="shared" si="13"/>
        <v>42887</v>
      </c>
      <c r="O59" s="2828">
        <f t="shared" si="13"/>
        <v>42856</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2557</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2558</v>
      </c>
      <c r="C83" s="2622" t="s">
        <v>2559</v>
      </c>
      <c r="D83" s="2622" t="s">
        <v>2560</v>
      </c>
      <c r="E83" s="2622" t="s">
        <v>2561</v>
      </c>
      <c r="F83" s="2622" t="s">
        <v>2562</v>
      </c>
      <c r="G83" s="2622" t="s">
        <v>2563</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3" priority="16" stopIfTrue="1" operator="containsText" text="超过">
      <formula>NOT(ISERROR(SEARCH("超过",F53)))</formula>
    </cfRule>
  </conditionalFormatting>
  <conditionalFormatting sqref="H55">
    <cfRule type="containsText" dxfId="62" priority="15" stopIfTrue="1" operator="containsText" text="超过">
      <formula>NOT(ISERROR(SEARCH("超过",H55)))</formula>
    </cfRule>
  </conditionalFormatting>
  <conditionalFormatting sqref="F55">
    <cfRule type="containsText" dxfId="61" priority="14" stopIfTrue="1" operator="containsText" text="超过">
      <formula>NOT(ISERROR(SEARCH("超过",F55)))</formula>
    </cfRule>
  </conditionalFormatting>
  <conditionalFormatting sqref="F54 H54">
    <cfRule type="containsText" dxfId="60" priority="13" stopIfTrue="1" operator="containsText" text="超过">
      <formula>NOT(ISERROR(SEARCH("超过",F54)))</formula>
    </cfRule>
  </conditionalFormatting>
  <conditionalFormatting sqref="E53">
    <cfRule type="expression" dxfId="59" priority="12" stopIfTrue="1">
      <formula>$F$53="超过30%"</formula>
    </cfRule>
  </conditionalFormatting>
  <conditionalFormatting sqref="E54">
    <cfRule type="expression" dxfId="58" priority="11" stopIfTrue="1">
      <formula>$F$54="超过20%"</formula>
    </cfRule>
  </conditionalFormatting>
  <conditionalFormatting sqref="E55">
    <cfRule type="expression" dxfId="57" priority="10" stopIfTrue="1">
      <formula>$F$55="超过30%"</formula>
    </cfRule>
  </conditionalFormatting>
  <conditionalFormatting sqref="G55">
    <cfRule type="expression" dxfId="56" priority="9" stopIfTrue="1">
      <formula>$H$55="超过30%"</formula>
    </cfRule>
  </conditionalFormatting>
  <conditionalFormatting sqref="G53">
    <cfRule type="expression" dxfId="55" priority="8" stopIfTrue="1">
      <formula>$H$53="超过30%"</formula>
    </cfRule>
  </conditionalFormatting>
  <conditionalFormatting sqref="G54">
    <cfRule type="expression" dxfId="54" priority="7" stopIfTrue="1">
      <formula>$H$54="超过20%"</formula>
    </cfRule>
  </conditionalFormatting>
  <conditionalFormatting sqref="J53">
    <cfRule type="containsText" dxfId="53" priority="6" stopIfTrue="1" operator="containsText" text="超过">
      <formula>NOT(ISERROR(SEARCH("超过",J53)))</formula>
    </cfRule>
  </conditionalFormatting>
  <conditionalFormatting sqref="J55">
    <cfRule type="containsText" dxfId="52" priority="5" stopIfTrue="1" operator="containsText" text="超过">
      <formula>NOT(ISERROR(SEARCH("超过",J55)))</formula>
    </cfRule>
  </conditionalFormatting>
  <conditionalFormatting sqref="J54">
    <cfRule type="containsText" dxfId="51" priority="4" stopIfTrue="1" operator="containsText" text="超过">
      <formula>NOT(ISERROR(SEARCH("超过",J54)))</formula>
    </cfRule>
  </conditionalFormatting>
  <conditionalFormatting sqref="I53">
    <cfRule type="expression" dxfId="50" priority="3" stopIfTrue="1">
      <formula>$J$53="超过30%"</formula>
    </cfRule>
  </conditionalFormatting>
  <conditionalFormatting sqref="I54">
    <cfRule type="expression" dxfId="49" priority="2" stopIfTrue="1">
      <formula>$J$53+$J$54="超过20%"</formula>
    </cfRule>
  </conditionalFormatting>
  <conditionalFormatting sqref="I55">
    <cfRule type="expression" dxfId="4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1"/>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433" t="s">
        <v>522</v>
      </c>
      <c r="D4" s="3434"/>
      <c r="E4" s="3459" t="s">
        <v>523</v>
      </c>
      <c r="F4" s="3460"/>
      <c r="G4" s="3433" t="s">
        <v>524</v>
      </c>
      <c r="H4" s="3434"/>
      <c r="I4" s="3433" t="s">
        <v>525</v>
      </c>
      <c r="J4" s="3434"/>
      <c r="K4" s="514" t="s">
        <v>526</v>
      </c>
      <c r="L4" s="2133"/>
      <c r="M4" s="2134"/>
      <c r="N4" s="2134"/>
      <c r="O4" s="2134"/>
      <c r="P4" s="3435" t="s">
        <v>527</v>
      </c>
      <c r="Q4" s="3436"/>
      <c r="R4" s="3421" t="s">
        <v>523</v>
      </c>
      <c r="S4" s="3422"/>
      <c r="T4" s="3421" t="s">
        <v>524</v>
      </c>
      <c r="U4" s="3422"/>
      <c r="V4" s="3441" t="s">
        <v>525</v>
      </c>
      <c r="W4" s="3441"/>
      <c r="X4" s="1568"/>
      <c r="Y4" s="3421" t="s">
        <v>527</v>
      </c>
      <c r="Z4" s="3422"/>
      <c r="AA4" s="3416" t="s">
        <v>523</v>
      </c>
      <c r="AB4" s="3417" t="s">
        <v>524</v>
      </c>
      <c r="AC4" s="3416" t="s">
        <v>525</v>
      </c>
    </row>
    <row r="5" spans="1:29" ht="15">
      <c r="A5" s="515"/>
      <c r="B5" s="516"/>
      <c r="C5" s="3446" t="s">
        <v>2926</v>
      </c>
      <c r="D5" s="3445"/>
      <c r="E5" s="3461" t="s">
        <v>2927</v>
      </c>
      <c r="F5" s="3462"/>
      <c r="G5" s="3446" t="s">
        <v>2928</v>
      </c>
      <c r="H5" s="3445"/>
      <c r="I5" s="3446" t="s">
        <v>2929</v>
      </c>
      <c r="J5" s="3445"/>
      <c r="K5" s="514"/>
      <c r="L5" s="2133"/>
      <c r="M5" s="2134"/>
      <c r="N5" s="2134"/>
      <c r="O5" s="2134"/>
      <c r="P5" s="3437"/>
      <c r="Q5" s="3438"/>
      <c r="R5" s="3423"/>
      <c r="S5" s="3424"/>
      <c r="T5" s="3423"/>
      <c r="U5" s="3424"/>
      <c r="V5" s="3441"/>
      <c r="W5" s="3441"/>
      <c r="X5" s="1568"/>
      <c r="Y5" s="3423"/>
      <c r="Z5" s="3424"/>
      <c r="AA5" s="3417"/>
      <c r="AB5" s="3417"/>
      <c r="AC5" s="3417"/>
    </row>
    <row r="6" spans="1:29" ht="15.75" thickBot="1">
      <c r="A6" s="517"/>
      <c r="B6" s="518"/>
      <c r="C6" s="3463" t="s">
        <v>2930</v>
      </c>
      <c r="D6" s="3443"/>
      <c r="E6" s="3464" t="s">
        <v>2930</v>
      </c>
      <c r="F6" s="3465"/>
      <c r="G6" s="3463" t="s">
        <v>2930</v>
      </c>
      <c r="H6" s="3443"/>
      <c r="I6" s="3463" t="s">
        <v>2930</v>
      </c>
      <c r="J6" s="3443"/>
      <c r="K6" s="514" t="s">
        <v>528</v>
      </c>
      <c r="L6" s="2133"/>
      <c r="M6" s="2134"/>
      <c r="N6" s="2134"/>
      <c r="O6" s="2134"/>
      <c r="P6" s="3439"/>
      <c r="Q6" s="3440"/>
      <c r="R6" s="3423"/>
      <c r="S6" s="3424"/>
      <c r="T6" s="3425"/>
      <c r="U6" s="3426"/>
      <c r="V6" s="3441"/>
      <c r="W6" s="3441"/>
      <c r="X6" s="1568"/>
      <c r="Y6" s="3425"/>
      <c r="Z6" s="3426"/>
      <c r="AA6" s="3418"/>
      <c r="AB6" s="3418"/>
      <c r="AC6" s="3418"/>
    </row>
    <row r="7" spans="1:29" s="1220" customFormat="1" ht="15.75" thickBot="1">
      <c r="A7" s="2936"/>
      <c r="B7" s="2943" t="s">
        <v>529</v>
      </c>
      <c r="C7" s="519">
        <f>'数据-取费表'!B2</f>
        <v>43244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19" t="s">
        <v>530</v>
      </c>
      <c r="Q7" s="3428"/>
      <c r="R7" s="1569" t="s">
        <v>8</v>
      </c>
      <c r="S7" s="1570">
        <f t="shared" ref="S7:S15" si="0">F7</f>
        <v>0</v>
      </c>
      <c r="T7" s="1569" t="s">
        <v>8</v>
      </c>
      <c r="U7" s="1570">
        <f t="shared" ref="U7:U15" si="1">H7</f>
        <v>0</v>
      </c>
      <c r="V7" s="1569" t="s">
        <v>8</v>
      </c>
      <c r="W7" s="1570">
        <f t="shared" ref="W7:W15" si="2">J7</f>
        <v>0</v>
      </c>
      <c r="X7" s="1571"/>
      <c r="Y7" s="3419" t="s">
        <v>530</v>
      </c>
      <c r="Z7" s="3420"/>
      <c r="AA7" s="1572" t="e">
        <f>D7/F7</f>
        <v>#DIV/0!</v>
      </c>
      <c r="AB7" s="1572" t="e">
        <f>D7/H7</f>
        <v>#DIV/0!</v>
      </c>
      <c r="AC7" s="1572" t="e">
        <f>D7/J7</f>
        <v>#DIV/0!</v>
      </c>
    </row>
    <row r="8" spans="1:29" s="1220"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19" t="s">
        <v>533</v>
      </c>
      <c r="Q8" s="3420"/>
      <c r="R8" s="1569" t="s">
        <v>8</v>
      </c>
      <c r="S8" s="1570">
        <f t="shared" si="0"/>
        <v>0</v>
      </c>
      <c r="T8" s="1569" t="s">
        <v>8</v>
      </c>
      <c r="U8" s="1570">
        <f t="shared" si="1"/>
        <v>0</v>
      </c>
      <c r="V8" s="1569" t="s">
        <v>8</v>
      </c>
      <c r="W8" s="1570">
        <f t="shared" si="2"/>
        <v>0</v>
      </c>
      <c r="X8" s="1571"/>
      <c r="Y8" s="3419" t="s">
        <v>533</v>
      </c>
      <c r="Z8" s="3420"/>
      <c r="AA8" s="1572" t="e">
        <f t="shared" ref="AA8:AA40" si="3">D8/F8</f>
        <v>#DIV/0!</v>
      </c>
      <c r="AB8" s="1572" t="e">
        <f t="shared" ref="AB8:AB40" si="4">D8/H8</f>
        <v>#DIV/0!</v>
      </c>
      <c r="AC8" s="1572" t="e">
        <f t="shared" ref="AC8:AC40" si="5">D8/J8</f>
        <v>#DIV/0!</v>
      </c>
    </row>
    <row r="9" spans="1:29" s="1220" customFormat="1" ht="15">
      <c r="A9" s="2938"/>
      <c r="B9" s="2945"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27" t="s">
        <v>535</v>
      </c>
      <c r="Q9" s="1151" t="str">
        <f t="shared" ref="Q9:Q15" si="6">B9</f>
        <v>用途</v>
      </c>
      <c r="R9" s="1569" t="s">
        <v>8</v>
      </c>
      <c r="S9" s="1570">
        <f t="shared" si="0"/>
        <v>100</v>
      </c>
      <c r="T9" s="1569" t="s">
        <v>8</v>
      </c>
      <c r="U9" s="1570">
        <f t="shared" si="1"/>
        <v>100</v>
      </c>
      <c r="V9" s="1569" t="s">
        <v>8</v>
      </c>
      <c r="W9" s="1570">
        <f t="shared" si="2"/>
        <v>100</v>
      </c>
      <c r="X9" s="1571"/>
      <c r="Y9" s="3384" t="s">
        <v>536</v>
      </c>
      <c r="Z9" s="1150" t="str">
        <f t="shared" ref="Z9:Z15" si="7">Q9</f>
        <v>用途</v>
      </c>
      <c r="AA9" s="1572">
        <f t="shared" si="3"/>
        <v>1</v>
      </c>
      <c r="AB9" s="1572">
        <f t="shared" si="4"/>
        <v>1</v>
      </c>
      <c r="AC9" s="1572">
        <f t="shared" si="5"/>
        <v>1</v>
      </c>
    </row>
    <row r="10" spans="1:29" s="1338" customFormat="1" ht="27">
      <c r="A10" s="2939"/>
      <c r="B10" s="2944"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27"/>
      <c r="Q10" s="1151" t="str">
        <f t="shared" si="6"/>
        <v>土地使用年限（年）</v>
      </c>
      <c r="R10" s="1569" t="s">
        <v>8</v>
      </c>
      <c r="S10" s="1570">
        <f t="shared" si="0"/>
        <v>100</v>
      </c>
      <c r="T10" s="1569" t="s">
        <v>8</v>
      </c>
      <c r="U10" s="1570">
        <f t="shared" si="1"/>
        <v>100</v>
      </c>
      <c r="V10" s="1569" t="s">
        <v>8</v>
      </c>
      <c r="W10" s="1570">
        <f t="shared" si="2"/>
        <v>100</v>
      </c>
      <c r="X10" s="1571"/>
      <c r="Y10" s="3384"/>
      <c r="Z10" s="1150" t="str">
        <f t="shared" si="7"/>
        <v>土地使用年限（年）</v>
      </c>
      <c r="AA10" s="1572">
        <f t="shared" si="3"/>
        <v>1</v>
      </c>
      <c r="AB10" s="1572">
        <f t="shared" si="4"/>
        <v>1</v>
      </c>
      <c r="AC10" s="1572">
        <f t="shared" si="5"/>
        <v>1</v>
      </c>
    </row>
    <row r="11" spans="1:29" ht="15">
      <c r="A11" s="2940"/>
      <c r="B11" s="294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27"/>
      <c r="Q11" s="1151" t="str">
        <f t="shared" si="6"/>
        <v>容积率</v>
      </c>
      <c r="R11" s="1569" t="s">
        <v>8</v>
      </c>
      <c r="S11" s="1570" t="e">
        <f t="shared" si="0"/>
        <v>#N/A</v>
      </c>
      <c r="T11" s="1569" t="s">
        <v>8</v>
      </c>
      <c r="U11" s="1570" t="e">
        <f t="shared" si="1"/>
        <v>#N/A</v>
      </c>
      <c r="V11" s="1569" t="s">
        <v>8</v>
      </c>
      <c r="W11" s="1570" t="e">
        <f t="shared" si="2"/>
        <v>#N/A</v>
      </c>
      <c r="X11" s="1571"/>
      <c r="Y11" s="3384"/>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27"/>
      <c r="Q12" s="1151">
        <f t="shared" si="6"/>
        <v>111</v>
      </c>
      <c r="R12" s="1569" t="s">
        <v>8</v>
      </c>
      <c r="S12" s="1570">
        <f t="shared" si="0"/>
        <v>100</v>
      </c>
      <c r="T12" s="1569" t="s">
        <v>8</v>
      </c>
      <c r="U12" s="1570">
        <f t="shared" si="1"/>
        <v>100</v>
      </c>
      <c r="V12" s="1569" t="s">
        <v>8</v>
      </c>
      <c r="W12" s="1570">
        <f t="shared" si="2"/>
        <v>100</v>
      </c>
      <c r="X12" s="1571"/>
      <c r="Y12" s="3384"/>
      <c r="Z12" s="1150">
        <f t="shared" si="7"/>
        <v>111</v>
      </c>
      <c r="AA12" s="1572">
        <f>D12/F12</f>
        <v>1</v>
      </c>
      <c r="AB12" s="1572">
        <f>D12/H12</f>
        <v>1</v>
      </c>
      <c r="AC12" s="1572">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27"/>
      <c r="Q13" s="1151">
        <f t="shared" si="6"/>
        <v>111</v>
      </c>
      <c r="R13" s="1569" t="s">
        <v>8</v>
      </c>
      <c r="S13" s="1570">
        <f t="shared" si="0"/>
        <v>100</v>
      </c>
      <c r="T13" s="1569" t="s">
        <v>8</v>
      </c>
      <c r="U13" s="1570">
        <f t="shared" si="1"/>
        <v>100</v>
      </c>
      <c r="V13" s="1569" t="s">
        <v>8</v>
      </c>
      <c r="W13" s="1570">
        <f t="shared" si="2"/>
        <v>100</v>
      </c>
      <c r="X13" s="1571"/>
      <c r="Y13" s="3384"/>
      <c r="Z13" s="1150">
        <f t="shared" si="7"/>
        <v>111</v>
      </c>
      <c r="AA13" s="1572">
        <f t="shared" si="3"/>
        <v>1</v>
      </c>
      <c r="AB13" s="1572">
        <f t="shared" si="4"/>
        <v>1</v>
      </c>
      <c r="AC13" s="1572">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27"/>
      <c r="Q14" s="1151">
        <f t="shared" si="6"/>
        <v>111</v>
      </c>
      <c r="R14" s="1569" t="s">
        <v>8</v>
      </c>
      <c r="S14" s="1570">
        <f t="shared" si="0"/>
        <v>100</v>
      </c>
      <c r="T14" s="1569" t="s">
        <v>8</v>
      </c>
      <c r="U14" s="1570">
        <f t="shared" si="1"/>
        <v>100</v>
      </c>
      <c r="V14" s="1569" t="s">
        <v>8</v>
      </c>
      <c r="W14" s="1570">
        <f t="shared" si="2"/>
        <v>100</v>
      </c>
      <c r="X14" s="1571"/>
      <c r="Y14" s="3384"/>
      <c r="Z14" s="1150">
        <f t="shared" si="7"/>
        <v>111</v>
      </c>
      <c r="AA14" s="1572">
        <f t="shared" si="3"/>
        <v>1</v>
      </c>
      <c r="AB14" s="1572">
        <f t="shared" si="4"/>
        <v>1</v>
      </c>
      <c r="AC14" s="1572">
        <f t="shared" si="5"/>
        <v>1</v>
      </c>
    </row>
    <row r="15" spans="1:29" ht="57">
      <c r="A15" s="2934"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29" t="s">
        <v>540</v>
      </c>
      <c r="Q15" s="1573" t="str">
        <f t="shared" si="6"/>
        <v>产业集聚程度</v>
      </c>
      <c r="R15" s="1574" t="s">
        <v>8</v>
      </c>
      <c r="S15" s="1575">
        <f t="shared" si="0"/>
        <v>100</v>
      </c>
      <c r="T15" s="1574" t="s">
        <v>8</v>
      </c>
      <c r="U15" s="1575">
        <f t="shared" si="1"/>
        <v>100</v>
      </c>
      <c r="V15" s="1574" t="s">
        <v>8</v>
      </c>
      <c r="W15" s="1575">
        <f t="shared" si="2"/>
        <v>100</v>
      </c>
      <c r="X15" s="1568"/>
      <c r="Y15" s="342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30"/>
      <c r="Q16" s="1573"/>
      <c r="R16" s="1574"/>
      <c r="S16" s="1575"/>
      <c r="T16" s="1574"/>
      <c r="U16" s="1575"/>
      <c r="V16" s="1574"/>
      <c r="W16" s="1575"/>
      <c r="X16" s="1568"/>
      <c r="Y16" s="343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30"/>
      <c r="Q17" s="1573" t="str">
        <f>B17</f>
        <v>交通便捷度</v>
      </c>
      <c r="R17" s="1574" t="s">
        <v>8</v>
      </c>
      <c r="S17" s="1575">
        <f>F17</f>
        <v>100</v>
      </c>
      <c r="T17" s="1574" t="s">
        <v>8</v>
      </c>
      <c r="U17" s="1575">
        <f>H17</f>
        <v>100</v>
      </c>
      <c r="V17" s="1574" t="s">
        <v>8</v>
      </c>
      <c r="W17" s="1575">
        <f>J17</f>
        <v>100</v>
      </c>
      <c r="X17" s="1568"/>
      <c r="Y17" s="343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30"/>
      <c r="Q18" s="1573"/>
      <c r="R18" s="1574"/>
      <c r="S18" s="1575"/>
      <c r="T18" s="1574"/>
      <c r="U18" s="1575"/>
      <c r="V18" s="1574"/>
      <c r="W18" s="1575"/>
      <c r="X18" s="1568"/>
      <c r="Y18" s="3430"/>
      <c r="Z18" s="1576"/>
      <c r="AA18" s="1577">
        <v>1</v>
      </c>
      <c r="AB18" s="1577">
        <v>1</v>
      </c>
      <c r="AC18" s="1577">
        <v>1</v>
      </c>
    </row>
    <row r="19" spans="1:29" ht="42.75">
      <c r="A19" s="532"/>
      <c r="B19" s="262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30"/>
      <c r="Q19" s="1573" t="str">
        <f>B19</f>
        <v>公共配套设施</v>
      </c>
      <c r="R19" s="1574" t="s">
        <v>8</v>
      </c>
      <c r="S19" s="1575">
        <f>F19</f>
        <v>100</v>
      </c>
      <c r="T19" s="1574" t="s">
        <v>8</v>
      </c>
      <c r="U19" s="1575">
        <f>H19</f>
        <v>100</v>
      </c>
      <c r="V19" s="1574" t="s">
        <v>8</v>
      </c>
      <c r="W19" s="1575">
        <f>J19</f>
        <v>100</v>
      </c>
      <c r="X19" s="1568"/>
      <c r="Y19" s="343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30"/>
      <c r="Q20" s="1573"/>
      <c r="R20" s="1574"/>
      <c r="S20" s="1575"/>
      <c r="T20" s="1574"/>
      <c r="U20" s="1575"/>
      <c r="V20" s="1574"/>
      <c r="W20" s="1575"/>
      <c r="X20" s="1568"/>
      <c r="Y20" s="3430"/>
      <c r="Z20" s="1576"/>
      <c r="AA20" s="1577">
        <v>1</v>
      </c>
      <c r="AB20" s="1577">
        <v>1</v>
      </c>
      <c r="AC20" s="1577">
        <v>1</v>
      </c>
    </row>
    <row r="21" spans="1:29" ht="28.5">
      <c r="A21" s="532"/>
      <c r="B21" s="261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30"/>
      <c r="Q21" s="2603" t="str">
        <f>B21</f>
        <v>基础设施水平</v>
      </c>
      <c r="R21" s="1574" t="s">
        <v>8</v>
      </c>
      <c r="S21" s="1575">
        <f>F21</f>
        <v>100</v>
      </c>
      <c r="T21" s="1574" t="s">
        <v>8</v>
      </c>
      <c r="U21" s="1575">
        <f>H21</f>
        <v>100</v>
      </c>
      <c r="V21" s="1574" t="s">
        <v>8</v>
      </c>
      <c r="W21" s="1575">
        <f>J21</f>
        <v>100</v>
      </c>
      <c r="X21" s="2605"/>
      <c r="Y21" s="3430"/>
      <c r="Z21" s="2604" t="str">
        <f>Q21</f>
        <v>基础设施水平</v>
      </c>
      <c r="AA21" s="1577">
        <f>D21/F21</f>
        <v>1</v>
      </c>
      <c r="AB21" s="1577">
        <f>D21/H21</f>
        <v>1</v>
      </c>
      <c r="AC21" s="1577">
        <f>D21/J21</f>
        <v>1</v>
      </c>
    </row>
    <row r="22" spans="1:29" ht="15">
      <c r="A22" s="532"/>
      <c r="B22" s="578"/>
      <c r="C22" s="873"/>
      <c r="D22" s="555"/>
      <c r="E22" s="576"/>
      <c r="F22" s="557"/>
      <c r="G22" s="576"/>
      <c r="H22" s="555"/>
      <c r="I22" s="576"/>
      <c r="J22" s="555"/>
      <c r="K22" s="2626"/>
      <c r="L22" s="2142"/>
      <c r="M22" s="2134"/>
      <c r="N22" s="2134"/>
      <c r="O22" s="2141"/>
      <c r="P22" s="3430"/>
      <c r="Q22" s="2603"/>
      <c r="R22" s="1574"/>
      <c r="S22" s="1575"/>
      <c r="T22" s="1574"/>
      <c r="U22" s="1575"/>
      <c r="V22" s="1574"/>
      <c r="W22" s="1575"/>
      <c r="X22" s="2605"/>
      <c r="Y22" s="3430"/>
      <c r="Z22" s="2604"/>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30"/>
      <c r="Q23" s="1573" t="str">
        <f>B23</f>
        <v>环境质量</v>
      </c>
      <c r="R23" s="1574" t="s">
        <v>8</v>
      </c>
      <c r="S23" s="1575">
        <f>F23</f>
        <v>100</v>
      </c>
      <c r="T23" s="1574" t="s">
        <v>8</v>
      </c>
      <c r="U23" s="1575">
        <f>H23</f>
        <v>100</v>
      </c>
      <c r="V23" s="1574" t="s">
        <v>8</v>
      </c>
      <c r="W23" s="1575">
        <f>J23</f>
        <v>100</v>
      </c>
      <c r="X23" s="1568"/>
      <c r="Y23" s="343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30"/>
      <c r="Q24" s="1573"/>
      <c r="R24" s="1574"/>
      <c r="S24" s="1575"/>
      <c r="T24" s="1574"/>
      <c r="U24" s="1575"/>
      <c r="V24" s="1574"/>
      <c r="W24" s="1575"/>
      <c r="X24" s="1568"/>
      <c r="Y24" s="343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30"/>
      <c r="Q25" s="1573">
        <f>B25</f>
        <v>111</v>
      </c>
      <c r="R25" s="1574" t="s">
        <v>8</v>
      </c>
      <c r="S25" s="1575">
        <f>F25</f>
        <v>100</v>
      </c>
      <c r="T25" s="1574" t="s">
        <v>8</v>
      </c>
      <c r="U25" s="1575">
        <f>H25</f>
        <v>100</v>
      </c>
      <c r="V25" s="1574" t="s">
        <v>8</v>
      </c>
      <c r="W25" s="1575">
        <f>J25</f>
        <v>100</v>
      </c>
      <c r="X25" s="1568"/>
      <c r="Y25" s="343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30"/>
      <c r="Q26" s="1573">
        <f t="shared" ref="Q26:Q40" si="8">B26</f>
        <v>111</v>
      </c>
      <c r="R26" s="1574" t="s">
        <v>8</v>
      </c>
      <c r="S26" s="1575">
        <f>F26</f>
        <v>100</v>
      </c>
      <c r="T26" s="1574" t="s">
        <v>8</v>
      </c>
      <c r="U26" s="1575">
        <f>H26</f>
        <v>100</v>
      </c>
      <c r="V26" s="1574" t="s">
        <v>8</v>
      </c>
      <c r="W26" s="1575">
        <f>J26</f>
        <v>100</v>
      </c>
      <c r="X26" s="1568"/>
      <c r="Y26" s="343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30"/>
      <c r="Q27" s="1151">
        <f t="shared" si="8"/>
        <v>111</v>
      </c>
      <c r="R27" s="1569" t="s">
        <v>8</v>
      </c>
      <c r="S27" s="1570">
        <f>F27</f>
        <v>100</v>
      </c>
      <c r="T27" s="1569" t="s">
        <v>8</v>
      </c>
      <c r="U27" s="1570">
        <f>H27</f>
        <v>100</v>
      </c>
      <c r="V27" s="1569" t="s">
        <v>8</v>
      </c>
      <c r="W27" s="1570">
        <f>J27</f>
        <v>100</v>
      </c>
      <c r="X27" s="1571"/>
      <c r="Y27" s="343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30"/>
      <c r="Q28" s="1573">
        <f t="shared" si="8"/>
        <v>111</v>
      </c>
      <c r="R28" s="1574" t="s">
        <v>8</v>
      </c>
      <c r="S28" s="1575">
        <f t="shared" ref="S28:S40" si="9">F28</f>
        <v>100</v>
      </c>
      <c r="T28" s="1574" t="s">
        <v>8</v>
      </c>
      <c r="U28" s="1575">
        <f t="shared" ref="U28:U40" si="10">H28</f>
        <v>100</v>
      </c>
      <c r="V28" s="1574" t="s">
        <v>8</v>
      </c>
      <c r="W28" s="1575">
        <f t="shared" ref="W28:W40" si="11">J28</f>
        <v>100</v>
      </c>
      <c r="X28" s="1568"/>
      <c r="Y28" s="3430"/>
      <c r="Z28" s="1576">
        <f t="shared" ref="Z28:Z40" si="12">Q28</f>
        <v>111</v>
      </c>
      <c r="AA28" s="1577">
        <f t="shared" si="3"/>
        <v>1</v>
      </c>
      <c r="AB28" s="1577">
        <f t="shared" si="4"/>
        <v>1</v>
      </c>
      <c r="AC28" s="1577">
        <f t="shared" si="5"/>
        <v>1</v>
      </c>
    </row>
    <row r="29" spans="1:29" ht="15">
      <c r="A29" s="2931"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31" t="s">
        <v>550</v>
      </c>
      <c r="Q29" s="1573" t="str">
        <f t="shared" si="8"/>
        <v>建筑类型</v>
      </c>
      <c r="R29" s="1574" t="s">
        <v>8</v>
      </c>
      <c r="S29" s="1575">
        <f t="shared" si="9"/>
        <v>100</v>
      </c>
      <c r="T29" s="1574" t="s">
        <v>8</v>
      </c>
      <c r="U29" s="1575">
        <f t="shared" si="10"/>
        <v>100</v>
      </c>
      <c r="V29" s="1574" t="s">
        <v>8</v>
      </c>
      <c r="W29" s="1575">
        <f t="shared" si="11"/>
        <v>100</v>
      </c>
      <c r="X29" s="1568"/>
      <c r="Y29" s="3432"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32"/>
      <c r="Q30" s="1606" t="str">
        <f t="shared" si="8"/>
        <v>项目建筑规模</v>
      </c>
      <c r="R30" s="1578" t="s">
        <v>8</v>
      </c>
      <c r="S30" s="1579" t="e">
        <f t="shared" si="9"/>
        <v>#N/A</v>
      </c>
      <c r="T30" s="1578" t="s">
        <v>8</v>
      </c>
      <c r="U30" s="1579" t="e">
        <f t="shared" si="10"/>
        <v>#N/A</v>
      </c>
      <c r="V30" s="1578" t="s">
        <v>8</v>
      </c>
      <c r="W30" s="1579" t="e">
        <f t="shared" si="11"/>
        <v>#N/A</v>
      </c>
      <c r="X30" s="1580"/>
      <c r="Y30" s="3432"/>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32"/>
      <c r="Q31" s="1573" t="str">
        <f t="shared" si="8"/>
        <v>建筑结构</v>
      </c>
      <c r="R31" s="1574" t="s">
        <v>8</v>
      </c>
      <c r="S31" s="1575">
        <f t="shared" si="9"/>
        <v>100</v>
      </c>
      <c r="T31" s="1574" t="s">
        <v>8</v>
      </c>
      <c r="U31" s="1575">
        <f t="shared" si="10"/>
        <v>100</v>
      </c>
      <c r="V31" s="1574" t="s">
        <v>8</v>
      </c>
      <c r="W31" s="1575">
        <f t="shared" si="11"/>
        <v>100</v>
      </c>
      <c r="X31" s="1568"/>
      <c r="Y31" s="3432"/>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32"/>
      <c r="Q32" s="1573" t="str">
        <f t="shared" si="8"/>
        <v>公共部分装修</v>
      </c>
      <c r="R32" s="1574" t="s">
        <v>8</v>
      </c>
      <c r="S32" s="1575">
        <f t="shared" si="9"/>
        <v>100</v>
      </c>
      <c r="T32" s="1574" t="s">
        <v>8</v>
      </c>
      <c r="U32" s="1575">
        <f t="shared" si="10"/>
        <v>100</v>
      </c>
      <c r="V32" s="1574" t="s">
        <v>8</v>
      </c>
      <c r="W32" s="1575">
        <f t="shared" si="11"/>
        <v>100</v>
      </c>
      <c r="X32" s="1568"/>
      <c r="Y32" s="3432"/>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32"/>
      <c r="Q33" s="1573" t="str">
        <f t="shared" si="8"/>
        <v>成新度</v>
      </c>
      <c r="R33" s="1574" t="s">
        <v>8</v>
      </c>
      <c r="S33" s="1575" t="e">
        <f t="shared" si="9"/>
        <v>#N/A</v>
      </c>
      <c r="T33" s="1574" t="s">
        <v>8</v>
      </c>
      <c r="U33" s="1575" t="e">
        <f t="shared" si="10"/>
        <v>#N/A</v>
      </c>
      <c r="V33" s="1574" t="s">
        <v>8</v>
      </c>
      <c r="W33" s="1575" t="e">
        <f t="shared" si="11"/>
        <v>#N/A</v>
      </c>
      <c r="X33" s="1568"/>
      <c r="Y33" s="3432"/>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32"/>
      <c r="Q34" s="1151" t="str">
        <f t="shared" si="8"/>
        <v>物业管理</v>
      </c>
      <c r="R34" s="1569" t="s">
        <v>8</v>
      </c>
      <c r="S34" s="1570">
        <f t="shared" si="9"/>
        <v>100</v>
      </c>
      <c r="T34" s="1569" t="s">
        <v>8</v>
      </c>
      <c r="U34" s="1570">
        <f t="shared" si="10"/>
        <v>100</v>
      </c>
      <c r="V34" s="1569" t="s">
        <v>8</v>
      </c>
      <c r="W34" s="1570">
        <f t="shared" si="11"/>
        <v>100</v>
      </c>
      <c r="X34" s="1571"/>
      <c r="Y34" s="3432"/>
      <c r="Z34" s="1150" t="str">
        <f t="shared" si="12"/>
        <v>物业管理</v>
      </c>
      <c r="AA34" s="1572">
        <f t="shared" si="3"/>
        <v>1</v>
      </c>
      <c r="AB34" s="1572">
        <f t="shared" si="4"/>
        <v>1</v>
      </c>
      <c r="AC34" s="1572">
        <f t="shared" si="5"/>
        <v>1</v>
      </c>
    </row>
    <row r="35" spans="1:29" ht="15">
      <c r="A35" s="594"/>
      <c r="B35" s="1895"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32" t="s">
        <v>550</v>
      </c>
      <c r="Q35" s="1573" t="str">
        <f t="shared" si="8"/>
        <v>市政基础设施</v>
      </c>
      <c r="R35" s="1574" t="s">
        <v>8</v>
      </c>
      <c r="S35" s="1575">
        <f t="shared" si="9"/>
        <v>100</v>
      </c>
      <c r="T35" s="1574" t="s">
        <v>8</v>
      </c>
      <c r="U35" s="1575">
        <f t="shared" si="10"/>
        <v>100</v>
      </c>
      <c r="V35" s="1574" t="s">
        <v>8</v>
      </c>
      <c r="W35" s="1575">
        <f t="shared" si="11"/>
        <v>100</v>
      </c>
      <c r="X35" s="1568"/>
      <c r="Y35" s="3432"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32"/>
      <c r="Q36" s="1573" t="str">
        <f t="shared" si="8"/>
        <v>内部装修</v>
      </c>
      <c r="R36" s="1574" t="s">
        <v>8</v>
      </c>
      <c r="S36" s="1575">
        <f t="shared" si="9"/>
        <v>100</v>
      </c>
      <c r="T36" s="1574" t="s">
        <v>8</v>
      </c>
      <c r="U36" s="1575">
        <f t="shared" si="10"/>
        <v>100</v>
      </c>
      <c r="V36" s="1574" t="s">
        <v>8</v>
      </c>
      <c r="W36" s="1575">
        <f t="shared" si="11"/>
        <v>100</v>
      </c>
      <c r="X36" s="1568"/>
      <c r="Y36" s="3432"/>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32"/>
      <c r="Q37" s="1573" t="str">
        <f t="shared" si="8"/>
        <v>内部装修状况</v>
      </c>
      <c r="R37" s="1574" t="s">
        <v>8</v>
      </c>
      <c r="S37" s="1575">
        <f t="shared" si="9"/>
        <v>100</v>
      </c>
      <c r="T37" s="1574" t="s">
        <v>8</v>
      </c>
      <c r="U37" s="1575">
        <f t="shared" si="10"/>
        <v>100</v>
      </c>
      <c r="V37" s="1574" t="s">
        <v>8</v>
      </c>
      <c r="W37" s="1575">
        <f t="shared" si="11"/>
        <v>100</v>
      </c>
      <c r="X37" s="1568"/>
      <c r="Y37" s="3432"/>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32"/>
      <c r="Q38" s="1606">
        <f t="shared" si="8"/>
        <v>111</v>
      </c>
      <c r="R38" s="1578" t="s">
        <v>8</v>
      </c>
      <c r="S38" s="1579">
        <f t="shared" si="9"/>
        <v>100</v>
      </c>
      <c r="T38" s="1578" t="s">
        <v>8</v>
      </c>
      <c r="U38" s="1579">
        <f t="shared" si="10"/>
        <v>100</v>
      </c>
      <c r="V38" s="1578" t="s">
        <v>8</v>
      </c>
      <c r="W38" s="1579">
        <f t="shared" si="11"/>
        <v>100</v>
      </c>
      <c r="X38" s="1580"/>
      <c r="Y38" s="3432"/>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32"/>
      <c r="Q39" s="1573">
        <f t="shared" si="8"/>
        <v>111</v>
      </c>
      <c r="R39" s="1574" t="s">
        <v>8</v>
      </c>
      <c r="S39" s="1575">
        <f t="shared" si="9"/>
        <v>100</v>
      </c>
      <c r="T39" s="1574" t="s">
        <v>8</v>
      </c>
      <c r="U39" s="1575">
        <f t="shared" si="10"/>
        <v>100</v>
      </c>
      <c r="V39" s="1574" t="s">
        <v>8</v>
      </c>
      <c r="W39" s="1575">
        <f t="shared" si="11"/>
        <v>100</v>
      </c>
      <c r="X39" s="1568"/>
      <c r="Y39" s="3432"/>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31"/>
      <c r="Q40" s="1573">
        <f t="shared" si="8"/>
        <v>111</v>
      </c>
      <c r="R40" s="1574" t="s">
        <v>8</v>
      </c>
      <c r="S40" s="1575">
        <f t="shared" si="9"/>
        <v>100</v>
      </c>
      <c r="T40" s="1574" t="s">
        <v>8</v>
      </c>
      <c r="U40" s="1575">
        <f t="shared" si="10"/>
        <v>100</v>
      </c>
      <c r="V40" s="1574" t="s">
        <v>8</v>
      </c>
      <c r="W40" s="1575">
        <f t="shared" si="11"/>
        <v>100</v>
      </c>
      <c r="X40" s="1568"/>
      <c r="Y40" s="3531"/>
      <c r="Z40" s="1576">
        <f t="shared" si="12"/>
        <v>111</v>
      </c>
      <c r="AA40" s="1577">
        <f t="shared" si="3"/>
        <v>1</v>
      </c>
      <c r="AB40" s="1577">
        <f t="shared" si="4"/>
        <v>1</v>
      </c>
      <c r="AC40" s="1577">
        <f t="shared" si="5"/>
        <v>1</v>
      </c>
    </row>
    <row r="41" spans="1:29" ht="15">
      <c r="A41" s="607" t="s">
        <v>736</v>
      </c>
      <c r="B41" s="887"/>
      <c r="C41" s="2651" t="s">
        <v>1</v>
      </c>
      <c r="D41" s="2652"/>
      <c r="E41" s="2653"/>
      <c r="F41" s="2654"/>
      <c r="G41" s="2655"/>
      <c r="H41" s="2656"/>
      <c r="I41" s="2653"/>
      <c r="J41" s="2656"/>
      <c r="K41" s="1612"/>
      <c r="L41" s="2144"/>
      <c r="M41" s="2145"/>
      <c r="N41" s="2134"/>
      <c r="O41" s="2145"/>
      <c r="P41" s="3427" t="str">
        <f>A41</f>
        <v>成交单价（元/平方米）</v>
      </c>
      <c r="Q41" s="3427"/>
      <c r="R41" s="3530">
        <f>E41</f>
        <v>0</v>
      </c>
      <c r="S41" s="3530"/>
      <c r="T41" s="3530">
        <f>G41</f>
        <v>0</v>
      </c>
      <c r="U41" s="3530"/>
      <c r="V41" s="3530">
        <f>I41</f>
        <v>0</v>
      </c>
      <c r="W41" s="3530"/>
      <c r="X41" s="1560"/>
      <c r="Y41" s="1582"/>
      <c r="Z41" s="1560"/>
      <c r="AA41" s="1560"/>
      <c r="AB41" s="1560"/>
      <c r="AC41" s="1560"/>
    </row>
    <row r="42" spans="1:29" ht="15.75" thickBot="1">
      <c r="A42" s="615" t="s">
        <v>2760</v>
      </c>
      <c r="B42" s="888"/>
      <c r="C42" s="2657" t="e">
        <f>R43</f>
        <v>#DIV/0!</v>
      </c>
      <c r="D42" s="2658"/>
      <c r="E42" s="2659" t="e">
        <f>R42</f>
        <v>#DIV/0!</v>
      </c>
      <c r="F42" s="2659"/>
      <c r="G42" s="2657" t="e">
        <f>T42</f>
        <v>#DIV/0!</v>
      </c>
      <c r="H42" s="2658"/>
      <c r="I42" s="2659" t="e">
        <f>V42</f>
        <v>#DIV/0!</v>
      </c>
      <c r="J42" s="2658"/>
      <c r="K42" s="1613"/>
      <c r="L42" s="2144"/>
      <c r="M42" s="2145"/>
      <c r="N42" s="2134"/>
      <c r="O42" s="2145"/>
      <c r="P42" s="3427" t="str">
        <f>A42</f>
        <v>比较价格（元/平方米）</v>
      </c>
      <c r="Q42" s="3427"/>
      <c r="R42" s="3530" t="e">
        <f>IF(F1="售价",ROUND(PRODUCT(R41,AA7:AA40),0),ROUND(PRODUCT(R41,AA7:AA40),1))</f>
        <v>#DIV/0!</v>
      </c>
      <c r="S42" s="3530"/>
      <c r="T42" s="3530" t="e">
        <f>IF(F1="售价",ROUND(PRODUCT(T41,AB7:AB40),0),ROUND(PRODUCT(T41,AB7:AB40),1))</f>
        <v>#DIV/0!</v>
      </c>
      <c r="U42" s="3530"/>
      <c r="V42" s="3530" t="e">
        <f>IF(F1="售价",ROUND(PRODUCT(V41,AC7:AC40),0),ROUND(PRODUCT(V41,AC7:AC40),1))</f>
        <v>#DIV/0!</v>
      </c>
      <c r="W42" s="3530"/>
      <c r="X42" s="1560"/>
      <c r="Y42" s="1560"/>
      <c r="Z42" s="1560"/>
      <c r="AA42" s="1560"/>
      <c r="AB42" s="1560"/>
      <c r="AC42" s="1560"/>
    </row>
    <row r="43" spans="1:29" ht="15.75" thickBot="1">
      <c r="A43" s="621" t="s">
        <v>2932</v>
      </c>
      <c r="B43" s="622"/>
      <c r="C43" s="2660" t="e">
        <f>R43</f>
        <v>#DIV/0!</v>
      </c>
      <c r="D43" s="2660"/>
      <c r="E43" s="2660"/>
      <c r="F43" s="2660"/>
      <c r="G43" s="2660"/>
      <c r="H43" s="2660"/>
      <c r="I43" s="2660"/>
      <c r="J43" s="2660"/>
      <c r="K43" s="1614"/>
      <c r="L43" s="2144"/>
      <c r="M43" s="2145"/>
      <c r="N43" s="2145"/>
      <c r="O43" s="2145"/>
      <c r="P43" s="3450" t="str">
        <f>A43</f>
        <v>估价对象XX用房的比较价格（楼面单价，元/平方米）</v>
      </c>
      <c r="Q43" s="3451"/>
      <c r="R43" s="3529" t="e">
        <f>IF(F1="售价",ROUND(AVERAGE(R42:V42),0),ROUND(AVERAGE(R42:V42),1))</f>
        <v>#DIV/0!</v>
      </c>
      <c r="S43" s="3529"/>
      <c r="T43" s="3529"/>
      <c r="U43" s="3529"/>
      <c r="V43" s="3529"/>
      <c r="W43" s="3529"/>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26" t="str">
        <f>YEAR(C7)&amp;"-"&amp;MONTH(C7)</f>
        <v>2018-5</v>
      </c>
      <c r="D52" s="2828">
        <f>EDATE(C52,-1)</f>
        <v>43191</v>
      </c>
      <c r="E52" s="2828">
        <f t="shared" ref="E52:O52" si="13">EDATE(D52,-1)</f>
        <v>43160</v>
      </c>
      <c r="F52" s="2828">
        <f t="shared" si="13"/>
        <v>43132</v>
      </c>
      <c r="G52" s="2828">
        <f t="shared" si="13"/>
        <v>43101</v>
      </c>
      <c r="H52" s="2828">
        <f t="shared" si="13"/>
        <v>43070</v>
      </c>
      <c r="I52" s="2828">
        <f t="shared" si="13"/>
        <v>43040</v>
      </c>
      <c r="J52" s="2828">
        <f t="shared" si="13"/>
        <v>43009</v>
      </c>
      <c r="K52" s="2828">
        <f t="shared" si="13"/>
        <v>42979</v>
      </c>
      <c r="L52" s="2828">
        <f t="shared" si="13"/>
        <v>42948</v>
      </c>
      <c r="M52" s="2828">
        <f t="shared" si="13"/>
        <v>42917</v>
      </c>
      <c r="N52" s="2828">
        <f t="shared" si="13"/>
        <v>42887</v>
      </c>
      <c r="O52" s="2828">
        <f t="shared" si="13"/>
        <v>42856</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2557</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2558</v>
      </c>
      <c r="C76" s="2622" t="s">
        <v>2559</v>
      </c>
      <c r="D76" s="2622" t="s">
        <v>2560</v>
      </c>
      <c r="E76" s="2622" t="s">
        <v>2561</v>
      </c>
      <c r="F76" s="2622" t="s">
        <v>2562</v>
      </c>
      <c r="G76" s="2622" t="s">
        <v>2563</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7" priority="16" stopIfTrue="1" operator="containsText" text="超过">
      <formula>NOT(ISERROR(SEARCH("超过",F46)))</formula>
    </cfRule>
  </conditionalFormatting>
  <conditionalFormatting sqref="H48">
    <cfRule type="containsText" dxfId="46" priority="15" stopIfTrue="1" operator="containsText" text="超过">
      <formula>NOT(ISERROR(SEARCH("超过",H48)))</formula>
    </cfRule>
  </conditionalFormatting>
  <conditionalFormatting sqref="F48">
    <cfRule type="containsText" dxfId="45" priority="14" stopIfTrue="1" operator="containsText" text="超过">
      <formula>NOT(ISERROR(SEARCH("超过",F48)))</formula>
    </cfRule>
  </conditionalFormatting>
  <conditionalFormatting sqref="F47 H47">
    <cfRule type="containsText" dxfId="44" priority="13" stopIfTrue="1" operator="containsText" text="超过">
      <formula>NOT(ISERROR(SEARCH("超过",F47)))</formula>
    </cfRule>
  </conditionalFormatting>
  <conditionalFormatting sqref="E46">
    <cfRule type="expression" dxfId="43" priority="12" stopIfTrue="1">
      <formula>$F$46="超过30%"</formula>
    </cfRule>
  </conditionalFormatting>
  <conditionalFormatting sqref="E47">
    <cfRule type="expression" dxfId="42" priority="11" stopIfTrue="1">
      <formula>$F$47="超过20%"</formula>
    </cfRule>
  </conditionalFormatting>
  <conditionalFormatting sqref="E48">
    <cfRule type="expression" dxfId="41" priority="10" stopIfTrue="1">
      <formula>$F$48="超过30%"</formula>
    </cfRule>
  </conditionalFormatting>
  <conditionalFormatting sqref="G48">
    <cfRule type="expression" dxfId="40" priority="9" stopIfTrue="1">
      <formula>$H$48="超过30%"</formula>
    </cfRule>
  </conditionalFormatting>
  <conditionalFormatting sqref="G46">
    <cfRule type="expression" dxfId="39" priority="8" stopIfTrue="1">
      <formula>$H$46="超过30%"</formula>
    </cfRule>
  </conditionalFormatting>
  <conditionalFormatting sqref="G47">
    <cfRule type="expression" dxfId="38" priority="7" stopIfTrue="1">
      <formula>$H$47="超过20%"</formula>
    </cfRule>
  </conditionalFormatting>
  <conditionalFormatting sqref="J46">
    <cfRule type="containsText" dxfId="37" priority="6" stopIfTrue="1" operator="containsText" text="超过">
      <formula>NOT(ISERROR(SEARCH("超过",J46)))</formula>
    </cfRule>
  </conditionalFormatting>
  <conditionalFormatting sqref="J48">
    <cfRule type="containsText" dxfId="36" priority="5" stopIfTrue="1" operator="containsText" text="超过">
      <formula>NOT(ISERROR(SEARCH("超过",J48)))</formula>
    </cfRule>
  </conditionalFormatting>
  <conditionalFormatting sqref="J47">
    <cfRule type="containsText" dxfId="35" priority="4" stopIfTrue="1" operator="containsText" text="超过">
      <formula>NOT(ISERROR(SEARCH("超过",J47)))</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1"/>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2076</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33" t="s">
        <v>798</v>
      </c>
      <c r="D4" s="3434"/>
      <c r="E4" s="3433" t="s">
        <v>799</v>
      </c>
      <c r="F4" s="3434"/>
      <c r="G4" s="3433" t="s">
        <v>800</v>
      </c>
      <c r="H4" s="3434"/>
      <c r="I4" s="3433" t="s">
        <v>801</v>
      </c>
      <c r="J4" s="3434"/>
      <c r="K4" s="514" t="s">
        <v>802</v>
      </c>
      <c r="L4" s="2133"/>
      <c r="M4" s="2134"/>
      <c r="N4" s="2134"/>
      <c r="O4" s="2134"/>
      <c r="P4" s="3435" t="s">
        <v>803</v>
      </c>
      <c r="Q4" s="3436"/>
      <c r="R4" s="3421" t="s">
        <v>799</v>
      </c>
      <c r="S4" s="3422"/>
      <c r="T4" s="3421" t="s">
        <v>800</v>
      </c>
      <c r="U4" s="3422"/>
      <c r="V4" s="3441" t="s">
        <v>801</v>
      </c>
      <c r="W4" s="3441"/>
      <c r="X4" s="1568"/>
      <c r="Y4" s="3421" t="s">
        <v>803</v>
      </c>
      <c r="Z4" s="3422"/>
      <c r="AA4" s="3416" t="s">
        <v>799</v>
      </c>
      <c r="AB4" s="3417" t="s">
        <v>800</v>
      </c>
      <c r="AC4" s="3416" t="s">
        <v>801</v>
      </c>
    </row>
    <row r="5" spans="1:29" ht="15">
      <c r="A5" s="515"/>
      <c r="B5" s="516"/>
      <c r="C5" s="3446" t="s">
        <v>2926</v>
      </c>
      <c r="D5" s="3445"/>
      <c r="E5" s="3446" t="s">
        <v>2927</v>
      </c>
      <c r="F5" s="3445"/>
      <c r="G5" s="3446" t="s">
        <v>2928</v>
      </c>
      <c r="H5" s="3445"/>
      <c r="I5" s="3446" t="s">
        <v>2929</v>
      </c>
      <c r="J5" s="3445"/>
      <c r="K5" s="514"/>
      <c r="L5" s="2133"/>
      <c r="M5" s="2134"/>
      <c r="N5" s="2134"/>
      <c r="O5" s="2134"/>
      <c r="P5" s="3437"/>
      <c r="Q5" s="3438"/>
      <c r="R5" s="3423"/>
      <c r="S5" s="3424"/>
      <c r="T5" s="3423"/>
      <c r="U5" s="3424"/>
      <c r="V5" s="3441"/>
      <c r="W5" s="3441"/>
      <c r="X5" s="1568"/>
      <c r="Y5" s="3423"/>
      <c r="Z5" s="3424"/>
      <c r="AA5" s="3417"/>
      <c r="AB5" s="3417"/>
      <c r="AC5" s="3417"/>
    </row>
    <row r="6" spans="1:29" ht="15.75" thickBot="1">
      <c r="A6" s="517"/>
      <c r="B6" s="518"/>
      <c r="C6" s="3463" t="s">
        <v>2930</v>
      </c>
      <c r="D6" s="3443"/>
      <c r="E6" s="3447" t="s">
        <v>2930</v>
      </c>
      <c r="F6" s="3448"/>
      <c r="G6" s="3463" t="s">
        <v>2930</v>
      </c>
      <c r="H6" s="3443"/>
      <c r="I6" s="3463" t="s">
        <v>2930</v>
      </c>
      <c r="J6" s="3443"/>
      <c r="K6" s="514" t="s">
        <v>528</v>
      </c>
      <c r="L6" s="2133"/>
      <c r="M6" s="2134"/>
      <c r="N6" s="2134"/>
      <c r="O6" s="2134"/>
      <c r="P6" s="3439"/>
      <c r="Q6" s="3440"/>
      <c r="R6" s="3423"/>
      <c r="S6" s="3424"/>
      <c r="T6" s="3425"/>
      <c r="U6" s="3426"/>
      <c r="V6" s="3441"/>
      <c r="W6" s="3441"/>
      <c r="X6" s="1568"/>
      <c r="Y6" s="3425"/>
      <c r="Z6" s="3426"/>
      <c r="AA6" s="3418"/>
      <c r="AB6" s="3418"/>
      <c r="AC6" s="3418"/>
    </row>
    <row r="7" spans="1:29" s="1220" customFormat="1" ht="15.75" thickBot="1">
      <c r="A7" s="2936"/>
      <c r="B7" s="2943" t="s">
        <v>529</v>
      </c>
      <c r="C7" s="519">
        <f>'数据-取费表'!B2</f>
        <v>43244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19" t="s">
        <v>530</v>
      </c>
      <c r="Q7" s="3428"/>
      <c r="R7" s="1569" t="s">
        <v>8</v>
      </c>
      <c r="S7" s="1570">
        <f t="shared" ref="S7:S14" si="0">F7</f>
        <v>0</v>
      </c>
      <c r="T7" s="1569" t="s">
        <v>8</v>
      </c>
      <c r="U7" s="1570">
        <f t="shared" ref="U7:U14" si="1">H7</f>
        <v>0</v>
      </c>
      <c r="V7" s="1569" t="s">
        <v>8</v>
      </c>
      <c r="W7" s="1570">
        <f t="shared" ref="W7:W14" si="2">J7</f>
        <v>0</v>
      </c>
      <c r="X7" s="1571"/>
      <c r="Y7" s="3419" t="s">
        <v>530</v>
      </c>
      <c r="Z7" s="3420"/>
      <c r="AA7" s="1572" t="e">
        <f>D7/F7</f>
        <v>#DIV/0!</v>
      </c>
      <c r="AB7" s="1572" t="e">
        <f>D7/H7</f>
        <v>#DIV/0!</v>
      </c>
      <c r="AC7" s="1572" t="e">
        <f>D7/J7</f>
        <v>#DIV/0!</v>
      </c>
    </row>
    <row r="8" spans="1:29" s="1220"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19" t="s">
        <v>533</v>
      </c>
      <c r="Q8" s="3420"/>
      <c r="R8" s="1569" t="s">
        <v>8</v>
      </c>
      <c r="S8" s="1570">
        <f t="shared" si="0"/>
        <v>0</v>
      </c>
      <c r="T8" s="1569" t="s">
        <v>8</v>
      </c>
      <c r="U8" s="1570">
        <f t="shared" si="1"/>
        <v>0</v>
      </c>
      <c r="V8" s="1569" t="s">
        <v>8</v>
      </c>
      <c r="W8" s="1570">
        <f t="shared" si="2"/>
        <v>0</v>
      </c>
      <c r="X8" s="1571"/>
      <c r="Y8" s="3419" t="s">
        <v>533</v>
      </c>
      <c r="Z8" s="3420"/>
      <c r="AA8" s="1572" t="e">
        <f t="shared" ref="AA8:AA36" si="3">D8/F8</f>
        <v>#DIV/0!</v>
      </c>
      <c r="AB8" s="1572" t="e">
        <f t="shared" ref="AB8:AB36" si="4">D8/H8</f>
        <v>#DIV/0!</v>
      </c>
      <c r="AC8" s="1572" t="e">
        <f t="shared" ref="AC8:AC36" si="5">D8/J8</f>
        <v>#DIV/0!</v>
      </c>
    </row>
    <row r="9" spans="1:29" s="1220" customFormat="1" ht="15">
      <c r="A9" s="2938"/>
      <c r="B9" s="2945" t="s">
        <v>2756</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27" t="s">
        <v>535</v>
      </c>
      <c r="Q9" s="1151" t="str">
        <f t="shared" ref="Q9:Q14" si="6">B9</f>
        <v>用途</v>
      </c>
      <c r="R9" s="1569" t="s">
        <v>8</v>
      </c>
      <c r="S9" s="1570">
        <f t="shared" si="0"/>
        <v>100</v>
      </c>
      <c r="T9" s="1569" t="s">
        <v>8</v>
      </c>
      <c r="U9" s="1570">
        <f t="shared" si="1"/>
        <v>100</v>
      </c>
      <c r="V9" s="1569" t="s">
        <v>8</v>
      </c>
      <c r="W9" s="1570">
        <f t="shared" si="2"/>
        <v>100</v>
      </c>
      <c r="X9" s="1571"/>
      <c r="Y9" s="3384" t="s">
        <v>536</v>
      </c>
      <c r="Z9" s="1150" t="str">
        <f t="shared" ref="Z9:Z14" si="7">Q9</f>
        <v>用途</v>
      </c>
      <c r="AA9" s="1572">
        <f t="shared" si="3"/>
        <v>1</v>
      </c>
      <c r="AB9" s="1572">
        <f t="shared" si="4"/>
        <v>1</v>
      </c>
      <c r="AC9" s="1572">
        <f t="shared" si="5"/>
        <v>1</v>
      </c>
    </row>
    <row r="10" spans="1:29" s="1338" customFormat="1" ht="27">
      <c r="A10" s="2939"/>
      <c r="B10" s="2944" t="s">
        <v>2757</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27"/>
      <c r="Q10" s="1151" t="str">
        <f t="shared" si="6"/>
        <v>土地使用年限（年）</v>
      </c>
      <c r="R10" s="1569" t="s">
        <v>8</v>
      </c>
      <c r="S10" s="1570">
        <f t="shared" si="0"/>
        <v>100</v>
      </c>
      <c r="T10" s="1569" t="s">
        <v>8</v>
      </c>
      <c r="U10" s="1570">
        <f t="shared" si="1"/>
        <v>100</v>
      </c>
      <c r="V10" s="1569" t="s">
        <v>8</v>
      </c>
      <c r="W10" s="1570">
        <f t="shared" si="2"/>
        <v>100</v>
      </c>
      <c r="X10" s="1571"/>
      <c r="Y10" s="3384"/>
      <c r="Z10" s="1150" t="str">
        <f t="shared" si="7"/>
        <v>土地使用年限（年）</v>
      </c>
      <c r="AA10" s="1572">
        <f t="shared" si="3"/>
        <v>1</v>
      </c>
      <c r="AB10" s="1572">
        <f t="shared" si="4"/>
        <v>1</v>
      </c>
      <c r="AC10" s="1572">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27"/>
      <c r="Q11" s="1151">
        <f t="shared" si="6"/>
        <v>111</v>
      </c>
      <c r="R11" s="1569" t="s">
        <v>8</v>
      </c>
      <c r="S11" s="1570">
        <f t="shared" si="0"/>
        <v>100</v>
      </c>
      <c r="T11" s="1569" t="s">
        <v>8</v>
      </c>
      <c r="U11" s="1570">
        <f t="shared" si="1"/>
        <v>100</v>
      </c>
      <c r="V11" s="1569" t="s">
        <v>8</v>
      </c>
      <c r="W11" s="1570">
        <f t="shared" si="2"/>
        <v>100</v>
      </c>
      <c r="X11" s="1571"/>
      <c r="Y11" s="3384"/>
      <c r="Z11" s="1150">
        <f t="shared" si="7"/>
        <v>111</v>
      </c>
      <c r="AA11" s="1572">
        <f t="shared" si="3"/>
        <v>1</v>
      </c>
      <c r="AB11" s="1572">
        <f t="shared" si="4"/>
        <v>1</v>
      </c>
      <c r="AC11" s="1572">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27"/>
      <c r="Q12" s="1151">
        <f t="shared" si="6"/>
        <v>111</v>
      </c>
      <c r="R12" s="1569" t="s">
        <v>8</v>
      </c>
      <c r="S12" s="1570">
        <f t="shared" si="0"/>
        <v>100</v>
      </c>
      <c r="T12" s="1569" t="s">
        <v>8</v>
      </c>
      <c r="U12" s="1570">
        <f t="shared" si="1"/>
        <v>100</v>
      </c>
      <c r="V12" s="1569" t="s">
        <v>8</v>
      </c>
      <c r="W12" s="1570">
        <f t="shared" si="2"/>
        <v>100</v>
      </c>
      <c r="X12" s="1571"/>
      <c r="Y12" s="3384"/>
      <c r="Z12" s="1150">
        <f t="shared" si="7"/>
        <v>111</v>
      </c>
      <c r="AA12" s="1572">
        <f>D12/F12</f>
        <v>1</v>
      </c>
      <c r="AB12" s="1572">
        <f>D12/H12</f>
        <v>1</v>
      </c>
      <c r="AC12" s="1572">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27"/>
      <c r="Q13" s="1151">
        <f t="shared" si="6"/>
        <v>111</v>
      </c>
      <c r="R13" s="1569" t="s">
        <v>8</v>
      </c>
      <c r="S13" s="1570">
        <f t="shared" si="0"/>
        <v>100</v>
      </c>
      <c r="T13" s="1569" t="s">
        <v>8</v>
      </c>
      <c r="U13" s="1570">
        <f t="shared" si="1"/>
        <v>100</v>
      </c>
      <c r="V13" s="1569" t="s">
        <v>8</v>
      </c>
      <c r="W13" s="1570">
        <f t="shared" si="2"/>
        <v>100</v>
      </c>
      <c r="X13" s="1571"/>
      <c r="Y13" s="3384"/>
      <c r="Z13" s="1150">
        <f t="shared" si="7"/>
        <v>111</v>
      </c>
      <c r="AA13" s="1572">
        <f t="shared" si="3"/>
        <v>1</v>
      </c>
      <c r="AB13" s="1572">
        <f t="shared" si="4"/>
        <v>1</v>
      </c>
      <c r="AC13" s="1572">
        <f t="shared" si="5"/>
        <v>1</v>
      </c>
    </row>
    <row r="14" spans="1:29" ht="85.5">
      <c r="A14" s="2934"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29" t="s">
        <v>540</v>
      </c>
      <c r="Q14" s="1573" t="str">
        <f t="shared" si="6"/>
        <v>交通便捷度</v>
      </c>
      <c r="R14" s="1574" t="s">
        <v>8</v>
      </c>
      <c r="S14" s="1575">
        <f t="shared" si="0"/>
        <v>100</v>
      </c>
      <c r="T14" s="1574" t="s">
        <v>8</v>
      </c>
      <c r="U14" s="1575">
        <f t="shared" si="1"/>
        <v>100</v>
      </c>
      <c r="V14" s="1574" t="s">
        <v>8</v>
      </c>
      <c r="W14" s="1575">
        <f t="shared" si="2"/>
        <v>100</v>
      </c>
      <c r="X14" s="1568"/>
      <c r="Y14" s="342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30"/>
      <c r="Q15" s="1573"/>
      <c r="R15" s="1574"/>
      <c r="S15" s="1575"/>
      <c r="T15" s="1574"/>
      <c r="U15" s="1575"/>
      <c r="V15" s="1574"/>
      <c r="W15" s="1575"/>
      <c r="X15" s="1568"/>
      <c r="Y15" s="3430"/>
      <c r="Z15" s="1576"/>
      <c r="AA15" s="1577">
        <v>1</v>
      </c>
      <c r="AB15" s="1577">
        <v>1</v>
      </c>
      <c r="AC15" s="1577">
        <v>1</v>
      </c>
    </row>
    <row r="16" spans="1:29" ht="42.75">
      <c r="A16" s="515"/>
      <c r="B16" s="2627"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30"/>
      <c r="Q16" s="1573" t="str">
        <f>B16</f>
        <v>公共配套设施</v>
      </c>
      <c r="R16" s="1574" t="s">
        <v>8</v>
      </c>
      <c r="S16" s="1575">
        <f>F16</f>
        <v>100</v>
      </c>
      <c r="T16" s="1574" t="s">
        <v>8</v>
      </c>
      <c r="U16" s="1575">
        <f>H16</f>
        <v>100</v>
      </c>
      <c r="V16" s="1574" t="s">
        <v>8</v>
      </c>
      <c r="W16" s="1575">
        <f>J16</f>
        <v>100</v>
      </c>
      <c r="X16" s="1568"/>
      <c r="Y16" s="343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30"/>
      <c r="Q17" s="1573"/>
      <c r="R17" s="1574"/>
      <c r="S17" s="1575"/>
      <c r="T17" s="1574"/>
      <c r="U17" s="1575"/>
      <c r="V17" s="1574"/>
      <c r="W17" s="1575"/>
      <c r="X17" s="1568"/>
      <c r="Y17" s="3430"/>
      <c r="Z17" s="1576"/>
      <c r="AA17" s="1577">
        <v>1</v>
      </c>
      <c r="AB17" s="1577">
        <v>1</v>
      </c>
      <c r="AC17" s="1577">
        <v>1</v>
      </c>
    </row>
    <row r="18" spans="1:29" ht="28.5">
      <c r="A18" s="515"/>
      <c r="B18" s="2615"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30"/>
      <c r="Q18" s="2603" t="str">
        <f>B18</f>
        <v>基础设施水平</v>
      </c>
      <c r="R18" s="1574" t="s">
        <v>8</v>
      </c>
      <c r="S18" s="1575">
        <f>F18</f>
        <v>100</v>
      </c>
      <c r="T18" s="1574" t="s">
        <v>8</v>
      </c>
      <c r="U18" s="1575">
        <f>H18</f>
        <v>100</v>
      </c>
      <c r="V18" s="1574" t="s">
        <v>8</v>
      </c>
      <c r="W18" s="1575">
        <f>J18</f>
        <v>100</v>
      </c>
      <c r="X18" s="2605"/>
      <c r="Y18" s="3430"/>
      <c r="Z18" s="2604" t="str">
        <f>Q18</f>
        <v>基础设施水平</v>
      </c>
      <c r="AA18" s="1577">
        <f>D18/F18</f>
        <v>1</v>
      </c>
      <c r="AB18" s="1577">
        <f>D18/H18</f>
        <v>1</v>
      </c>
      <c r="AC18" s="1577">
        <f>D18/J18</f>
        <v>1</v>
      </c>
    </row>
    <row r="19" spans="1:29" ht="15">
      <c r="A19" s="515"/>
      <c r="B19" s="578"/>
      <c r="C19" s="873"/>
      <c r="D19" s="559"/>
      <c r="E19" s="576"/>
      <c r="F19" s="557"/>
      <c r="G19" s="576"/>
      <c r="H19" s="555"/>
      <c r="I19" s="576"/>
      <c r="J19" s="555"/>
      <c r="K19" s="2626"/>
      <c r="L19" s="2142"/>
      <c r="M19" s="2134"/>
      <c r="N19" s="2134"/>
      <c r="O19" s="2141"/>
      <c r="P19" s="3430"/>
      <c r="Q19" s="2603"/>
      <c r="R19" s="1574"/>
      <c r="S19" s="1575"/>
      <c r="T19" s="1574"/>
      <c r="U19" s="1575"/>
      <c r="V19" s="1574"/>
      <c r="W19" s="1575"/>
      <c r="X19" s="2605"/>
      <c r="Y19" s="3430"/>
      <c r="Z19" s="2604"/>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30"/>
      <c r="Q20" s="1573" t="str">
        <f>B20</f>
        <v>自然及人文环境</v>
      </c>
      <c r="R20" s="1574" t="s">
        <v>8</v>
      </c>
      <c r="S20" s="1575">
        <f>F20</f>
        <v>100</v>
      </c>
      <c r="T20" s="1574" t="s">
        <v>8</v>
      </c>
      <c r="U20" s="1575">
        <f>H20</f>
        <v>100</v>
      </c>
      <c r="V20" s="1574" t="s">
        <v>8</v>
      </c>
      <c r="W20" s="1575">
        <f>J20</f>
        <v>100</v>
      </c>
      <c r="X20" s="1568"/>
      <c r="Y20" s="343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30"/>
      <c r="Q21" s="1573"/>
      <c r="R21" s="1574"/>
      <c r="S21" s="1575"/>
      <c r="T21" s="1574"/>
      <c r="U21" s="1575"/>
      <c r="V21" s="1574"/>
      <c r="W21" s="1575"/>
      <c r="X21" s="1568"/>
      <c r="Y21" s="343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30"/>
      <c r="Q22" s="1573" t="str">
        <f>B22</f>
        <v>楼层</v>
      </c>
      <c r="R22" s="1574" t="s">
        <v>8</v>
      </c>
      <c r="S22" s="1575">
        <f>F22</f>
        <v>100</v>
      </c>
      <c r="T22" s="1574" t="s">
        <v>8</v>
      </c>
      <c r="U22" s="1575">
        <f>H22</f>
        <v>100</v>
      </c>
      <c r="V22" s="1574" t="s">
        <v>8</v>
      </c>
      <c r="W22" s="1575">
        <f>J22</f>
        <v>100</v>
      </c>
      <c r="X22" s="1568"/>
      <c r="Y22" s="343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30"/>
      <c r="Q23" s="1573">
        <f>B23</f>
        <v>111</v>
      </c>
      <c r="R23" s="1574" t="s">
        <v>8</v>
      </c>
      <c r="S23" s="1575">
        <f>F23</f>
        <v>100</v>
      </c>
      <c r="T23" s="1574" t="s">
        <v>8</v>
      </c>
      <c r="U23" s="1575">
        <f>H23</f>
        <v>100</v>
      </c>
      <c r="V23" s="1574" t="s">
        <v>8</v>
      </c>
      <c r="W23" s="1575">
        <f>J23</f>
        <v>100</v>
      </c>
      <c r="X23" s="1568"/>
      <c r="Y23" s="343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30"/>
      <c r="Q24" s="1573">
        <f t="shared" ref="Q24:Q36" si="8">B24</f>
        <v>111</v>
      </c>
      <c r="R24" s="1574" t="s">
        <v>8</v>
      </c>
      <c r="S24" s="1575">
        <f>F24</f>
        <v>100</v>
      </c>
      <c r="T24" s="1574" t="s">
        <v>8</v>
      </c>
      <c r="U24" s="1575">
        <f>H24</f>
        <v>100</v>
      </c>
      <c r="V24" s="1574" t="s">
        <v>8</v>
      </c>
      <c r="W24" s="1575">
        <f>J24</f>
        <v>100</v>
      </c>
      <c r="X24" s="1568"/>
      <c r="Y24" s="343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30"/>
      <c r="Q25" s="1151">
        <f t="shared" si="8"/>
        <v>111</v>
      </c>
      <c r="R25" s="1569" t="s">
        <v>8</v>
      </c>
      <c r="S25" s="1570">
        <f>F25</f>
        <v>100</v>
      </c>
      <c r="T25" s="1569" t="s">
        <v>8</v>
      </c>
      <c r="U25" s="1570">
        <f>H25</f>
        <v>100</v>
      </c>
      <c r="V25" s="1569" t="s">
        <v>8</v>
      </c>
      <c r="W25" s="1570">
        <f>J25</f>
        <v>100</v>
      </c>
      <c r="X25" s="1571"/>
      <c r="Y25" s="3430"/>
      <c r="Z25" s="1150">
        <f>Q25</f>
        <v>111</v>
      </c>
      <c r="AA25" s="1577">
        <f>D25/F25</f>
        <v>1</v>
      </c>
      <c r="AB25" s="1577">
        <f>D25/H25</f>
        <v>1</v>
      </c>
      <c r="AC25" s="1577">
        <f>D25/J25</f>
        <v>1</v>
      </c>
    </row>
    <row r="26" spans="1:29" ht="15">
      <c r="A26" s="2931"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31"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432"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32"/>
      <c r="Q27" s="1606" t="str">
        <f t="shared" si="8"/>
        <v>项目停车位配比</v>
      </c>
      <c r="R27" s="1578" t="s">
        <v>8</v>
      </c>
      <c r="S27" s="1579">
        <f t="shared" si="9"/>
        <v>100</v>
      </c>
      <c r="T27" s="1578" t="s">
        <v>8</v>
      </c>
      <c r="U27" s="1579">
        <f t="shared" si="10"/>
        <v>100</v>
      </c>
      <c r="V27" s="1578" t="s">
        <v>8</v>
      </c>
      <c r="W27" s="1579">
        <f t="shared" si="11"/>
        <v>100</v>
      </c>
      <c r="X27" s="1580"/>
      <c r="Y27" s="3432"/>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32"/>
      <c r="Q28" s="1573" t="str">
        <f t="shared" si="8"/>
        <v>公共部分装修</v>
      </c>
      <c r="R28" s="1574" t="s">
        <v>8</v>
      </c>
      <c r="S28" s="1575">
        <f t="shared" si="9"/>
        <v>100</v>
      </c>
      <c r="T28" s="1574" t="s">
        <v>8</v>
      </c>
      <c r="U28" s="1575">
        <f t="shared" si="10"/>
        <v>100</v>
      </c>
      <c r="V28" s="1574" t="s">
        <v>8</v>
      </c>
      <c r="W28" s="1575">
        <f t="shared" si="11"/>
        <v>100</v>
      </c>
      <c r="X28" s="1568"/>
      <c r="Y28" s="3432"/>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32"/>
      <c r="Q29" s="1573" t="str">
        <f t="shared" si="8"/>
        <v>成新率</v>
      </c>
      <c r="R29" s="1574" t="s">
        <v>8</v>
      </c>
      <c r="S29" s="1575" t="e">
        <f t="shared" si="9"/>
        <v>#N/A</v>
      </c>
      <c r="T29" s="1574" t="s">
        <v>8</v>
      </c>
      <c r="U29" s="1575" t="e">
        <f t="shared" si="10"/>
        <v>#N/A</v>
      </c>
      <c r="V29" s="1574" t="s">
        <v>8</v>
      </c>
      <c r="W29" s="1575" t="e">
        <f t="shared" si="11"/>
        <v>#N/A</v>
      </c>
      <c r="X29" s="1568"/>
      <c r="Y29" s="3432"/>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32"/>
      <c r="Q30" s="1573" t="str">
        <f t="shared" si="8"/>
        <v>物业等级</v>
      </c>
      <c r="R30" s="1574" t="s">
        <v>8</v>
      </c>
      <c r="S30" s="1575">
        <f t="shared" si="9"/>
        <v>100</v>
      </c>
      <c r="T30" s="1574" t="s">
        <v>8</v>
      </c>
      <c r="U30" s="1575">
        <f t="shared" si="10"/>
        <v>100</v>
      </c>
      <c r="V30" s="1574" t="s">
        <v>8</v>
      </c>
      <c r="W30" s="1575">
        <f t="shared" si="11"/>
        <v>100</v>
      </c>
      <c r="X30" s="1568"/>
      <c r="Y30" s="3432"/>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32"/>
      <c r="Q31" s="1151" t="str">
        <f t="shared" si="8"/>
        <v>停车位面积</v>
      </c>
      <c r="R31" s="1569" t="s">
        <v>8</v>
      </c>
      <c r="S31" s="1570" t="e">
        <f t="shared" si="9"/>
        <v>#N/A</v>
      </c>
      <c r="T31" s="1569" t="s">
        <v>8</v>
      </c>
      <c r="U31" s="1570" t="e">
        <f t="shared" si="10"/>
        <v>#N/A</v>
      </c>
      <c r="V31" s="1569" t="s">
        <v>8</v>
      </c>
      <c r="W31" s="1570" t="e">
        <f t="shared" si="11"/>
        <v>#N/A</v>
      </c>
      <c r="X31" s="1571"/>
      <c r="Y31" s="3432"/>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32" t="s">
        <v>550</v>
      </c>
      <c r="Q32" s="1573" t="str">
        <f t="shared" si="8"/>
        <v>车位类型</v>
      </c>
      <c r="R32" s="1574" t="s">
        <v>8</v>
      </c>
      <c r="S32" s="1575">
        <f t="shared" si="9"/>
        <v>100</v>
      </c>
      <c r="T32" s="1574" t="s">
        <v>8</v>
      </c>
      <c r="U32" s="1575">
        <f t="shared" si="10"/>
        <v>100</v>
      </c>
      <c r="V32" s="1574" t="s">
        <v>8</v>
      </c>
      <c r="W32" s="1575">
        <f t="shared" si="11"/>
        <v>100</v>
      </c>
      <c r="X32" s="1568"/>
      <c r="Y32" s="3432"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32"/>
      <c r="Q33" s="1573" t="str">
        <f t="shared" si="8"/>
        <v>是否直接入户</v>
      </c>
      <c r="R33" s="1574" t="s">
        <v>8</v>
      </c>
      <c r="S33" s="1575">
        <f t="shared" si="9"/>
        <v>100</v>
      </c>
      <c r="T33" s="1574" t="s">
        <v>8</v>
      </c>
      <c r="U33" s="1575">
        <f t="shared" si="10"/>
        <v>100</v>
      </c>
      <c r="V33" s="1574" t="s">
        <v>8</v>
      </c>
      <c r="W33" s="1575">
        <f t="shared" si="11"/>
        <v>100</v>
      </c>
      <c r="X33" s="1568"/>
      <c r="Y33" s="3432"/>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32"/>
      <c r="Q34" s="1573">
        <f t="shared" si="8"/>
        <v>111</v>
      </c>
      <c r="R34" s="1574" t="s">
        <v>8</v>
      </c>
      <c r="S34" s="1575">
        <f t="shared" si="9"/>
        <v>100</v>
      </c>
      <c r="T34" s="1574" t="s">
        <v>8</v>
      </c>
      <c r="U34" s="1575">
        <f t="shared" si="10"/>
        <v>100</v>
      </c>
      <c r="V34" s="1574" t="s">
        <v>8</v>
      </c>
      <c r="W34" s="1575">
        <f t="shared" si="11"/>
        <v>100</v>
      </c>
      <c r="X34" s="1568"/>
      <c r="Y34" s="3432"/>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32"/>
      <c r="Q35" s="1606">
        <f t="shared" si="8"/>
        <v>111</v>
      </c>
      <c r="R35" s="1578" t="s">
        <v>8</v>
      </c>
      <c r="S35" s="1579">
        <f t="shared" si="9"/>
        <v>100</v>
      </c>
      <c r="T35" s="1578" t="s">
        <v>8</v>
      </c>
      <c r="U35" s="1579">
        <f t="shared" si="10"/>
        <v>100</v>
      </c>
      <c r="V35" s="1578" t="s">
        <v>8</v>
      </c>
      <c r="W35" s="1579">
        <f t="shared" si="11"/>
        <v>100</v>
      </c>
      <c r="X35" s="1580"/>
      <c r="Y35" s="3432"/>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32"/>
      <c r="Q36" s="1573">
        <f t="shared" si="8"/>
        <v>111</v>
      </c>
      <c r="R36" s="1574" t="s">
        <v>8</v>
      </c>
      <c r="S36" s="1575">
        <f t="shared" si="9"/>
        <v>100</v>
      </c>
      <c r="T36" s="1574" t="s">
        <v>8</v>
      </c>
      <c r="U36" s="1575">
        <f t="shared" si="10"/>
        <v>100</v>
      </c>
      <c r="V36" s="1574" t="s">
        <v>8</v>
      </c>
      <c r="W36" s="1575">
        <f t="shared" si="11"/>
        <v>100</v>
      </c>
      <c r="X36" s="1568"/>
      <c r="Y36" s="3432"/>
      <c r="Z36" s="1576">
        <f t="shared" si="12"/>
        <v>111</v>
      </c>
      <c r="AA36" s="1577">
        <f t="shared" si="3"/>
        <v>1</v>
      </c>
      <c r="AB36" s="1577">
        <f t="shared" si="4"/>
        <v>1</v>
      </c>
      <c r="AC36" s="1577">
        <f t="shared" si="5"/>
        <v>1</v>
      </c>
    </row>
    <row r="37" spans="1:29" ht="15">
      <c r="A37" s="1846" t="s">
        <v>2077</v>
      </c>
      <c r="B37" s="1847" t="s">
        <v>2078</v>
      </c>
      <c r="C37" s="2651" t="s">
        <v>1</v>
      </c>
      <c r="D37" s="2652"/>
      <c r="E37" s="2653"/>
      <c r="F37" s="2654"/>
      <c r="G37" s="2655"/>
      <c r="H37" s="2656"/>
      <c r="I37" s="2653"/>
      <c r="J37" s="2656"/>
      <c r="K37" s="1612"/>
      <c r="L37" s="2144"/>
      <c r="M37" s="2145"/>
      <c r="N37" s="2134"/>
      <c r="O37" s="2145"/>
      <c r="P37" s="3427" t="str">
        <f>A37</f>
        <v>成交单价</v>
      </c>
      <c r="Q37" s="3427"/>
      <c r="R37" s="3530">
        <f>E37</f>
        <v>0</v>
      </c>
      <c r="S37" s="3530"/>
      <c r="T37" s="3530">
        <f>G37</f>
        <v>0</v>
      </c>
      <c r="U37" s="3530"/>
      <c r="V37" s="3530">
        <f>I37</f>
        <v>0</v>
      </c>
      <c r="W37" s="3530"/>
      <c r="X37" s="1560"/>
      <c r="Y37" s="1582"/>
      <c r="Z37" s="1560"/>
      <c r="AA37" s="1560"/>
      <c r="AB37" s="1560"/>
      <c r="AC37" s="1560"/>
    </row>
    <row r="38" spans="1:29" ht="15.75" thickBot="1">
      <c r="A38" s="615" t="s">
        <v>2760</v>
      </c>
      <c r="B38" s="888"/>
      <c r="C38" s="2657" t="e">
        <f>R39</f>
        <v>#DIV/0!</v>
      </c>
      <c r="D38" s="2658"/>
      <c r="E38" s="2659" t="e">
        <f>R38</f>
        <v>#DIV/0!</v>
      </c>
      <c r="F38" s="2659"/>
      <c r="G38" s="2657" t="e">
        <f>T38</f>
        <v>#DIV/0!</v>
      </c>
      <c r="H38" s="2658"/>
      <c r="I38" s="2659" t="e">
        <f>V38</f>
        <v>#DIV/0!</v>
      </c>
      <c r="J38" s="2658"/>
      <c r="K38" s="1613"/>
      <c r="L38" s="2144"/>
      <c r="M38" s="2145"/>
      <c r="N38" s="2145"/>
      <c r="O38" s="2145"/>
      <c r="P38" s="3427" t="str">
        <f>A38</f>
        <v>比较价格（元/平方米）</v>
      </c>
      <c r="Q38" s="3427"/>
      <c r="R38" s="3530" t="e">
        <f>IF(F1="售价",ROUND(PRODUCT(R37,AA7:AA36),0),ROUND(PRODUCT(R37,AA7:AA36),1))</f>
        <v>#DIV/0!</v>
      </c>
      <c r="S38" s="3530"/>
      <c r="T38" s="3530" t="e">
        <f>IF(F1="售价",ROUND(PRODUCT(T37,AB7:AB36),0),ROUND(PRODUCT(T37,AB7:AB36),1))</f>
        <v>#DIV/0!</v>
      </c>
      <c r="U38" s="3530"/>
      <c r="V38" s="3530" t="e">
        <f>IF(F1="售价",ROUND(PRODUCT(V37,AC7:AC36),0),ROUND(PRODUCT(V37,AC7:AC36),1))</f>
        <v>#DIV/0!</v>
      </c>
      <c r="W38" s="3530"/>
      <c r="X38" s="1560"/>
      <c r="Y38" s="1560"/>
      <c r="Z38" s="1560"/>
      <c r="AA38" s="1560"/>
      <c r="AB38" s="1560"/>
      <c r="AC38" s="1560"/>
    </row>
    <row r="39" spans="1:29" ht="15.75" thickBot="1">
      <c r="A39" s="621" t="s">
        <v>2932</v>
      </c>
      <c r="B39" s="622"/>
      <c r="C39" s="2660" t="e">
        <f>R39</f>
        <v>#DIV/0!</v>
      </c>
      <c r="D39" s="2660"/>
      <c r="E39" s="2660"/>
      <c r="F39" s="2660"/>
      <c r="G39" s="2660"/>
      <c r="H39" s="2660"/>
      <c r="I39" s="2660"/>
      <c r="J39" s="2660"/>
      <c r="K39" s="1614"/>
      <c r="L39" s="2144"/>
      <c r="M39" s="2145"/>
      <c r="N39" s="2145"/>
      <c r="O39" s="2145"/>
      <c r="P39" s="3450" t="str">
        <f>A39</f>
        <v>估价对象XX用房的比较价格（楼面单价，元/平方米）</v>
      </c>
      <c r="Q39" s="3451"/>
      <c r="R39" s="3529" t="e">
        <f>IF(F1="售价",ROUND(AVERAGE(R38:V38),0),ROUND(AVERAGE(R38:V38),1))</f>
        <v>#DIV/0!</v>
      </c>
      <c r="S39" s="3529"/>
      <c r="T39" s="3529"/>
      <c r="U39" s="3529"/>
      <c r="V39" s="3529"/>
      <c r="W39" s="3529"/>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26" t="str">
        <f>YEAR(C7)&amp;"-"&amp;MONTH(C7)</f>
        <v>2018-5</v>
      </c>
      <c r="D48" s="2828">
        <f>EDATE(C48,-1)</f>
        <v>43191</v>
      </c>
      <c r="E48" s="2828">
        <f t="shared" ref="E48:O48" si="13">EDATE(D48,-1)</f>
        <v>43160</v>
      </c>
      <c r="F48" s="2828">
        <f t="shared" si="13"/>
        <v>43132</v>
      </c>
      <c r="G48" s="2828">
        <f t="shared" si="13"/>
        <v>43101</v>
      </c>
      <c r="H48" s="2828">
        <f t="shared" si="13"/>
        <v>43070</v>
      </c>
      <c r="I48" s="2828">
        <f t="shared" si="13"/>
        <v>43040</v>
      </c>
      <c r="J48" s="2828">
        <f t="shared" si="13"/>
        <v>43009</v>
      </c>
      <c r="K48" s="2828">
        <f t="shared" si="13"/>
        <v>42979</v>
      </c>
      <c r="L48" s="2828">
        <f t="shared" si="13"/>
        <v>42948</v>
      </c>
      <c r="M48" s="2828">
        <f t="shared" si="13"/>
        <v>42917</v>
      </c>
      <c r="N48" s="2828">
        <f t="shared" si="13"/>
        <v>42887</v>
      </c>
      <c r="O48" s="2828">
        <f t="shared" si="13"/>
        <v>42856</v>
      </c>
      <c r="P48" s="2160"/>
      <c r="Q48" s="2161"/>
      <c r="R48" s="2161"/>
      <c r="S48" s="2161"/>
      <c r="T48" s="2161"/>
      <c r="U48" s="2161"/>
      <c r="V48" s="2161"/>
      <c r="W48" s="2161"/>
      <c r="X48" s="2161"/>
      <c r="Y48" s="2161"/>
      <c r="Z48" s="2161"/>
      <c r="AA48" s="2161"/>
      <c r="AB48" s="2161"/>
      <c r="AC48" s="2161"/>
    </row>
    <row r="49" spans="1:29" s="1220" customFormat="1" ht="15">
      <c r="A49" s="647"/>
      <c r="B49" s="648"/>
      <c r="C49" s="2827">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2557</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2558</v>
      </c>
      <c r="C67" s="2622" t="s">
        <v>2559</v>
      </c>
      <c r="D67" s="2622" t="s">
        <v>2560</v>
      </c>
      <c r="E67" s="2622" t="s">
        <v>2561</v>
      </c>
      <c r="F67" s="2622" t="s">
        <v>2562</v>
      </c>
      <c r="G67" s="2622" t="s">
        <v>2563</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1" priority="14" stopIfTrue="1" operator="containsText" text="超过">
      <formula>NOT(ISERROR(SEARCH("超过",F42)))</formula>
    </cfRule>
  </conditionalFormatting>
  <conditionalFormatting sqref="J44">
    <cfRule type="containsText" dxfId="30" priority="13" stopIfTrue="1" operator="containsText" text="超过">
      <formula>NOT(ISERROR(SEARCH("超过",J44)))</formula>
    </cfRule>
  </conditionalFormatting>
  <conditionalFormatting sqref="H44">
    <cfRule type="containsText" dxfId="29" priority="12" stopIfTrue="1" operator="containsText" text="超过">
      <formula>NOT(ISERROR(SEARCH("超过",H44)))</formula>
    </cfRule>
  </conditionalFormatting>
  <conditionalFormatting sqref="F44">
    <cfRule type="containsText" dxfId="28" priority="11" stopIfTrue="1" operator="containsText" text="超过">
      <formula>NOT(ISERROR(SEARCH("超过",F44)))</formula>
    </cfRule>
  </conditionalFormatting>
  <conditionalFormatting sqref="F43 H43 J43">
    <cfRule type="containsText" dxfId="27" priority="10" stopIfTrue="1" operator="containsText" text="超过">
      <formula>NOT(ISERROR(SEARCH("超过",F43)))</formula>
    </cfRule>
  </conditionalFormatting>
  <conditionalFormatting sqref="E42">
    <cfRule type="expression" dxfId="26" priority="9" stopIfTrue="1">
      <formula>$F$42="超过30%"</formula>
    </cfRule>
  </conditionalFormatting>
  <conditionalFormatting sqref="G44">
    <cfRule type="expression" dxfId="25" priority="8" stopIfTrue="1">
      <formula>$H$54+$H$44="超过30%"</formula>
    </cfRule>
  </conditionalFormatting>
  <conditionalFormatting sqref="E43">
    <cfRule type="expression" dxfId="24" priority="7" stopIfTrue="1">
      <formula>$F$43="超过20%"</formula>
    </cfRule>
  </conditionalFormatting>
  <conditionalFormatting sqref="E44">
    <cfRule type="expression" dxfId="23" priority="6" stopIfTrue="1">
      <formula>$F$44="超过30%"</formula>
    </cfRule>
  </conditionalFormatting>
  <conditionalFormatting sqref="G42">
    <cfRule type="expression" dxfId="22" priority="5" stopIfTrue="1">
      <formula>$H$52+$H$42="超过30%"</formula>
    </cfRule>
  </conditionalFormatting>
  <conditionalFormatting sqref="G43">
    <cfRule type="expression" dxfId="21" priority="4" stopIfTrue="1">
      <formula>$H$43="超过20%"</formula>
    </cfRule>
  </conditionalFormatting>
  <conditionalFormatting sqref="I42">
    <cfRule type="expression" dxfId="20" priority="3" stopIfTrue="1">
      <formula>$J$52+$J$42="超过30%"</formula>
    </cfRule>
  </conditionalFormatting>
  <conditionalFormatting sqref="I43">
    <cfRule type="expression" dxfId="19" priority="2" stopIfTrue="1">
      <formula>$J$53+$J$43="超过20%"</formula>
    </cfRule>
  </conditionalFormatting>
  <conditionalFormatting sqref="I44">
    <cfRule type="expression" dxfId="1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1"/>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33" t="s">
        <v>798</v>
      </c>
      <c r="D4" s="3434"/>
      <c r="E4" s="3459" t="s">
        <v>799</v>
      </c>
      <c r="F4" s="3460"/>
      <c r="G4" s="3433" t="s">
        <v>800</v>
      </c>
      <c r="H4" s="3434"/>
      <c r="I4" s="3433" t="s">
        <v>801</v>
      </c>
      <c r="J4" s="3434"/>
      <c r="K4" s="514" t="s">
        <v>802</v>
      </c>
      <c r="L4" s="2133"/>
      <c r="M4" s="2134"/>
      <c r="N4" s="2134"/>
      <c r="O4" s="2134"/>
      <c r="P4" s="3435" t="s">
        <v>803</v>
      </c>
      <c r="Q4" s="3436"/>
      <c r="R4" s="3421" t="s">
        <v>799</v>
      </c>
      <c r="S4" s="3422"/>
      <c r="T4" s="3421" t="s">
        <v>800</v>
      </c>
      <c r="U4" s="3422"/>
      <c r="V4" s="3441" t="s">
        <v>801</v>
      </c>
      <c r="W4" s="3441"/>
      <c r="X4" s="1568"/>
      <c r="Y4" s="3421" t="s">
        <v>803</v>
      </c>
      <c r="Z4" s="3422"/>
      <c r="AA4" s="3416" t="s">
        <v>799</v>
      </c>
      <c r="AB4" s="3417" t="s">
        <v>800</v>
      </c>
      <c r="AC4" s="3416" t="s">
        <v>801</v>
      </c>
    </row>
    <row r="5" spans="1:29" ht="15">
      <c r="A5" s="515"/>
      <c r="B5" s="516"/>
      <c r="C5" s="3446" t="s">
        <v>2926</v>
      </c>
      <c r="D5" s="3445"/>
      <c r="E5" s="3461" t="s">
        <v>2927</v>
      </c>
      <c r="F5" s="3462"/>
      <c r="G5" s="3446" t="s">
        <v>2928</v>
      </c>
      <c r="H5" s="3445"/>
      <c r="I5" s="3446" t="s">
        <v>2929</v>
      </c>
      <c r="J5" s="3445"/>
      <c r="K5" s="514"/>
      <c r="L5" s="2133"/>
      <c r="M5" s="2134"/>
      <c r="N5" s="2134"/>
      <c r="O5" s="2134"/>
      <c r="P5" s="3437"/>
      <c r="Q5" s="3438"/>
      <c r="R5" s="3423"/>
      <c r="S5" s="3424"/>
      <c r="T5" s="3423"/>
      <c r="U5" s="3424"/>
      <c r="V5" s="3441"/>
      <c r="W5" s="3441"/>
      <c r="X5" s="1568"/>
      <c r="Y5" s="3423"/>
      <c r="Z5" s="3424"/>
      <c r="AA5" s="3417"/>
      <c r="AB5" s="3417"/>
      <c r="AC5" s="3417"/>
    </row>
    <row r="6" spans="1:29" ht="15.75" thickBot="1">
      <c r="A6" s="517"/>
      <c r="B6" s="518"/>
      <c r="C6" s="3463" t="s">
        <v>2930</v>
      </c>
      <c r="D6" s="3443"/>
      <c r="E6" s="3464" t="s">
        <v>2930</v>
      </c>
      <c r="F6" s="3465"/>
      <c r="G6" s="3463" t="s">
        <v>2930</v>
      </c>
      <c r="H6" s="3443"/>
      <c r="I6" s="3463" t="s">
        <v>2930</v>
      </c>
      <c r="J6" s="3443"/>
      <c r="K6" s="514" t="s">
        <v>528</v>
      </c>
      <c r="L6" s="2133"/>
      <c r="M6" s="2134"/>
      <c r="N6" s="2134"/>
      <c r="O6" s="2134"/>
      <c r="P6" s="3439"/>
      <c r="Q6" s="3440"/>
      <c r="R6" s="3423"/>
      <c r="S6" s="3424"/>
      <c r="T6" s="3425"/>
      <c r="U6" s="3426"/>
      <c r="V6" s="3441"/>
      <c r="W6" s="3441"/>
      <c r="X6" s="1568"/>
      <c r="Y6" s="3425"/>
      <c r="Z6" s="3426"/>
      <c r="AA6" s="3418"/>
      <c r="AB6" s="3418"/>
      <c r="AC6" s="3418"/>
    </row>
    <row r="7" spans="1:29" s="1220" customFormat="1" ht="15.75" thickBot="1">
      <c r="A7" s="2936"/>
      <c r="B7" s="2943" t="s">
        <v>529</v>
      </c>
      <c r="C7" s="519">
        <f>'数据-取费表'!B2</f>
        <v>43244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19" t="s">
        <v>530</v>
      </c>
      <c r="Q7" s="3428"/>
      <c r="R7" s="1569" t="s">
        <v>8</v>
      </c>
      <c r="S7" s="1570">
        <f t="shared" ref="S7:S14" si="0">F7</f>
        <v>0</v>
      </c>
      <c r="T7" s="1569" t="s">
        <v>8</v>
      </c>
      <c r="U7" s="1570">
        <f t="shared" ref="U7:U14" si="1">H7</f>
        <v>0</v>
      </c>
      <c r="V7" s="1569" t="s">
        <v>8</v>
      </c>
      <c r="W7" s="1570">
        <f t="shared" ref="W7:W14" si="2">J7</f>
        <v>0</v>
      </c>
      <c r="X7" s="1571"/>
      <c r="Y7" s="3419" t="s">
        <v>530</v>
      </c>
      <c r="Z7" s="3420"/>
      <c r="AA7" s="1572" t="e">
        <f>D7/F7</f>
        <v>#DIV/0!</v>
      </c>
      <c r="AB7" s="1572" t="e">
        <f>D7/H7</f>
        <v>#DIV/0!</v>
      </c>
      <c r="AC7" s="1572" t="e">
        <f>D7/J7</f>
        <v>#DIV/0!</v>
      </c>
    </row>
    <row r="8" spans="1:29" s="1220"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19" t="s">
        <v>533</v>
      </c>
      <c r="Q8" s="3420"/>
      <c r="R8" s="1569" t="s">
        <v>8</v>
      </c>
      <c r="S8" s="1570">
        <f t="shared" si="0"/>
        <v>0</v>
      </c>
      <c r="T8" s="1569" t="s">
        <v>8</v>
      </c>
      <c r="U8" s="1570">
        <f t="shared" si="1"/>
        <v>0</v>
      </c>
      <c r="V8" s="1569" t="s">
        <v>8</v>
      </c>
      <c r="W8" s="1570">
        <f t="shared" si="2"/>
        <v>0</v>
      </c>
      <c r="X8" s="1571"/>
      <c r="Y8" s="3419" t="s">
        <v>533</v>
      </c>
      <c r="Z8" s="3420"/>
      <c r="AA8" s="1572" t="e">
        <f t="shared" ref="AA8:AA34" si="3">D8/F8</f>
        <v>#DIV/0!</v>
      </c>
      <c r="AB8" s="1572" t="e">
        <f t="shared" ref="AB8:AB34" si="4">D8/H8</f>
        <v>#DIV/0!</v>
      </c>
      <c r="AC8" s="1572" t="e">
        <f t="shared" ref="AC8:AC34" si="5">D8/J8</f>
        <v>#DIV/0!</v>
      </c>
    </row>
    <row r="9" spans="1:29" s="1220" customFormat="1" ht="15">
      <c r="A9" s="2938"/>
      <c r="B9" s="2945"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27" t="s">
        <v>535</v>
      </c>
      <c r="Q9" s="1151" t="str">
        <f t="shared" ref="Q9:Q14" si="6">B9</f>
        <v>用途</v>
      </c>
      <c r="R9" s="1569" t="s">
        <v>8</v>
      </c>
      <c r="S9" s="1570">
        <f t="shared" si="0"/>
        <v>100</v>
      </c>
      <c r="T9" s="1569" t="s">
        <v>8</v>
      </c>
      <c r="U9" s="1570">
        <f t="shared" si="1"/>
        <v>100</v>
      </c>
      <c r="V9" s="1569" t="s">
        <v>8</v>
      </c>
      <c r="W9" s="1570">
        <f t="shared" si="2"/>
        <v>100</v>
      </c>
      <c r="X9" s="1571"/>
      <c r="Y9" s="3384" t="s">
        <v>536</v>
      </c>
      <c r="Z9" s="1150" t="str">
        <f t="shared" ref="Z9:Z14" si="7">Q9</f>
        <v>用途</v>
      </c>
      <c r="AA9" s="1572">
        <f t="shared" si="3"/>
        <v>1</v>
      </c>
      <c r="AB9" s="1572">
        <f t="shared" si="4"/>
        <v>1</v>
      </c>
      <c r="AC9" s="1572">
        <f t="shared" si="5"/>
        <v>1</v>
      </c>
    </row>
    <row r="10" spans="1:29" s="1338" customFormat="1" ht="27">
      <c r="A10" s="2939"/>
      <c r="B10" s="2944"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27"/>
      <c r="Q10" s="1151" t="str">
        <f t="shared" si="6"/>
        <v>土地使用年限（年）</v>
      </c>
      <c r="R10" s="1569" t="s">
        <v>8</v>
      </c>
      <c r="S10" s="1570">
        <f t="shared" si="0"/>
        <v>100</v>
      </c>
      <c r="T10" s="1569" t="s">
        <v>8</v>
      </c>
      <c r="U10" s="1570">
        <f t="shared" si="1"/>
        <v>100</v>
      </c>
      <c r="V10" s="1569" t="s">
        <v>8</v>
      </c>
      <c r="W10" s="1570">
        <f t="shared" si="2"/>
        <v>100</v>
      </c>
      <c r="X10" s="1571"/>
      <c r="Y10" s="3384"/>
      <c r="Z10" s="1150" t="str">
        <f t="shared" si="7"/>
        <v>土地使用年限（年）</v>
      </c>
      <c r="AA10" s="1572">
        <f t="shared" si="3"/>
        <v>1</v>
      </c>
      <c r="AB10" s="1572">
        <f t="shared" si="4"/>
        <v>1</v>
      </c>
      <c r="AC10" s="1572">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27"/>
      <c r="Q11" s="1151">
        <f t="shared" si="6"/>
        <v>111</v>
      </c>
      <c r="R11" s="1569" t="s">
        <v>8</v>
      </c>
      <c r="S11" s="1570">
        <f t="shared" si="0"/>
        <v>100</v>
      </c>
      <c r="T11" s="1569" t="s">
        <v>8</v>
      </c>
      <c r="U11" s="1570">
        <f t="shared" si="1"/>
        <v>100</v>
      </c>
      <c r="V11" s="1569" t="s">
        <v>8</v>
      </c>
      <c r="W11" s="1570">
        <f t="shared" si="2"/>
        <v>100</v>
      </c>
      <c r="X11" s="1571"/>
      <c r="Y11" s="3384"/>
      <c r="Z11" s="1150">
        <f t="shared" si="7"/>
        <v>111</v>
      </c>
      <c r="AA11" s="1572">
        <f t="shared" si="3"/>
        <v>1</v>
      </c>
      <c r="AB11" s="1572">
        <f t="shared" si="4"/>
        <v>1</v>
      </c>
      <c r="AC11" s="1572">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27"/>
      <c r="Q12" s="1151">
        <f t="shared" si="6"/>
        <v>111</v>
      </c>
      <c r="R12" s="1569" t="s">
        <v>8</v>
      </c>
      <c r="S12" s="1570">
        <f t="shared" si="0"/>
        <v>100</v>
      </c>
      <c r="T12" s="1569" t="s">
        <v>8</v>
      </c>
      <c r="U12" s="1570">
        <f t="shared" si="1"/>
        <v>100</v>
      </c>
      <c r="V12" s="1569" t="s">
        <v>8</v>
      </c>
      <c r="W12" s="1570">
        <f t="shared" si="2"/>
        <v>100</v>
      </c>
      <c r="X12" s="1571"/>
      <c r="Y12" s="3384"/>
      <c r="Z12" s="1150">
        <f t="shared" si="7"/>
        <v>111</v>
      </c>
      <c r="AA12" s="1572">
        <f>D12/F12</f>
        <v>1</v>
      </c>
      <c r="AB12" s="1572">
        <f>D12/H12</f>
        <v>1</v>
      </c>
      <c r="AC12" s="1572">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27"/>
      <c r="Q13" s="1151">
        <f t="shared" si="6"/>
        <v>111</v>
      </c>
      <c r="R13" s="1569" t="s">
        <v>8</v>
      </c>
      <c r="S13" s="1570">
        <f t="shared" si="0"/>
        <v>100</v>
      </c>
      <c r="T13" s="1569" t="s">
        <v>8</v>
      </c>
      <c r="U13" s="1570">
        <f t="shared" si="1"/>
        <v>100</v>
      </c>
      <c r="V13" s="1569" t="s">
        <v>8</v>
      </c>
      <c r="W13" s="1570">
        <f t="shared" si="2"/>
        <v>100</v>
      </c>
      <c r="X13" s="1571"/>
      <c r="Y13" s="3384"/>
      <c r="Z13" s="1150">
        <f t="shared" si="7"/>
        <v>111</v>
      </c>
      <c r="AA13" s="1572">
        <f t="shared" si="3"/>
        <v>1</v>
      </c>
      <c r="AB13" s="1572">
        <f t="shared" si="4"/>
        <v>1</v>
      </c>
      <c r="AC13" s="1572">
        <f t="shared" si="5"/>
        <v>1</v>
      </c>
    </row>
    <row r="14" spans="1:29" ht="85.5">
      <c r="A14" s="2934"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29" t="s">
        <v>540</v>
      </c>
      <c r="Q14" s="1573" t="str">
        <f t="shared" si="6"/>
        <v>交通便捷度</v>
      </c>
      <c r="R14" s="1574" t="s">
        <v>8</v>
      </c>
      <c r="S14" s="1575">
        <f t="shared" si="0"/>
        <v>100</v>
      </c>
      <c r="T14" s="1574" t="s">
        <v>8</v>
      </c>
      <c r="U14" s="1575">
        <f t="shared" si="1"/>
        <v>100</v>
      </c>
      <c r="V14" s="1574" t="s">
        <v>8</v>
      </c>
      <c r="W14" s="1575">
        <f t="shared" si="2"/>
        <v>100</v>
      </c>
      <c r="X14" s="1568"/>
      <c r="Y14" s="342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30"/>
      <c r="Q15" s="1573"/>
      <c r="R15" s="1574"/>
      <c r="S15" s="1575"/>
      <c r="T15" s="1574"/>
      <c r="U15" s="1575"/>
      <c r="V15" s="1574"/>
      <c r="W15" s="1575"/>
      <c r="X15" s="1568"/>
      <c r="Y15" s="3430"/>
      <c r="Z15" s="1576"/>
      <c r="AA15" s="1577">
        <v>1</v>
      </c>
      <c r="AB15" s="1577">
        <v>1</v>
      </c>
      <c r="AC15" s="1577">
        <v>1</v>
      </c>
    </row>
    <row r="16" spans="1:29" ht="42.75">
      <c r="A16" s="532"/>
      <c r="B16" s="2627"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30"/>
      <c r="Q16" s="1573" t="str">
        <f>B16</f>
        <v>公共配套设施</v>
      </c>
      <c r="R16" s="1574" t="s">
        <v>8</v>
      </c>
      <c r="S16" s="1575">
        <f>F16</f>
        <v>100</v>
      </c>
      <c r="T16" s="1574" t="s">
        <v>8</v>
      </c>
      <c r="U16" s="1575">
        <f>H16</f>
        <v>100</v>
      </c>
      <c r="V16" s="1574" t="s">
        <v>8</v>
      </c>
      <c r="W16" s="1575">
        <f>J16</f>
        <v>100</v>
      </c>
      <c r="X16" s="1568"/>
      <c r="Y16" s="343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30"/>
      <c r="Q17" s="1573"/>
      <c r="R17" s="1574"/>
      <c r="S17" s="1575"/>
      <c r="T17" s="1574"/>
      <c r="U17" s="1575"/>
      <c r="V17" s="1574"/>
      <c r="W17" s="1575"/>
      <c r="X17" s="1568"/>
      <c r="Y17" s="3430"/>
      <c r="Z17" s="1576"/>
      <c r="AA17" s="1577">
        <v>1</v>
      </c>
      <c r="AB17" s="1577">
        <v>1</v>
      </c>
      <c r="AC17" s="1577">
        <v>1</v>
      </c>
    </row>
    <row r="18" spans="1:29" ht="28.5">
      <c r="A18" s="532"/>
      <c r="B18" s="2615"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30"/>
      <c r="Q18" s="2603" t="str">
        <f>B18</f>
        <v>基础设施水平</v>
      </c>
      <c r="R18" s="1574" t="s">
        <v>8</v>
      </c>
      <c r="S18" s="1575">
        <f>F18</f>
        <v>100</v>
      </c>
      <c r="T18" s="1574" t="s">
        <v>8</v>
      </c>
      <c r="U18" s="1575">
        <f>H18</f>
        <v>100</v>
      </c>
      <c r="V18" s="1574" t="s">
        <v>8</v>
      </c>
      <c r="W18" s="1575">
        <f>J18</f>
        <v>100</v>
      </c>
      <c r="X18" s="2605"/>
      <c r="Y18" s="3430"/>
      <c r="Z18" s="2604" t="str">
        <f>Q18</f>
        <v>基础设施水平</v>
      </c>
      <c r="AA18" s="1577">
        <f>D18/F18</f>
        <v>1</v>
      </c>
      <c r="AB18" s="1577">
        <f>D18/H18</f>
        <v>1</v>
      </c>
      <c r="AC18" s="1577">
        <f>D18/J18</f>
        <v>1</v>
      </c>
    </row>
    <row r="19" spans="1:29" ht="15">
      <c r="A19" s="532"/>
      <c r="B19" s="578"/>
      <c r="C19" s="873"/>
      <c r="D19" s="559"/>
      <c r="E19" s="873"/>
      <c r="F19" s="563"/>
      <c r="G19" s="873"/>
      <c r="H19" s="555"/>
      <c r="I19" s="576"/>
      <c r="J19" s="555"/>
      <c r="K19" s="2626"/>
      <c r="L19" s="2142"/>
      <c r="M19" s="2134"/>
      <c r="N19" s="2134"/>
      <c r="O19" s="2141"/>
      <c r="P19" s="3430"/>
      <c r="Q19" s="2603"/>
      <c r="R19" s="1574"/>
      <c r="S19" s="1575"/>
      <c r="T19" s="1574"/>
      <c r="U19" s="1575"/>
      <c r="V19" s="1574"/>
      <c r="W19" s="1575"/>
      <c r="X19" s="2605"/>
      <c r="Y19" s="3430"/>
      <c r="Z19" s="2604"/>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30"/>
      <c r="Q20" s="1573" t="str">
        <f>B20</f>
        <v>自然及人文环境</v>
      </c>
      <c r="R20" s="1574" t="s">
        <v>8</v>
      </c>
      <c r="S20" s="1575">
        <f>F20</f>
        <v>100</v>
      </c>
      <c r="T20" s="1574" t="s">
        <v>8</v>
      </c>
      <c r="U20" s="1575">
        <f>H20</f>
        <v>100</v>
      </c>
      <c r="V20" s="1574" t="s">
        <v>8</v>
      </c>
      <c r="W20" s="1575">
        <f>J20</f>
        <v>100</v>
      </c>
      <c r="X20" s="1568"/>
      <c r="Y20" s="343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30"/>
      <c r="Q21" s="1573"/>
      <c r="R21" s="1574"/>
      <c r="S21" s="1575"/>
      <c r="T21" s="1574"/>
      <c r="U21" s="1575"/>
      <c r="V21" s="1574"/>
      <c r="W21" s="1575"/>
      <c r="X21" s="1568"/>
      <c r="Y21" s="343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30"/>
      <c r="Q22" s="1573" t="str">
        <f>B22</f>
        <v>楼层</v>
      </c>
      <c r="R22" s="1574" t="s">
        <v>8</v>
      </c>
      <c r="S22" s="1575">
        <f>F22</f>
        <v>100</v>
      </c>
      <c r="T22" s="1574" t="s">
        <v>8</v>
      </c>
      <c r="U22" s="1575">
        <f>H22</f>
        <v>100</v>
      </c>
      <c r="V22" s="1574" t="s">
        <v>8</v>
      </c>
      <c r="W22" s="1575">
        <f>J22</f>
        <v>100</v>
      </c>
      <c r="X22" s="1568"/>
      <c r="Y22" s="343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30"/>
      <c r="Q23" s="1573">
        <f>B23</f>
        <v>111</v>
      </c>
      <c r="R23" s="1574" t="s">
        <v>8</v>
      </c>
      <c r="S23" s="1575">
        <f>F23</f>
        <v>100</v>
      </c>
      <c r="T23" s="1574" t="s">
        <v>8</v>
      </c>
      <c r="U23" s="1575">
        <f>H23</f>
        <v>100</v>
      </c>
      <c r="V23" s="1574" t="s">
        <v>8</v>
      </c>
      <c r="W23" s="1575">
        <f>J23</f>
        <v>100</v>
      </c>
      <c r="X23" s="1568"/>
      <c r="Y23" s="343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30"/>
      <c r="Q24" s="1573">
        <f t="shared" ref="Q24:Q34" si="8">B24</f>
        <v>111</v>
      </c>
      <c r="R24" s="1574" t="s">
        <v>8</v>
      </c>
      <c r="S24" s="1575">
        <f>F24</f>
        <v>100</v>
      </c>
      <c r="T24" s="1574" t="s">
        <v>8</v>
      </c>
      <c r="U24" s="1575">
        <f>H24</f>
        <v>100</v>
      </c>
      <c r="V24" s="1574" t="s">
        <v>8</v>
      </c>
      <c r="W24" s="1575">
        <f>J24</f>
        <v>100</v>
      </c>
      <c r="X24" s="1568"/>
      <c r="Y24" s="343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30"/>
      <c r="Q25" s="1151">
        <f t="shared" si="8"/>
        <v>111</v>
      </c>
      <c r="R25" s="1569" t="s">
        <v>8</v>
      </c>
      <c r="S25" s="1570">
        <f>F25</f>
        <v>100</v>
      </c>
      <c r="T25" s="1569" t="s">
        <v>8</v>
      </c>
      <c r="U25" s="1570">
        <f>H25</f>
        <v>100</v>
      </c>
      <c r="V25" s="1569" t="s">
        <v>8</v>
      </c>
      <c r="W25" s="1570">
        <f>J25</f>
        <v>100</v>
      </c>
      <c r="X25" s="1571"/>
      <c r="Y25" s="3430"/>
      <c r="Z25" s="1150">
        <f>Q25</f>
        <v>111</v>
      </c>
      <c r="AA25" s="1577">
        <f>D25/F25</f>
        <v>1</v>
      </c>
      <c r="AB25" s="1577">
        <f>D25/H25</f>
        <v>1</v>
      </c>
      <c r="AC25" s="1577">
        <f>D25/J25</f>
        <v>1</v>
      </c>
    </row>
    <row r="26" spans="1:29" ht="15">
      <c r="A26" s="2931"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31"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432"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32"/>
      <c r="Q27" s="1606" t="str">
        <f t="shared" si="8"/>
        <v>成新率</v>
      </c>
      <c r="R27" s="1578" t="s">
        <v>8</v>
      </c>
      <c r="S27" s="1579" t="e">
        <f t="shared" si="9"/>
        <v>#N/A</v>
      </c>
      <c r="T27" s="1578" t="s">
        <v>8</v>
      </c>
      <c r="U27" s="1579" t="e">
        <f t="shared" si="10"/>
        <v>#N/A</v>
      </c>
      <c r="V27" s="1578" t="s">
        <v>8</v>
      </c>
      <c r="W27" s="1579" t="e">
        <f t="shared" si="11"/>
        <v>#N/A</v>
      </c>
      <c r="X27" s="1580"/>
      <c r="Y27" s="3432"/>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32"/>
      <c r="Q28" s="1573" t="str">
        <f t="shared" si="8"/>
        <v>物业等级</v>
      </c>
      <c r="R28" s="1574" t="s">
        <v>8</v>
      </c>
      <c r="S28" s="1575">
        <f t="shared" si="9"/>
        <v>100</v>
      </c>
      <c r="T28" s="1574" t="s">
        <v>8</v>
      </c>
      <c r="U28" s="1575">
        <f t="shared" si="10"/>
        <v>100</v>
      </c>
      <c r="V28" s="1574" t="s">
        <v>8</v>
      </c>
      <c r="W28" s="1575">
        <f t="shared" si="11"/>
        <v>100</v>
      </c>
      <c r="X28" s="1568"/>
      <c r="Y28" s="3432"/>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32"/>
      <c r="Q29" s="1573" t="str">
        <f t="shared" si="8"/>
        <v>有无电梯</v>
      </c>
      <c r="R29" s="1574" t="s">
        <v>8</v>
      </c>
      <c r="S29" s="1575">
        <f t="shared" si="9"/>
        <v>100</v>
      </c>
      <c r="T29" s="1574" t="s">
        <v>8</v>
      </c>
      <c r="U29" s="1575">
        <f t="shared" si="10"/>
        <v>100</v>
      </c>
      <c r="V29" s="1574" t="s">
        <v>8</v>
      </c>
      <c r="W29" s="1575">
        <f t="shared" si="11"/>
        <v>100</v>
      </c>
      <c r="X29" s="1568"/>
      <c r="Y29" s="3432"/>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32"/>
      <c r="Q30" s="1573" t="str">
        <f t="shared" si="8"/>
        <v>建筑面积</v>
      </c>
      <c r="R30" s="1574" t="s">
        <v>8</v>
      </c>
      <c r="S30" s="1575" t="e">
        <f t="shared" si="9"/>
        <v>#N/A</v>
      </c>
      <c r="T30" s="1574" t="s">
        <v>8</v>
      </c>
      <c r="U30" s="1575" t="e">
        <f t="shared" si="10"/>
        <v>#N/A</v>
      </c>
      <c r="V30" s="1574" t="s">
        <v>8</v>
      </c>
      <c r="W30" s="1575" t="e">
        <f t="shared" si="11"/>
        <v>#N/A</v>
      </c>
      <c r="X30" s="1568"/>
      <c r="Y30" s="3432"/>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32"/>
      <c r="Q31" s="1151" t="str">
        <f t="shared" si="8"/>
        <v>是否封闭</v>
      </c>
      <c r="R31" s="1569" t="s">
        <v>8</v>
      </c>
      <c r="S31" s="1570">
        <f t="shared" si="9"/>
        <v>100</v>
      </c>
      <c r="T31" s="1569" t="s">
        <v>8</v>
      </c>
      <c r="U31" s="1570">
        <f t="shared" si="10"/>
        <v>100</v>
      </c>
      <c r="V31" s="1569" t="s">
        <v>8</v>
      </c>
      <c r="W31" s="1570">
        <f t="shared" si="11"/>
        <v>100</v>
      </c>
      <c r="X31" s="1571"/>
      <c r="Y31" s="3432"/>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32" t="s">
        <v>550</v>
      </c>
      <c r="Q32" s="1573">
        <f t="shared" si="8"/>
        <v>111</v>
      </c>
      <c r="R32" s="1574" t="s">
        <v>8</v>
      </c>
      <c r="S32" s="1575">
        <f t="shared" si="9"/>
        <v>100</v>
      </c>
      <c r="T32" s="1574" t="s">
        <v>8</v>
      </c>
      <c r="U32" s="1575">
        <f t="shared" si="10"/>
        <v>100</v>
      </c>
      <c r="V32" s="1574" t="s">
        <v>8</v>
      </c>
      <c r="W32" s="1575">
        <f t="shared" si="11"/>
        <v>100</v>
      </c>
      <c r="X32" s="1568"/>
      <c r="Y32" s="3432"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32"/>
      <c r="Q33" s="1573">
        <f t="shared" si="8"/>
        <v>111</v>
      </c>
      <c r="R33" s="1574" t="s">
        <v>8</v>
      </c>
      <c r="S33" s="1575">
        <f t="shared" si="9"/>
        <v>100</v>
      </c>
      <c r="T33" s="1574" t="s">
        <v>8</v>
      </c>
      <c r="U33" s="1575">
        <f t="shared" si="10"/>
        <v>100</v>
      </c>
      <c r="V33" s="1574" t="s">
        <v>8</v>
      </c>
      <c r="W33" s="1575">
        <f t="shared" si="11"/>
        <v>100</v>
      </c>
      <c r="X33" s="1568"/>
      <c r="Y33" s="3432"/>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32"/>
      <c r="Q34" s="1573">
        <f t="shared" si="8"/>
        <v>111</v>
      </c>
      <c r="R34" s="1574" t="s">
        <v>8</v>
      </c>
      <c r="S34" s="1575">
        <f t="shared" si="9"/>
        <v>100</v>
      </c>
      <c r="T34" s="1574" t="s">
        <v>8</v>
      </c>
      <c r="U34" s="1575">
        <f t="shared" si="10"/>
        <v>100</v>
      </c>
      <c r="V34" s="1574" t="s">
        <v>8</v>
      </c>
      <c r="W34" s="1575">
        <f t="shared" si="11"/>
        <v>100</v>
      </c>
      <c r="X34" s="1568"/>
      <c r="Y34" s="3432"/>
      <c r="Z34" s="1576">
        <f t="shared" si="12"/>
        <v>111</v>
      </c>
      <c r="AA34" s="1577">
        <f t="shared" si="3"/>
        <v>1</v>
      </c>
      <c r="AB34" s="1577">
        <f t="shared" si="4"/>
        <v>1</v>
      </c>
      <c r="AC34" s="1577">
        <f t="shared" si="5"/>
        <v>1</v>
      </c>
    </row>
    <row r="35" spans="1:29" ht="15">
      <c r="A35" s="607" t="s">
        <v>736</v>
      </c>
      <c r="B35" s="887"/>
      <c r="C35" s="2651" t="s">
        <v>1</v>
      </c>
      <c r="D35" s="2652"/>
      <c r="E35" s="2653"/>
      <c r="F35" s="2654"/>
      <c r="G35" s="2655"/>
      <c r="H35" s="2656"/>
      <c r="I35" s="2653"/>
      <c r="J35" s="2656"/>
      <c r="K35" s="1612"/>
      <c r="L35" s="2144"/>
      <c r="M35" s="2145"/>
      <c r="N35" s="2134"/>
      <c r="O35" s="2145"/>
      <c r="P35" s="3427" t="str">
        <f>A35</f>
        <v>成交单价（元/平方米）</v>
      </c>
      <c r="Q35" s="3427"/>
      <c r="R35" s="3530">
        <f>E35</f>
        <v>0</v>
      </c>
      <c r="S35" s="3530"/>
      <c r="T35" s="3530">
        <f>G35</f>
        <v>0</v>
      </c>
      <c r="U35" s="3530"/>
      <c r="V35" s="3530">
        <f>I35</f>
        <v>0</v>
      </c>
      <c r="W35" s="3530"/>
      <c r="X35" s="1560"/>
      <c r="Y35" s="1582"/>
      <c r="Z35" s="1560"/>
      <c r="AA35" s="1560"/>
      <c r="AB35" s="1560"/>
      <c r="AC35" s="1560"/>
    </row>
    <row r="36" spans="1:29" ht="15.75" thickBot="1">
      <c r="A36" s="615" t="s">
        <v>2760</v>
      </c>
      <c r="B36" s="888"/>
      <c r="C36" s="2657" t="e">
        <f>R37</f>
        <v>#DIV/0!</v>
      </c>
      <c r="D36" s="2658"/>
      <c r="E36" s="2659" t="e">
        <f>R36</f>
        <v>#DIV/0!</v>
      </c>
      <c r="F36" s="2659"/>
      <c r="G36" s="2657" t="e">
        <f>T36</f>
        <v>#DIV/0!</v>
      </c>
      <c r="H36" s="2658"/>
      <c r="I36" s="2659" t="e">
        <f>V36</f>
        <v>#DIV/0!</v>
      </c>
      <c r="J36" s="2658"/>
      <c r="K36" s="1613"/>
      <c r="L36" s="2144"/>
      <c r="M36" s="2145"/>
      <c r="N36" s="2134"/>
      <c r="O36" s="2145"/>
      <c r="P36" s="3427" t="str">
        <f>A36</f>
        <v>比较价格（元/平方米）</v>
      </c>
      <c r="Q36" s="3427"/>
      <c r="R36" s="3530" t="e">
        <f>IF(F1="售价",ROUND(PRODUCT(R35,AA7:AA34),0),ROUND(PRODUCT(R35,AA7:AA34),1))</f>
        <v>#DIV/0!</v>
      </c>
      <c r="S36" s="3530"/>
      <c r="T36" s="3530" t="e">
        <f>IF(F1="售价",ROUND(PRODUCT(T35,AB7:AB34),0),ROUND(PRODUCT(T35,AB7:AB34),1))</f>
        <v>#DIV/0!</v>
      </c>
      <c r="U36" s="3530"/>
      <c r="V36" s="3530" t="e">
        <f>IF(F1="售价",ROUND(PRODUCT(V35,AC7:AC34),0),ROUND(PRODUCT(V35,AC7:AC34),1))</f>
        <v>#DIV/0!</v>
      </c>
      <c r="W36" s="3530"/>
      <c r="X36" s="1560"/>
      <c r="Y36" s="1560"/>
      <c r="Z36" s="1560"/>
      <c r="AA36" s="1560"/>
      <c r="AB36" s="1560"/>
      <c r="AC36" s="1560"/>
    </row>
    <row r="37" spans="1:29" ht="15.75" thickBot="1">
      <c r="A37" s="621" t="s">
        <v>2932</v>
      </c>
      <c r="B37" s="622"/>
      <c r="C37" s="2660" t="e">
        <f>R37</f>
        <v>#DIV/0!</v>
      </c>
      <c r="D37" s="2660"/>
      <c r="E37" s="2660"/>
      <c r="F37" s="2660"/>
      <c r="G37" s="2660"/>
      <c r="H37" s="2660"/>
      <c r="I37" s="2660"/>
      <c r="J37" s="2660"/>
      <c r="K37" s="1614"/>
      <c r="L37" s="2144"/>
      <c r="M37" s="2145"/>
      <c r="N37" s="2145"/>
      <c r="O37" s="2145"/>
      <c r="P37" s="3450" t="str">
        <f>A37</f>
        <v>估价对象XX用房的比较价格（楼面单价，元/平方米）</v>
      </c>
      <c r="Q37" s="3451"/>
      <c r="R37" s="3529" t="e">
        <f>IF(F1="售价",ROUND(AVERAGE(R36:V36),0),ROUND(AVERAGE(R36:V36),1))</f>
        <v>#DIV/0!</v>
      </c>
      <c r="S37" s="3529"/>
      <c r="T37" s="3529"/>
      <c r="U37" s="3529"/>
      <c r="V37" s="3529"/>
      <c r="W37" s="3529"/>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26" t="str">
        <f>YEAR(C7)&amp;"-"&amp;MONTH(C7)</f>
        <v>2018-5</v>
      </c>
      <c r="D46" s="2828">
        <f>EDATE(C46,-1)</f>
        <v>43191</v>
      </c>
      <c r="E46" s="2828">
        <f t="shared" ref="E46:O46" si="13">EDATE(D46,-1)</f>
        <v>43160</v>
      </c>
      <c r="F46" s="2828">
        <f t="shared" si="13"/>
        <v>43132</v>
      </c>
      <c r="G46" s="2828">
        <f t="shared" si="13"/>
        <v>43101</v>
      </c>
      <c r="H46" s="2828">
        <f t="shared" si="13"/>
        <v>43070</v>
      </c>
      <c r="I46" s="2828">
        <f t="shared" si="13"/>
        <v>43040</v>
      </c>
      <c r="J46" s="2828">
        <f t="shared" si="13"/>
        <v>43009</v>
      </c>
      <c r="K46" s="2828">
        <f t="shared" si="13"/>
        <v>42979</v>
      </c>
      <c r="L46" s="2828">
        <f t="shared" si="13"/>
        <v>42948</v>
      </c>
      <c r="M46" s="2828">
        <f t="shared" si="13"/>
        <v>42917</v>
      </c>
      <c r="N46" s="2828">
        <f t="shared" si="13"/>
        <v>42887</v>
      </c>
      <c r="O46" s="2828">
        <f t="shared" si="13"/>
        <v>42856</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2557</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2558</v>
      </c>
      <c r="C65" s="2622" t="s">
        <v>2559</v>
      </c>
      <c r="D65" s="2622" t="s">
        <v>2560</v>
      </c>
      <c r="E65" s="2622" t="s">
        <v>2561</v>
      </c>
      <c r="F65" s="2622" t="s">
        <v>2562</v>
      </c>
      <c r="G65" s="2622" t="s">
        <v>2563</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4" stopIfTrue="1" operator="containsText" text="超过">
      <formula>NOT(ISERROR(SEARCH("超过",F40)))</formula>
    </cfRule>
  </conditionalFormatting>
  <conditionalFormatting sqref="J42">
    <cfRule type="containsText" dxfId="16" priority="13" stopIfTrue="1" operator="containsText" text="超过">
      <formula>NOT(ISERROR(SEARCH("超过",J42)))</formula>
    </cfRule>
  </conditionalFormatting>
  <conditionalFormatting sqref="H42">
    <cfRule type="containsText" dxfId="15" priority="12" stopIfTrue="1" operator="containsText" text="超过">
      <formula>NOT(ISERROR(SEARCH("超过",H42)))</formula>
    </cfRule>
  </conditionalFormatting>
  <conditionalFormatting sqref="F42">
    <cfRule type="containsText" dxfId="14" priority="11" stopIfTrue="1" operator="containsText" text="超过">
      <formula>NOT(ISERROR(SEARCH("超过",F42)))</formula>
    </cfRule>
  </conditionalFormatting>
  <conditionalFormatting sqref="F41 H41 J41">
    <cfRule type="containsText" dxfId="13" priority="10" stopIfTrue="1" operator="containsText" text="超过">
      <formula>NOT(ISERROR(SEARCH("超过",F41)))</formula>
    </cfRule>
  </conditionalFormatting>
  <conditionalFormatting sqref="E40">
    <cfRule type="expression" dxfId="12" priority="9" stopIfTrue="1">
      <formula>$F$40="超过30%"</formula>
    </cfRule>
  </conditionalFormatting>
  <conditionalFormatting sqref="G42">
    <cfRule type="expression" dxfId="11" priority="8" stopIfTrue="1">
      <formula>$H$54+$H$42="超过30%"</formula>
    </cfRule>
  </conditionalFormatting>
  <conditionalFormatting sqref="E41">
    <cfRule type="expression" dxfId="10" priority="7" stopIfTrue="1">
      <formula>$F$41="超过20%"</formula>
    </cfRule>
  </conditionalFormatting>
  <conditionalFormatting sqref="E42">
    <cfRule type="expression" dxfId="9" priority="6" stopIfTrue="1">
      <formula>$F$42="超过30%"</formula>
    </cfRule>
  </conditionalFormatting>
  <conditionalFormatting sqref="G40">
    <cfRule type="expression" dxfId="8" priority="5" stopIfTrue="1">
      <formula>$H$52+$H$40="超过30%"</formula>
    </cfRule>
  </conditionalFormatting>
  <conditionalFormatting sqref="G41">
    <cfRule type="expression" dxfId="7" priority="4" stopIfTrue="1">
      <formula>$H$53+$H$41="超过20%"</formula>
    </cfRule>
  </conditionalFormatting>
  <conditionalFormatting sqref="I40">
    <cfRule type="expression" dxfId="6" priority="3" stopIfTrue="1">
      <formula>$J$40="超过30%"</formula>
    </cfRule>
  </conditionalFormatting>
  <conditionalFormatting sqref="I41">
    <cfRule type="expression" dxfId="5" priority="2" stopIfTrue="1">
      <formula>$J$41="超过20%"</formula>
    </cfRule>
  </conditionalFormatting>
  <conditionalFormatting sqref="I42">
    <cfRule type="expression" dxfId="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2303</v>
      </c>
      <c r="C1" s="3539" t="s">
        <v>2304</v>
      </c>
      <c r="D1" s="3540"/>
      <c r="E1" s="3540"/>
      <c r="F1" s="3540"/>
      <c r="G1" s="3540"/>
      <c r="H1" s="3540"/>
      <c r="I1" s="3540"/>
      <c r="J1" s="3540"/>
      <c r="K1" s="3540"/>
      <c r="L1" s="3540"/>
      <c r="M1" s="3540"/>
      <c r="N1" s="3540"/>
      <c r="O1" s="3540"/>
      <c r="P1" s="3540"/>
      <c r="Q1" s="3540"/>
      <c r="R1" s="3540"/>
      <c r="S1" s="3541"/>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2">D6-$T5</f>
        <v>100</v>
      </c>
      <c r="F6" s="1969">
        <f t="shared" si="2"/>
        <v>100</v>
      </c>
      <c r="G6" s="1969">
        <f t="shared" si="2"/>
        <v>100</v>
      </c>
      <c r="H6" s="1969">
        <f t="shared" si="2"/>
        <v>100</v>
      </c>
      <c r="I6" s="1969">
        <f t="shared" si="2"/>
        <v>100</v>
      </c>
      <c r="J6" s="1969">
        <f t="shared" si="2"/>
        <v>100</v>
      </c>
      <c r="K6" s="1969">
        <f t="shared" si="2"/>
        <v>100</v>
      </c>
      <c r="L6" s="1969">
        <f t="shared" si="2"/>
        <v>100</v>
      </c>
      <c r="M6" s="1969">
        <f t="shared" si="2"/>
        <v>100</v>
      </c>
      <c r="N6" s="1969">
        <f t="shared" si="2"/>
        <v>100</v>
      </c>
      <c r="O6" s="1969">
        <f t="shared" si="2"/>
        <v>100</v>
      </c>
      <c r="P6" s="1969">
        <f t="shared" si="2"/>
        <v>100</v>
      </c>
      <c r="Q6" s="1969">
        <f t="shared" si="2"/>
        <v>100</v>
      </c>
      <c r="R6" s="1969">
        <f t="shared" si="2"/>
        <v>100</v>
      </c>
      <c r="S6" s="1969">
        <f t="shared" si="2"/>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3">D8-$T7</f>
        <v>100</v>
      </c>
      <c r="F8" s="1969">
        <f t="shared" si="3"/>
        <v>100</v>
      </c>
      <c r="G8" s="1969">
        <f t="shared" si="3"/>
        <v>100</v>
      </c>
      <c r="H8" s="1969">
        <f t="shared" si="3"/>
        <v>100</v>
      </c>
      <c r="I8" s="1969">
        <f t="shared" si="3"/>
        <v>100</v>
      </c>
      <c r="J8" s="1969">
        <f t="shared" si="3"/>
        <v>100</v>
      </c>
      <c r="K8" s="1969">
        <f t="shared" si="3"/>
        <v>100</v>
      </c>
      <c r="L8" s="1969">
        <f t="shared" si="3"/>
        <v>100</v>
      </c>
      <c r="M8" s="1969">
        <f t="shared" si="3"/>
        <v>100</v>
      </c>
      <c r="N8" s="1969">
        <f t="shared" si="3"/>
        <v>100</v>
      </c>
      <c r="O8" s="1969">
        <f t="shared" si="3"/>
        <v>100</v>
      </c>
      <c r="P8" s="1969">
        <f t="shared" si="3"/>
        <v>100</v>
      </c>
      <c r="Q8" s="1969">
        <f t="shared" si="3"/>
        <v>100</v>
      </c>
      <c r="R8" s="1969">
        <f t="shared" si="3"/>
        <v>100</v>
      </c>
      <c r="S8" s="1969">
        <f t="shared" si="3"/>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4">D10-$T9</f>
        <v>100</v>
      </c>
      <c r="F10" s="2267">
        <f t="shared" si="4"/>
        <v>100</v>
      </c>
      <c r="G10" s="2267">
        <f t="shared" si="4"/>
        <v>100</v>
      </c>
      <c r="H10" s="2267">
        <f t="shared" si="4"/>
        <v>100</v>
      </c>
      <c r="I10" s="2267">
        <f t="shared" si="4"/>
        <v>100</v>
      </c>
      <c r="J10" s="2267">
        <f t="shared" si="4"/>
        <v>100</v>
      </c>
      <c r="K10" s="2267">
        <f t="shared" si="4"/>
        <v>100</v>
      </c>
      <c r="L10" s="2267">
        <f t="shared" si="4"/>
        <v>100</v>
      </c>
      <c r="M10" s="2267">
        <f t="shared" si="4"/>
        <v>100</v>
      </c>
      <c r="N10" s="2267">
        <f t="shared" si="4"/>
        <v>100</v>
      </c>
      <c r="O10" s="2267">
        <f t="shared" si="4"/>
        <v>100</v>
      </c>
      <c r="P10" s="2267">
        <f t="shared" si="4"/>
        <v>100</v>
      </c>
      <c r="Q10" s="2267">
        <f t="shared" si="4"/>
        <v>100</v>
      </c>
      <c r="R10" s="2267">
        <f t="shared" si="4"/>
        <v>100</v>
      </c>
      <c r="S10" s="2267">
        <f t="shared" si="4"/>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5">D12-$T11</f>
        <v>100</v>
      </c>
      <c r="F12" s="1969">
        <f t="shared" si="5"/>
        <v>100</v>
      </c>
      <c r="G12" s="1969">
        <f t="shared" si="5"/>
        <v>100</v>
      </c>
      <c r="H12" s="1969">
        <f t="shared" si="5"/>
        <v>100</v>
      </c>
      <c r="I12" s="1969">
        <f t="shared" si="5"/>
        <v>100</v>
      </c>
      <c r="J12" s="1969">
        <f t="shared" si="5"/>
        <v>100</v>
      </c>
      <c r="K12" s="1969">
        <f t="shared" si="5"/>
        <v>100</v>
      </c>
      <c r="L12" s="1969">
        <f t="shared" si="5"/>
        <v>100</v>
      </c>
      <c r="M12" s="1969">
        <f t="shared" si="5"/>
        <v>100</v>
      </c>
      <c r="N12" s="1969">
        <f t="shared" si="5"/>
        <v>100</v>
      </c>
      <c r="O12" s="1969">
        <f t="shared" si="5"/>
        <v>100</v>
      </c>
      <c r="P12" s="1969">
        <f t="shared" si="5"/>
        <v>100</v>
      </c>
      <c r="Q12" s="1969">
        <f t="shared" si="5"/>
        <v>100</v>
      </c>
      <c r="R12" s="1969">
        <f t="shared" si="5"/>
        <v>100</v>
      </c>
      <c r="S12" s="1969">
        <f t="shared" si="5"/>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36" t="s">
        <v>20</v>
      </c>
      <c r="D22" s="3537"/>
      <c r="E22" s="3537"/>
      <c r="F22" s="3537"/>
      <c r="G22" s="3537"/>
      <c r="H22" s="3537"/>
      <c r="I22" s="3537"/>
      <c r="J22" s="3537"/>
      <c r="K22" s="3537"/>
      <c r="L22" s="3537"/>
      <c r="M22" s="3537"/>
      <c r="N22" s="3537"/>
      <c r="O22" s="3537"/>
      <c r="P22" s="3537"/>
      <c r="Q22" s="353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2788</v>
      </c>
      <c r="C1" s="3028">
        <f>项目基本情况!D3</f>
        <v>43244</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广东锦峰地产投资有限公司：</v>
      </c>
    </row>
    <row r="4" spans="1:4" ht="37.5">
      <c r="A4" s="1792" t="str">
        <f>"受贵公司委托，我公司对"&amp;项目基本情况!K2&amp;项目基本情况!B9&amp;"进行了预评估。"</f>
        <v>受贵公司委托，我公司对广东省汕头市龙湖区海湾公园片区（335-00-02-096）出让国有建设用地使用权市场价格进行了预评估。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汕头市龙湖区海湾公园片区（335-00-02-096）出让国有建设用地使用权。根据《国有土地使用证》[汕国用（2013）第10700250]，估价对象（分摊）出让国有建设用地使用权面积为15168.4平方米。根据《建设工程规划许可证》[[2014]汕规建字第015号]，估价对象规划建筑面积为67516.63平方米。</v>
      </c>
    </row>
    <row r="7" spans="1:4" ht="93.75">
      <c r="A7" s="2897"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2018年5月24日（评估专业人员勘察现场之日）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根据《国有土地使用证》[汕国用（2013）第10700250]，本次评估估价对象证载（地类）用途为住宅。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根据《国有土地使用证》[汕国用（2013）第10700250]，估价对象（分摊）出让国有建设用地使用权面积为15168.4平方米。根据《建设工程规划许可证》[[2014]汕规建字第015号]，估价对象规划建筑面积为67516.63平方米。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99" t="s">
        <v>2749</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35" sqref="F3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3062</v>
      </c>
      <c r="D1" s="3155" t="s">
        <v>3043</v>
      </c>
      <c r="E1" s="2411" t="s">
        <v>2374</v>
      </c>
      <c r="F1" s="2412">
        <f ca="1">J53</f>
        <v>33.54</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5561</v>
      </c>
      <c r="C2" s="2057"/>
      <c r="D2" s="2055"/>
      <c r="E2" s="2056"/>
      <c r="F2" s="2056"/>
      <c r="G2" s="1591"/>
      <c r="H2" s="2057"/>
      <c r="I2" s="2057"/>
      <c r="J2" s="2057"/>
      <c r="K2" s="2058"/>
      <c r="L2" s="2057"/>
      <c r="M2" s="2057"/>
    </row>
    <row r="3" spans="1:33" ht="18" customHeight="1" thickBot="1">
      <c r="A3" s="833" t="s">
        <v>1728</v>
      </c>
      <c r="B3" s="834">
        <f ca="1">IF(ISERROR(B2*10000/F43),0,ROUND(B2*10000/F43,0))</f>
        <v>9482</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364</v>
      </c>
      <c r="D5" s="2520" t="s">
        <v>2461</v>
      </c>
      <c r="E5" s="2514"/>
      <c r="F5" s="2515"/>
      <c r="G5" s="1593"/>
      <c r="H5" s="781">
        <v>1</v>
      </c>
      <c r="I5" s="782" t="s">
        <v>2458</v>
      </c>
      <c r="J5" s="55">
        <f ca="1">J6+J10+J12</f>
        <v>0</v>
      </c>
      <c r="K5" s="2520" t="s">
        <v>2461</v>
      </c>
      <c r="L5" s="2514"/>
      <c r="M5" s="2515"/>
    </row>
    <row r="6" spans="1:33" ht="18" customHeight="1">
      <c r="A6" s="1831" t="s">
        <v>1825</v>
      </c>
      <c r="B6" s="3490" t="s">
        <v>2463</v>
      </c>
      <c r="C6" s="783">
        <f ca="1">ROUND(F6*F8*F7*(1-F9)/10000,0)</f>
        <v>364</v>
      </c>
      <c r="D6" s="2521" t="s">
        <v>2462</v>
      </c>
      <c r="E6" s="784" t="s">
        <v>1739</v>
      </c>
      <c r="F6" s="785">
        <f ca="1">INDIRECT("'数据-取费表'!u"&amp;$G$1)</f>
        <v>2</v>
      </c>
      <c r="G6" s="1593"/>
      <c r="H6" s="2528" t="s">
        <v>2468</v>
      </c>
      <c r="I6" s="3490" t="s">
        <v>2463</v>
      </c>
      <c r="J6" s="783">
        <f ca="1">ROUND(M6*M8*M7*(1-M9)/10000,0)</f>
        <v>0</v>
      </c>
      <c r="K6" s="341" t="s">
        <v>1738</v>
      </c>
      <c r="L6" s="784" t="s">
        <v>1739</v>
      </c>
      <c r="M6" s="785">
        <f ca="1">INDIRECT("'数据-取费表'!z"&amp;$G$1)</f>
        <v>0</v>
      </c>
    </row>
    <row r="7" spans="1:33" ht="18" customHeight="1">
      <c r="A7" s="2524"/>
      <c r="B7" s="3491"/>
      <c r="C7" s="788"/>
      <c r="D7" s="789"/>
      <c r="E7" s="784" t="s">
        <v>1740</v>
      </c>
      <c r="F7" s="785">
        <f ca="1">IF(INDIRECT("'数据-取费表'!ah"&amp;$G$1)="",INDIRECT("'数据-取费表'!k"&amp;$G$1),INDIRECT("'数据-取费表'!ah"&amp;$G$1))</f>
        <v>5864.9200000000019</v>
      </c>
      <c r="G7" s="1593"/>
      <c r="H7" s="2513"/>
      <c r="I7" s="3491"/>
      <c r="J7" s="788"/>
      <c r="K7" s="789"/>
      <c r="L7" s="784" t="s">
        <v>1740</v>
      </c>
      <c r="M7" s="785">
        <f ca="1">F7</f>
        <v>5864.9200000000019</v>
      </c>
    </row>
    <row r="8" spans="1:33" ht="18" customHeight="1">
      <c r="A8" s="2517"/>
      <c r="B8" s="3492"/>
      <c r="C8" s="788"/>
      <c r="D8" s="789"/>
      <c r="E8" s="784" t="s">
        <v>1741</v>
      </c>
      <c r="F8" s="785">
        <f ca="1">INDIRECT("'数据-取费表'!ai"&amp;$G$1)</f>
        <v>365</v>
      </c>
      <c r="G8" s="1593"/>
      <c r="H8" s="2513"/>
      <c r="I8" s="3492"/>
      <c r="J8" s="788"/>
      <c r="K8" s="789"/>
      <c r="L8" s="784" t="s">
        <v>1741</v>
      </c>
      <c r="M8" s="785">
        <f ca="1">INDIRECT("'数据-取费表'!ai"&amp;$G$1)</f>
        <v>365</v>
      </c>
    </row>
    <row r="9" spans="1:33" ht="18" customHeight="1">
      <c r="A9" s="786"/>
      <c r="B9" s="3493"/>
      <c r="C9" s="788"/>
      <c r="D9" s="789"/>
      <c r="E9" s="784" t="s">
        <v>1742</v>
      </c>
      <c r="F9" s="794">
        <f ca="1">INDIRECT("'数据-取费表'!w"&amp;$G$1)</f>
        <v>0.15</v>
      </c>
      <c r="G9" s="1593"/>
      <c r="H9" s="2529"/>
      <c r="I9" s="3492"/>
      <c r="J9" s="788"/>
      <c r="K9" s="789"/>
      <c r="L9" s="795" t="s">
        <v>1742</v>
      </c>
      <c r="M9" s="796">
        <f ca="1">INDIRECT("'数据-取费表'!ab"&amp;$G$1)</f>
        <v>0</v>
      </c>
    </row>
    <row r="10" spans="1:33" ht="18" customHeight="1">
      <c r="A10" s="1831" t="s">
        <v>2466</v>
      </c>
      <c r="B10" s="2518" t="s">
        <v>2459</v>
      </c>
      <c r="C10" s="799">
        <f ca="1">ROUND(IF(F10="押一",C6/12*F11,IF(F10="押二",C6/12*2*F11,IF(F10="押三",C6/12*3*F11,C11*F11))),0)</f>
        <v>0</v>
      </c>
      <c r="D10" s="2525" t="s">
        <v>2973</v>
      </c>
      <c r="E10" s="2522" t="s">
        <v>2464</v>
      </c>
      <c r="F10" s="3197" t="s">
        <v>3148</v>
      </c>
      <c r="G10" s="1593"/>
      <c r="H10" s="2585" t="s">
        <v>2469</v>
      </c>
      <c r="I10" s="2590" t="s">
        <v>2459</v>
      </c>
      <c r="J10" s="783">
        <f ca="1">ROUND(IF(M10="押一",J6/12*M11,IF(M10="押二",J6/12*2*M11,IF(M10="押三",J6/12*3*M11,J11*M11))),0)</f>
        <v>0</v>
      </c>
      <c r="K10" s="2525" t="s">
        <v>2973</v>
      </c>
      <c r="L10" s="2522" t="s">
        <v>2464</v>
      </c>
      <c r="M10" s="2645"/>
    </row>
    <row r="11" spans="1:33" ht="18" customHeight="1">
      <c r="A11" s="790"/>
      <c r="B11" s="2519" t="s">
        <v>2573</v>
      </c>
      <c r="C11" s="2523"/>
      <c r="D11" s="789"/>
      <c r="E11" s="2522" t="s">
        <v>2465</v>
      </c>
      <c r="F11" s="796">
        <f ca="1">'数据-取费表'!B39</f>
        <v>1.4999999999999999E-2</v>
      </c>
      <c r="G11" s="1593"/>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3"/>
      <c r="H12" s="2575" t="s">
        <v>2470</v>
      </c>
      <c r="I12" s="2588" t="s">
        <v>2460</v>
      </c>
      <c r="J12" s="2589"/>
      <c r="K12" s="2564"/>
      <c r="L12" s="2565"/>
      <c r="M12" s="2578"/>
    </row>
    <row r="13" spans="1:33" ht="18" customHeight="1" thickTop="1">
      <c r="A13" s="1830">
        <v>2</v>
      </c>
      <c r="B13" s="1828" t="s">
        <v>1743</v>
      </c>
      <c r="C13" s="792">
        <f ca="1">ROUND(C29*F13,0)</f>
        <v>2770</v>
      </c>
      <c r="D13" s="1835" t="s">
        <v>2297</v>
      </c>
      <c r="E13" s="1835" t="s">
        <v>1745</v>
      </c>
      <c r="F13" s="2560">
        <f ca="1">INDIRECT("'数据-取费表'!y"&amp;$G$1)</f>
        <v>1</v>
      </c>
      <c r="G13" s="1593"/>
      <c r="H13" s="1830">
        <v>2</v>
      </c>
      <c r="I13" s="1828" t="s">
        <v>1743</v>
      </c>
      <c r="J13" s="1820">
        <f ca="1">ROUND(J14*J15,0)</f>
        <v>0</v>
      </c>
      <c r="K13" s="1822" t="s">
        <v>1744</v>
      </c>
      <c r="L13" s="2576"/>
      <c r="M13" s="2577"/>
    </row>
    <row r="14" spans="1:33" ht="18" customHeight="1">
      <c r="A14" s="1649" t="s">
        <v>1885</v>
      </c>
      <c r="B14" s="784" t="s">
        <v>645</v>
      </c>
      <c r="C14" s="804">
        <f ca="1">INDIRECT("'数据-取费表'!m"&amp;$G$1)+INDIRECT("'数据-取费表'!t"&amp;$G$1)</f>
        <v>1780</v>
      </c>
      <c r="D14" s="1979" t="s">
        <v>1746</v>
      </c>
      <c r="E14" s="1980"/>
      <c r="F14" s="805"/>
      <c r="G14" s="1593"/>
      <c r="H14" s="1650" t="s">
        <v>1831</v>
      </c>
      <c r="I14" s="2231" t="s">
        <v>2826</v>
      </c>
      <c r="J14" s="53">
        <f ca="1">C29</f>
        <v>2770</v>
      </c>
      <c r="K14" s="26"/>
      <c r="L14" s="801"/>
      <c r="M14" s="802"/>
    </row>
    <row r="15" spans="1:33" s="2064" customFormat="1" ht="18" customHeight="1" thickBot="1">
      <c r="A15" s="1649" t="s">
        <v>1886</v>
      </c>
      <c r="B15" s="784" t="s">
        <v>647</v>
      </c>
      <c r="C15" s="53">
        <f ca="1">ROUND(C14*F15,0)</f>
        <v>53</v>
      </c>
      <c r="D15" s="806" t="s">
        <v>1747</v>
      </c>
      <c r="E15" s="806" t="s">
        <v>1748</v>
      </c>
      <c r="F15" s="807">
        <f>'数据-取费表'!B33</f>
        <v>0.03</v>
      </c>
      <c r="G15" s="1594"/>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276</v>
      </c>
      <c r="K16" s="1822" t="s">
        <v>1751</v>
      </c>
      <c r="L16" s="2510"/>
      <c r="M16" s="2515"/>
    </row>
    <row r="17" spans="1:33" s="2064" customFormat="1" ht="18" customHeight="1">
      <c r="A17" s="1649" t="s">
        <v>1888</v>
      </c>
      <c r="B17" s="784" t="s">
        <v>653</v>
      </c>
      <c r="C17" s="53">
        <f ca="1">ROUND(F17*(F43+INDIRECT("'数据-取费表'!S"&amp;$G$1))/10000,0)</f>
        <v>119</v>
      </c>
      <c r="D17" s="784" t="s">
        <v>1752</v>
      </c>
      <c r="E17" s="784" t="s">
        <v>1753</v>
      </c>
      <c r="F17" s="56">
        <f>'数据-取费表'!B35</f>
        <v>200</v>
      </c>
      <c r="G17" s="1594"/>
      <c r="H17" s="1650" t="s">
        <v>1831</v>
      </c>
      <c r="I17" s="784" t="s">
        <v>656</v>
      </c>
      <c r="J17" s="53">
        <f ca="1">ROUND(IF(项目基本情况!B11="自然人",J5*M17,J18+J19+J20),0)</f>
        <v>234</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27</v>
      </c>
      <c r="D18" s="784" t="s">
        <v>1747</v>
      </c>
      <c r="E18" s="784" t="s">
        <v>1748</v>
      </c>
      <c r="F18" s="809">
        <f>'数据-取费表'!B36</f>
        <v>1.4999999999999999E-2</v>
      </c>
      <c r="G18" s="1594"/>
      <c r="H18" s="1649" t="s">
        <v>1885</v>
      </c>
      <c r="I18" s="784" t="s">
        <v>1756</v>
      </c>
      <c r="J18" s="53">
        <f ca="1">ROUND(J5*M18/1.05,1)</f>
        <v>0</v>
      </c>
      <c r="K18" s="2508" t="s">
        <v>1757</v>
      </c>
      <c r="L18" s="784" t="s">
        <v>1748</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1979</v>
      </c>
      <c r="D19" s="261" t="s">
        <v>1758</v>
      </c>
      <c r="E19" s="1982"/>
      <c r="F19" s="56"/>
      <c r="G19" s="1593"/>
      <c r="H19" s="1649" t="s">
        <v>1886</v>
      </c>
      <c r="I19" s="784" t="s">
        <v>1759</v>
      </c>
      <c r="J19" s="53">
        <f ca="1">IF(K19="按租金收入计税",ROUND(J5*M19,1),ROUND(C29*F33*0.7,1))</f>
        <v>232.7</v>
      </c>
      <c r="K19" s="811" t="s">
        <v>665</v>
      </c>
      <c r="L19" s="784" t="s">
        <v>1748</v>
      </c>
      <c r="M19" s="809">
        <f>IF(K19="按租金收入计税",'数据-取费表'!B51,'数据-取费表'!B50)</f>
        <v>1.2E-2</v>
      </c>
    </row>
    <row r="20" spans="1:33" s="2064" customFormat="1" ht="18" customHeight="1">
      <c r="A20" s="1650" t="s">
        <v>1890</v>
      </c>
      <c r="B20" s="784" t="s">
        <v>666</v>
      </c>
      <c r="C20" s="53">
        <f ca="1">ROUND(C19*F20,0)</f>
        <v>40</v>
      </c>
      <c r="D20" s="812" t="s">
        <v>1760</v>
      </c>
      <c r="E20" s="784" t="s">
        <v>1748</v>
      </c>
      <c r="F20" s="809">
        <f>'数据-取费表'!B37</f>
        <v>0.02</v>
      </c>
      <c r="G20" s="1594"/>
      <c r="H20" s="1652" t="s">
        <v>1881</v>
      </c>
      <c r="I20" s="341" t="s">
        <v>1761</v>
      </c>
      <c r="J20" s="54">
        <f ca="1">ROUND(M20*M21/10000,0)</f>
        <v>1</v>
      </c>
      <c r="K20" s="814" t="s">
        <v>1762</v>
      </c>
      <c r="L20" s="784" t="s">
        <v>1763</v>
      </c>
      <c r="M20" s="640">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2298</v>
      </c>
      <c r="E21" s="784" t="s">
        <v>1766</v>
      </c>
      <c r="F21" s="809">
        <f>'数据-取费表'!B38</f>
        <v>0.03</v>
      </c>
      <c r="G21" s="1594"/>
      <c r="H21" s="2530"/>
      <c r="I21" s="793"/>
      <c r="J21" s="69"/>
      <c r="K21" s="816"/>
      <c r="L21" s="784" t="s">
        <v>1767</v>
      </c>
      <c r="M21" s="785">
        <f ca="1">INDIRECT("'数据-取费表'!r"&amp;$G$1)</f>
        <v>1333.52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96"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42</v>
      </c>
      <c r="K22" s="2508" t="s">
        <v>1770</v>
      </c>
      <c r="L22" s="784" t="s">
        <v>1748</v>
      </c>
      <c r="M22" s="817">
        <f ca="1">INDIRECT("'数据-取费表'!Ak"&amp;$G$1)</f>
        <v>1.4999999999999999E-2</v>
      </c>
    </row>
    <row r="23" spans="1:33" s="2064" customFormat="1" ht="18" customHeight="1">
      <c r="A23" s="1649" t="s">
        <v>1832</v>
      </c>
      <c r="B23" s="784" t="s">
        <v>2535</v>
      </c>
      <c r="C23" s="53">
        <f ca="1">ROUND(IF('数据-取费表'!B22&lt;=1,(C19+C20)*F24*F23/2,(C19+C20)*(POWER((1+F24),F23/2)-1)),0)</f>
        <v>96</v>
      </c>
      <c r="D23" s="2595"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1.4E-3</v>
      </c>
      <c r="D24" s="2595" t="str">
        <f>IF(F23&lt;=1,"销售费用×利率×(建设周期÷2)","销售费用×((1+利率)^(建设周期÷2)-1)")</f>
        <v>销售费用×((1+利率)^(建设周期÷2)-1)</v>
      </c>
      <c r="E24" s="784" t="s">
        <v>1774</v>
      </c>
      <c r="F24" s="819">
        <f ca="1">'数据-取费表'!B40</f>
        <v>4.7500000000000001E-2</v>
      </c>
      <c r="G24" s="1594"/>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30" t="s">
        <v>1777</v>
      </c>
      <c r="I25" s="3034" t="s">
        <v>2822</v>
      </c>
      <c r="J25" s="792">
        <f ca="1">J5-J16</f>
        <v>-276</v>
      </c>
      <c r="K25" s="2572" t="s">
        <v>1778</v>
      </c>
      <c r="L25" s="2573"/>
      <c r="M25" s="2574"/>
    </row>
    <row r="26" spans="1:33" ht="18" customHeight="1">
      <c r="A26" s="1649" t="s">
        <v>1832</v>
      </c>
      <c r="B26" s="784" t="s">
        <v>2438</v>
      </c>
      <c r="C26" s="53">
        <f ca="1">ROUND((C19+C20)*F26,0)</f>
        <v>404</v>
      </c>
      <c r="D26" s="812" t="s">
        <v>1779</v>
      </c>
      <c r="E26" s="795" t="s">
        <v>1780</v>
      </c>
      <c r="F26" s="794">
        <f ca="1">INDIRECT("'数据-取费表'!q"&amp;$G$1)</f>
        <v>0.2</v>
      </c>
      <c r="G26" s="1593"/>
      <c r="H26" s="2526" t="s">
        <v>1781</v>
      </c>
      <c r="I26" s="2232" t="s">
        <v>2827</v>
      </c>
      <c r="J26" s="783">
        <f ca="1">IF(J5&lt;&gt;0,ROUND(J25*(1-((1+M28)/(1+M26))^M27)/(M26-M28),0),0)</f>
        <v>0</v>
      </c>
      <c r="K26" s="814" t="s">
        <v>1782</v>
      </c>
      <c r="L26" s="784" t="s">
        <v>2419</v>
      </c>
      <c r="M26" s="794">
        <f ca="1">INDIRECT("'数据-取费表'!I"&amp;$G$1)</f>
        <v>4.4999999999999998E-2</v>
      </c>
    </row>
    <row r="27" spans="1:33" ht="18" customHeight="1">
      <c r="A27" s="1649" t="s">
        <v>1833</v>
      </c>
      <c r="B27" s="784" t="s">
        <v>686</v>
      </c>
      <c r="C27" s="53">
        <f ca="1">ROUND(F21*F26,4)</f>
        <v>6.0000000000000001E-3</v>
      </c>
      <c r="D27" s="812" t="s">
        <v>1783</v>
      </c>
      <c r="E27" s="806"/>
      <c r="F27" s="807"/>
      <c r="G27" s="1593"/>
      <c r="H27" s="2527"/>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2299</v>
      </c>
      <c r="E28" s="784" t="s">
        <v>1786</v>
      </c>
      <c r="F28" s="809">
        <f>'数据-取费表'!B41</f>
        <v>5.6000000000000001E-2</v>
      </c>
      <c r="G28" s="1594"/>
      <c r="H28" s="1830"/>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2300</v>
      </c>
      <c r="C29" s="2568">
        <f ca="1">ROUND((C19+C20+C23+C26)/(1-F21-C24-C27-C28),0)</f>
        <v>2770</v>
      </c>
      <c r="D29" s="2569"/>
      <c r="E29" s="2570"/>
      <c r="F29" s="2571"/>
      <c r="G29" s="1594"/>
      <c r="H29" s="823" t="s">
        <v>1788</v>
      </c>
      <c r="I29" s="824" t="s">
        <v>1789</v>
      </c>
      <c r="J29" s="825">
        <f ca="1">ROUND(J26/(1+F40)^F41,0)</f>
        <v>0</v>
      </c>
      <c r="K29" s="826" t="s">
        <v>1790</v>
      </c>
      <c r="L29" s="827"/>
      <c r="M29" s="828">
        <f ca="1">INDIRECT("'数据-取费表'!k"&amp;$G$1)</f>
        <v>5864.9200000000019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1894</v>
      </c>
      <c r="B30" s="1828" t="s">
        <v>1791</v>
      </c>
      <c r="C30" s="792">
        <f ca="1">ROUND(C31+C36+C37+C38,0)</f>
        <v>114</v>
      </c>
      <c r="D30" s="1822" t="s">
        <v>1792</v>
      </c>
      <c r="E30" s="2510"/>
      <c r="F30" s="2515"/>
      <c r="G30" s="2062"/>
      <c r="H30" s="2065"/>
      <c r="I30" s="2066"/>
      <c r="J30" s="2067"/>
      <c r="K30" s="2068"/>
      <c r="L30" s="2069"/>
      <c r="M30" s="2070"/>
    </row>
    <row r="31" spans="1:33" ht="18" customHeight="1">
      <c r="A31" s="1650" t="s">
        <v>1831</v>
      </c>
      <c r="B31" s="784" t="s">
        <v>656</v>
      </c>
      <c r="C31" s="53">
        <f ca="1">ROUND(IF(项目基本情况!B11="自然人",C5*F31,C32+C33+C34),1)</f>
        <v>64.2</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19.399999999999999</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43.7</v>
      </c>
      <c r="D33" s="811" t="s">
        <v>3045</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1.1000000000000001</v>
      </c>
      <c r="D34" s="814" t="s">
        <v>1800</v>
      </c>
      <c r="E34" s="784" t="s">
        <v>1801</v>
      </c>
      <c r="F34" s="640">
        <f>'数据-取费表'!B52</f>
        <v>8</v>
      </c>
      <c r="G34" s="2062"/>
      <c r="H34" s="2065"/>
      <c r="I34" s="835" t="s">
        <v>1814</v>
      </c>
      <c r="J34" s="836"/>
      <c r="K34" s="2080"/>
      <c r="L34" s="2079"/>
      <c r="M34" s="2079"/>
    </row>
    <row r="35" spans="1:18" ht="18" customHeight="1">
      <c r="A35" s="815"/>
      <c r="B35" s="793"/>
      <c r="C35" s="69"/>
      <c r="D35" s="816"/>
      <c r="E35" s="784" t="s">
        <v>1802</v>
      </c>
      <c r="F35" s="785">
        <f ca="1">INDIRECT("'数据-取费表'!r"&amp;$G$1)</f>
        <v>1333.52</v>
      </c>
      <c r="G35" s="2062"/>
      <c r="H35" s="2065"/>
      <c r="I35" s="837" t="s">
        <v>1815</v>
      </c>
      <c r="J35" s="838">
        <f ca="1">ROUND(C13*J36,0)</f>
        <v>208</v>
      </c>
      <c r="K35" s="2078"/>
      <c r="L35" s="2077"/>
      <c r="M35" s="2077"/>
    </row>
    <row r="36" spans="1:18" ht="18" customHeight="1">
      <c r="A36" s="1650" t="s">
        <v>1890</v>
      </c>
      <c r="B36" s="784" t="s">
        <v>1803</v>
      </c>
      <c r="C36" s="53">
        <f ca="1">ROUND(C29*F36,1)</f>
        <v>41.6</v>
      </c>
      <c r="D36" s="1977" t="s">
        <v>1804</v>
      </c>
      <c r="E36" s="784" t="s">
        <v>1797</v>
      </c>
      <c r="F36" s="817">
        <f ca="1">INDIRECT("'数据-取费表'!Ak"&amp;$G$1)</f>
        <v>1.4999999999999999E-2</v>
      </c>
      <c r="G36" s="2062"/>
      <c r="H36" s="2077"/>
      <c r="I36" s="839" t="s">
        <v>1816</v>
      </c>
      <c r="J36" s="840">
        <f ca="1">INDIRECT("'数据-取费表'!j"&amp;$G$1)</f>
        <v>7.4999999999999997E-2</v>
      </c>
      <c r="K36" s="2082"/>
      <c r="L36" s="2077"/>
      <c r="M36" s="2077"/>
    </row>
    <row r="37" spans="1:18" ht="18" customHeight="1">
      <c r="A37" s="1650" t="s">
        <v>1891</v>
      </c>
      <c r="B37" s="784" t="s">
        <v>679</v>
      </c>
      <c r="C37" s="53">
        <f ca="1">ROUND(C13*F37,1)</f>
        <v>4.2</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3.6</v>
      </c>
      <c r="D38" s="2569" t="s">
        <v>1806</v>
      </c>
      <c r="E38" s="2570" t="s">
        <v>1797</v>
      </c>
      <c r="F38" s="2566">
        <f ca="1">INDIRECT("'数据-取费表'!Am"&amp;$G$1)</f>
        <v>0.01</v>
      </c>
      <c r="G38" s="2062"/>
      <c r="H38" s="2077"/>
      <c r="I38" s="843" t="s">
        <v>1818</v>
      </c>
      <c r="J38" s="844"/>
      <c r="K38" s="2083"/>
      <c r="L38" s="2077"/>
      <c r="M38" s="2077"/>
    </row>
    <row r="39" spans="1:18" ht="24.6" customHeight="1" thickTop="1">
      <c r="A39" s="1830" t="s">
        <v>1895</v>
      </c>
      <c r="B39" s="3034" t="s">
        <v>2822</v>
      </c>
      <c r="C39" s="792">
        <f ca="1">C5-C30</f>
        <v>250</v>
      </c>
      <c r="D39" s="2572" t="s">
        <v>1807</v>
      </c>
      <c r="E39" s="2573"/>
      <c r="F39" s="2574"/>
      <c r="G39" s="2062"/>
      <c r="H39" s="2077"/>
      <c r="I39" s="837" t="s">
        <v>1819</v>
      </c>
      <c r="J39" s="845">
        <f ca="1">ROUND(J35/C39,3)</f>
        <v>0.83199999999999996</v>
      </c>
      <c r="K39" s="2083"/>
      <c r="L39" s="2077"/>
      <c r="M39" s="2077"/>
    </row>
    <row r="40" spans="1:18" ht="18" customHeight="1">
      <c r="A40" s="781" t="s">
        <v>1896</v>
      </c>
      <c r="B40" s="2232" t="s">
        <v>2301</v>
      </c>
      <c r="C40" s="783">
        <f ca="1">ROUND(C39*(1-((1+F42)/(1+F40))^F41)/(F40-F42),0)</f>
        <v>5561</v>
      </c>
      <c r="D40" s="814" t="s">
        <v>1808</v>
      </c>
      <c r="E40" s="784" t="s">
        <v>2419</v>
      </c>
      <c r="F40" s="794">
        <f ca="1">INDIRECT("'数据-取费表'!I"&amp;$G$1)</f>
        <v>4.4999999999999998E-2</v>
      </c>
      <c r="G40" s="2062"/>
      <c r="H40" s="2062"/>
      <c r="I40" s="837" t="s">
        <v>1820</v>
      </c>
      <c r="J40" s="845">
        <f ca="1">1-J39</f>
        <v>0.16800000000000004</v>
      </c>
      <c r="K40" s="2083"/>
      <c r="L40" s="2062"/>
      <c r="M40" s="2062"/>
    </row>
    <row r="41" spans="1:18" ht="18" customHeight="1">
      <c r="A41" s="786"/>
      <c r="B41" s="787"/>
      <c r="C41" s="788"/>
      <c r="D41" s="821" t="s">
        <v>1809</v>
      </c>
      <c r="E41" s="784" t="s">
        <v>2963</v>
      </c>
      <c r="F41" s="822">
        <f ca="1">IF(INDIRECT("'数据-取费表'!af"&amp;$G$1)=0,INDIRECT("'数据-取费表'!ae"&amp;$G$1),INDIRECT("'数据-取费表'!af"&amp;$G$1))</f>
        <v>33.54</v>
      </c>
      <c r="G41" s="2062"/>
      <c r="H41" s="1988"/>
      <c r="I41" s="843" t="s">
        <v>1821</v>
      </c>
      <c r="J41" s="846"/>
      <c r="K41" s="2082"/>
      <c r="L41" s="1988"/>
      <c r="M41" s="1988"/>
    </row>
    <row r="42" spans="1:18" ht="18" customHeight="1">
      <c r="A42" s="790"/>
      <c r="B42" s="791"/>
      <c r="C42" s="792"/>
      <c r="D42" s="816"/>
      <c r="E42" s="784" t="s">
        <v>1810</v>
      </c>
      <c r="F42" s="794">
        <f ca="1">INDIRECT("'数据-取费表'!v"&amp;$G$1)</f>
        <v>0.02</v>
      </c>
      <c r="G42" s="2062"/>
      <c r="H42" s="1988"/>
      <c r="I42" s="847" t="s">
        <v>1822</v>
      </c>
      <c r="J42" s="845">
        <f ca="1">ROUND(C13/C40,3)</f>
        <v>0.498</v>
      </c>
      <c r="K42" s="2082"/>
      <c r="L42" s="1988"/>
      <c r="M42" s="1988"/>
    </row>
    <row r="43" spans="1:18" ht="18" customHeight="1" thickBot="1">
      <c r="A43" s="823" t="s">
        <v>1788</v>
      </c>
      <c r="B43" s="824" t="s">
        <v>1811</v>
      </c>
      <c r="C43" s="825">
        <f ca="1">ROUND(C40*10000/F43,0)</f>
        <v>9482</v>
      </c>
      <c r="D43" s="826" t="s">
        <v>1812</v>
      </c>
      <c r="E43" s="827" t="s">
        <v>1813</v>
      </c>
      <c r="F43" s="828">
        <f ca="1">INDIRECT("'数据-取费表'!k"&amp;$G$1)</f>
        <v>5864.9200000000019</v>
      </c>
      <c r="G43" s="2062"/>
      <c r="H43" s="1988"/>
      <c r="I43" s="847" t="s">
        <v>1823</v>
      </c>
      <c r="J43" s="848">
        <f ca="1">1-J42</f>
        <v>0.502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-6367</v>
      </c>
      <c r="D46" s="2085"/>
      <c r="E46" s="2085"/>
      <c r="F46" s="2085"/>
      <c r="I46" s="2378" t="s">
        <v>2342</v>
      </c>
      <c r="J46" s="2379"/>
      <c r="K46" s="2380"/>
      <c r="L46" s="2381">
        <f>IF(OR(M47="住宅",D1="土地（套用方法）"),0,IF(L48&gt;J51,L60,J60))</f>
        <v>0</v>
      </c>
      <c r="O46" s="2418" t="s">
        <v>2410</v>
      </c>
      <c r="P46" s="1593"/>
      <c r="Q46" s="1605"/>
      <c r="R46" s="1593"/>
    </row>
    <row r="47" spans="1:18" s="2059" customFormat="1" ht="18" customHeight="1" thickBot="1">
      <c r="A47" s="2372">
        <v>1</v>
      </c>
      <c r="B47" s="2373" t="s">
        <v>635</v>
      </c>
      <c r="C47" s="2598">
        <f ca="1">C48+C52+C54</f>
        <v>0</v>
      </c>
      <c r="D47" s="2085"/>
      <c r="E47" s="2085"/>
      <c r="F47" s="2085"/>
      <c r="I47" s="2382" t="s">
        <v>2343</v>
      </c>
      <c r="J47" s="2387" t="s">
        <v>3044</v>
      </c>
      <c r="K47" s="2388" t="s">
        <v>2349</v>
      </c>
      <c r="L47" s="2389">
        <f ca="1">INDIRECT("'数据-取费表'!d"&amp;$G$1)</f>
        <v>50</v>
      </c>
      <c r="M47" s="1605" t="str">
        <f>IF(ISNUMBER(FIND("住宅",C1)),"住宅","非住宅")</f>
        <v>非住宅</v>
      </c>
      <c r="O47" s="2419" t="s">
        <v>2375</v>
      </c>
      <c r="P47" s="2420" t="s">
        <v>2376</v>
      </c>
      <c r="Q47" s="2421" t="s">
        <v>2377</v>
      </c>
      <c r="R47" s="2420" t="s">
        <v>2378</v>
      </c>
    </row>
    <row r="48" spans="1:18" s="2059" customFormat="1" ht="18" customHeight="1" thickBot="1">
      <c r="A48" s="2666" t="s">
        <v>2537</v>
      </c>
      <c r="B48" s="2667" t="s">
        <v>2538</v>
      </c>
      <c r="C48" s="2374">
        <f ca="1">ROUND(F48*F50*F49*(1-F51)/10000,0)</f>
        <v>0</v>
      </c>
      <c r="D48" s="2375" t="s">
        <v>636</v>
      </c>
      <c r="E48" s="2376" t="s">
        <v>2296</v>
      </c>
      <c r="F48" s="2377"/>
      <c r="G48" s="2090"/>
      <c r="I48" s="2383" t="s">
        <v>2344</v>
      </c>
      <c r="J48" s="2390" t="s">
        <v>2350</v>
      </c>
      <c r="K48" s="2391" t="s">
        <v>2351</v>
      </c>
      <c r="L48" s="2392">
        <f ca="1">INDIRECT("'数据-取费表'!f"&amp;$G$1)</f>
        <v>35.54</v>
      </c>
      <c r="O48" s="2422" t="s">
        <v>2379</v>
      </c>
      <c r="P48" s="2423" t="s">
        <v>2405</v>
      </c>
      <c r="Q48" s="2424">
        <f ca="1">C40+J29</f>
        <v>5561</v>
      </c>
      <c r="R48" s="2423" t="s">
        <v>2380</v>
      </c>
    </row>
    <row r="49" spans="1:18" s="2059" customFormat="1" ht="18" customHeight="1" thickBot="1">
      <c r="A49" s="786"/>
      <c r="B49" s="787"/>
      <c r="C49" s="788"/>
      <c r="D49" s="789"/>
      <c r="E49" s="784" t="s">
        <v>1740</v>
      </c>
      <c r="F49" s="785">
        <f ca="1">F7</f>
        <v>5864.9200000000019</v>
      </c>
      <c r="G49" s="2090"/>
      <c r="H49" s="2093"/>
      <c r="I49" s="2383" t="s">
        <v>2345</v>
      </c>
      <c r="J49" s="2393">
        <v>2020</v>
      </c>
      <c r="K49" s="2394" t="s">
        <v>2352</v>
      </c>
      <c r="L49" s="2395"/>
      <c r="O49" s="2422" t="s">
        <v>2381</v>
      </c>
      <c r="P49" s="2423" t="s">
        <v>2406</v>
      </c>
      <c r="Q49" s="2424" t="str">
        <f ca="1">J60</f>
        <v>0</v>
      </c>
      <c r="R49" s="2423" t="s">
        <v>2382</v>
      </c>
    </row>
    <row r="50" spans="1:18" s="2059" customFormat="1" ht="18" customHeight="1" thickBot="1">
      <c r="A50" s="786"/>
      <c r="B50" s="787"/>
      <c r="C50" s="788"/>
      <c r="D50" s="789"/>
      <c r="E50" s="784" t="s">
        <v>1741</v>
      </c>
      <c r="F50" s="785">
        <f ca="1">F8</f>
        <v>365</v>
      </c>
      <c r="G50" s="2095"/>
      <c r="H50" s="2093"/>
      <c r="I50" s="2383" t="s">
        <v>2346</v>
      </c>
      <c r="J50" s="2396">
        <f>SUMPRODUCT((I63:I65=J47)*(J62:L62=J48)*(J63:L65))</f>
        <v>60</v>
      </c>
      <c r="K50" s="2394" t="s">
        <v>2353</v>
      </c>
      <c r="L50" s="2395"/>
      <c r="O50" s="2425" t="s">
        <v>2383</v>
      </c>
      <c r="P50" s="2423" t="s">
        <v>2407</v>
      </c>
      <c r="Q50" s="2424">
        <f ca="1">C29</f>
        <v>2770</v>
      </c>
      <c r="R50" s="2423" t="s">
        <v>2380</v>
      </c>
    </row>
    <row r="51" spans="1:18" s="2059" customFormat="1" ht="18" customHeight="1" thickBot="1">
      <c r="A51" s="786"/>
      <c r="B51" s="787"/>
      <c r="C51" s="788"/>
      <c r="D51" s="789"/>
      <c r="E51" s="784" t="s">
        <v>640</v>
      </c>
      <c r="F51" s="2371"/>
      <c r="H51" s="2093"/>
      <c r="I51" s="2384" t="s">
        <v>2347</v>
      </c>
      <c r="J51" s="2397">
        <f>IF(J49="",J50,J49+J50-YEAR('数据-取费表'!B2))</f>
        <v>62</v>
      </c>
      <c r="K51" s="2383" t="s">
        <v>2354</v>
      </c>
      <c r="L51" s="2398">
        <f ca="1">ROUND(-PV(INDIRECT("'数据-取费表'!h"&amp;$G$1),L48,(C39-C13*J36),0),0)</f>
        <v>742</v>
      </c>
      <c r="O51" s="2425" t="s">
        <v>2384</v>
      </c>
      <c r="P51" s="2423" t="s">
        <v>2385</v>
      </c>
      <c r="Q51" s="2426" t="e">
        <f ca="1">J58</f>
        <v>#VALUE!</v>
      </c>
      <c r="R51" s="2427"/>
    </row>
    <row r="52" spans="1:18" s="2059" customFormat="1" ht="18" customHeight="1" thickBot="1">
      <c r="A52" s="781" t="s">
        <v>2536</v>
      </c>
      <c r="B52" s="2518" t="s">
        <v>2459</v>
      </c>
      <c r="C52" s="799">
        <f ca="1">ROUND(IF(F52="押一",C48/12*F11,IF(F52="押二",C48/12*2*F11,IF(F52="押三",C48/12*3*F11,C53*F11))),0)</f>
        <v>0</v>
      </c>
      <c r="D52" s="2525" t="s">
        <v>2974</v>
      </c>
      <c r="E52" s="2522" t="s">
        <v>2464</v>
      </c>
      <c r="F52" s="2645"/>
      <c r="I52" s="2385" t="s">
        <v>2421</v>
      </c>
      <c r="J52" s="2399">
        <v>0.09</v>
      </c>
      <c r="K52" s="2385" t="s">
        <v>2420</v>
      </c>
      <c r="L52" s="2399"/>
      <c r="O52" s="2425" t="s">
        <v>2386</v>
      </c>
      <c r="P52" s="2423" t="s">
        <v>2387</v>
      </c>
      <c r="Q52" s="2426">
        <f>J52</f>
        <v>0.09</v>
      </c>
      <c r="R52" s="2427"/>
    </row>
    <row r="53" spans="1:18" s="2059" customFormat="1" ht="39.75" customHeight="1" thickBot="1">
      <c r="A53" s="786"/>
      <c r="B53" s="2519" t="s">
        <v>2573</v>
      </c>
      <c r="C53" s="2523"/>
      <c r="D53" s="2525"/>
      <c r="E53" s="2522"/>
      <c r="F53" s="800"/>
      <c r="I53" s="2386" t="s">
        <v>2348</v>
      </c>
      <c r="J53" s="2400">
        <f ca="1">IF(M47="住宅",J51,IF(D1="——",MIN(J51,L48),IF(D1="土地（套用方法）",MIN(J51,L48-'数据-取费表'!B20))))</f>
        <v>33.54</v>
      </c>
      <c r="K53" s="3542" t="s">
        <v>2965</v>
      </c>
      <c r="L53" s="3543"/>
      <c r="O53" s="2425" t="s">
        <v>2388</v>
      </c>
      <c r="P53" s="2423" t="s">
        <v>2389</v>
      </c>
      <c r="Q53" s="2424">
        <f ca="1">J53</f>
        <v>33.54</v>
      </c>
      <c r="R53" s="2423" t="s">
        <v>2390</v>
      </c>
    </row>
    <row r="54" spans="1:18" s="2059" customFormat="1" ht="18" customHeight="1" thickBot="1">
      <c r="A54" s="2561" t="s">
        <v>2467</v>
      </c>
      <c r="B54" s="2562" t="s">
        <v>2460</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5561</v>
      </c>
      <c r="R54" s="2427" t="s">
        <v>2392</v>
      </c>
    </row>
    <row r="55" spans="1:18" s="2059" customFormat="1" ht="18" customHeight="1" thickTop="1" thickBot="1">
      <c r="A55" s="797">
        <v>2</v>
      </c>
      <c r="B55" s="798" t="s">
        <v>644</v>
      </c>
      <c r="C55" s="799">
        <f ca="1">C13</f>
        <v>2770</v>
      </c>
      <c r="D55" s="795"/>
      <c r="E55" s="795"/>
      <c r="F55" s="800"/>
      <c r="I55" s="3126" t="s">
        <v>2355</v>
      </c>
      <c r="J55" s="3125" t="e">
        <f ca="1">ROUND(IF(J47="钢混",J57/J50,1-(1-2%)*(J50-J57)/J50),3)</f>
        <v>#VALUE!</v>
      </c>
      <c r="K55" s="2401" t="s">
        <v>2356</v>
      </c>
      <c r="L55" s="2402"/>
      <c r="O55" s="2428" t="s">
        <v>2411</v>
      </c>
      <c r="P55" s="1593"/>
      <c r="Q55" s="1605"/>
      <c r="R55" s="1593"/>
    </row>
    <row r="56" spans="1:18" s="2059" customFormat="1" ht="42.75" customHeight="1" thickBot="1">
      <c r="A56" s="1651"/>
      <c r="B56" s="2231" t="s">
        <v>2302</v>
      </c>
      <c r="C56" s="53">
        <f ca="1">C29</f>
        <v>2770</v>
      </c>
      <c r="D56" s="2663"/>
      <c r="E56" s="784"/>
      <c r="F56" s="809"/>
      <c r="I56" s="2403" t="s">
        <v>2357</v>
      </c>
      <c r="J56" s="3149" t="s">
        <v>1679</v>
      </c>
      <c r="K56" s="2383" t="s">
        <v>2362</v>
      </c>
      <c r="L56" s="2392" t="str">
        <f ca="1">IF(L48&lt;J51,"——",L48-J51)</f>
        <v>——</v>
      </c>
      <c r="O56" s="2419" t="s">
        <v>2375</v>
      </c>
      <c r="P56" s="2420" t="s">
        <v>2376</v>
      </c>
      <c r="Q56" s="2421" t="s">
        <v>2377</v>
      </c>
      <c r="R56" s="2420" t="s">
        <v>2378</v>
      </c>
    </row>
    <row r="57" spans="1:18" s="2059" customFormat="1" ht="28.5" customHeight="1" thickBot="1">
      <c r="A57" s="797" t="s">
        <v>1749</v>
      </c>
      <c r="B57" s="798" t="s">
        <v>651</v>
      </c>
      <c r="C57" s="799">
        <f ca="1">ROUND(C58+C63+C64+C65,0)</f>
        <v>47</v>
      </c>
      <c r="D57" s="26" t="s">
        <v>1751</v>
      </c>
      <c r="E57" s="2664"/>
      <c r="F57" s="56"/>
      <c r="I57" s="2404" t="s">
        <v>2358</v>
      </c>
      <c r="J57" s="2406" t="str">
        <f ca="1">IF(OR(M47="住宅",J51&lt;L48,J56="是"),"——",J51-L48)</f>
        <v>——</v>
      </c>
      <c r="K57" s="2383" t="s">
        <v>2363</v>
      </c>
      <c r="L57" s="2392" t="str">
        <f ca="1">IF(L48&lt;J51,"——",IF(L55="比较法",L49,IF(L55="基准地价",L50,L51)))</f>
        <v>——</v>
      </c>
      <c r="O57" s="2422" t="s">
        <v>2379</v>
      </c>
      <c r="P57" s="2423" t="s">
        <v>2409</v>
      </c>
      <c r="Q57" s="2424">
        <f ca="1">C40+J29</f>
        <v>5561</v>
      </c>
      <c r="R57" s="2423" t="s">
        <v>2380</v>
      </c>
    </row>
    <row r="58" spans="1:18" s="2059" customFormat="1" ht="28.5" customHeight="1" thickBot="1">
      <c r="A58" s="1650" t="s">
        <v>1825</v>
      </c>
      <c r="B58" s="784" t="s">
        <v>656</v>
      </c>
      <c r="C58" s="53">
        <f ca="1">ROUND(IF(项目基本情况!B11="自然人",C47*F58,C59+C60+C61),1)</f>
        <v>1.1000000000000001</v>
      </c>
      <c r="D58" s="2662" t="s">
        <v>657</v>
      </c>
      <c r="E58" s="2663" t="s">
        <v>690</v>
      </c>
      <c r="F58" s="810" t="str">
        <f ca="1">IF(项目基本情况!B11="企业","",IF(INDIRECT("'数据-取费表'!c"&amp;$G$1)="住宅",5%,IF(F48*F49*F50/12/(1+'数据-取费表'!C42)&gt;20000,12%,7%)))</f>
        <v/>
      </c>
      <c r="I58" s="2404" t="s">
        <v>2359</v>
      </c>
      <c r="J58" s="3127"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9" t="s">
        <v>1832</v>
      </c>
      <c r="B59" s="784" t="s">
        <v>660</v>
      </c>
      <c r="C59" s="53">
        <f ca="1">ROUND(C47*F59/1.05,1)</f>
        <v>0</v>
      </c>
      <c r="D59" s="2663" t="s">
        <v>1757</v>
      </c>
      <c r="E59" s="784" t="s">
        <v>1748</v>
      </c>
      <c r="F59" s="809">
        <f t="shared" ref="F59:F65" si="0">F32</f>
        <v>5.6000000000000001E-2</v>
      </c>
      <c r="I59" s="2404" t="s">
        <v>2360</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9" t="s">
        <v>1833</v>
      </c>
      <c r="B60" s="784" t="s">
        <v>1759</v>
      </c>
      <c r="C60" s="53">
        <f ca="1">IF(D60="按租金收入计税",ROUND(C47*F60,1),IF(D60="按房产原值计税",ROUND(C56*F60*0.7,1),INDIRECT("'数据-取费表'!Aj"&amp;$G$1)))</f>
        <v>0</v>
      </c>
      <c r="D60" s="2663" t="str">
        <f>D33</f>
        <v>按租金收入计税</v>
      </c>
      <c r="E60" s="784" t="s">
        <v>1748</v>
      </c>
      <c r="F60" s="809">
        <f t="shared" si="0"/>
        <v>0.12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2" t="s">
        <v>1834</v>
      </c>
      <c r="B61" s="341" t="s">
        <v>668</v>
      </c>
      <c r="C61" s="54">
        <f ca="1">ROUND(F61*F62/10000,1)</f>
        <v>1.1000000000000001</v>
      </c>
      <c r="D61" s="814" t="s">
        <v>669</v>
      </c>
      <c r="E61" s="784" t="s">
        <v>670</v>
      </c>
      <c r="F61" s="640">
        <f t="shared" si="0"/>
        <v>8</v>
      </c>
      <c r="K61" s="2086"/>
      <c r="O61" s="2425" t="s">
        <v>2386</v>
      </c>
      <c r="P61" s="2423" t="s">
        <v>2394</v>
      </c>
      <c r="Q61" s="2424" t="e">
        <f ca="1">L58</f>
        <v>#DIV/0!</v>
      </c>
      <c r="R61" s="2427" t="s">
        <v>2395</v>
      </c>
    </row>
    <row r="62" spans="1:18" s="2059" customFormat="1" ht="15.75" thickBot="1">
      <c r="A62" s="815"/>
      <c r="B62" s="793"/>
      <c r="C62" s="69"/>
      <c r="D62" s="816"/>
      <c r="E62" s="784" t="s">
        <v>674</v>
      </c>
      <c r="F62" s="785">
        <f t="shared" ca="1" si="0"/>
        <v>1333.52</v>
      </c>
      <c r="I62" s="2409" t="s">
        <v>2367</v>
      </c>
      <c r="J62" s="2410" t="s">
        <v>2368</v>
      </c>
      <c r="K62" s="2410" t="s">
        <v>2369</v>
      </c>
      <c r="L62" s="2410" t="s">
        <v>2350</v>
      </c>
      <c r="M62" s="3128" t="s">
        <v>2941</v>
      </c>
      <c r="O62" s="2425" t="s">
        <v>2388</v>
      </c>
      <c r="P62" s="2423" t="str">
        <f>K59</f>
        <v>建设期及建筑物耐用年限下的土地年期修正系数Kn</v>
      </c>
      <c r="Q62" s="2424" t="e">
        <f ca="1">L59</f>
        <v>#DIV/0!</v>
      </c>
      <c r="R62" s="2427" t="s">
        <v>2397</v>
      </c>
    </row>
    <row r="63" spans="1:18" s="2059" customFormat="1" ht="15.75" thickBot="1">
      <c r="A63" s="1650" t="s">
        <v>1890</v>
      </c>
      <c r="B63" s="784" t="s">
        <v>676</v>
      </c>
      <c r="C63" s="53">
        <f ca="1">ROUND(C56*F63,1)</f>
        <v>41.6</v>
      </c>
      <c r="D63" s="2663" t="s">
        <v>1804</v>
      </c>
      <c r="E63" s="784" t="s">
        <v>1748</v>
      </c>
      <c r="F63" s="817">
        <f t="shared" ca="1" si="0"/>
        <v>1.4999999999999999E-2</v>
      </c>
      <c r="I63" s="2409" t="s">
        <v>2370</v>
      </c>
      <c r="J63" s="2410">
        <v>70</v>
      </c>
      <c r="K63" s="2410">
        <v>50</v>
      </c>
      <c r="L63" s="2410">
        <v>80</v>
      </c>
      <c r="M63" s="3129">
        <v>0.02</v>
      </c>
      <c r="O63" s="2422" t="s">
        <v>2391</v>
      </c>
      <c r="P63" s="2423" t="s">
        <v>2408</v>
      </c>
      <c r="Q63" s="2424">
        <f ca="1">Q57+Q58</f>
        <v>5561</v>
      </c>
      <c r="R63" s="2427" t="s">
        <v>2392</v>
      </c>
    </row>
    <row r="64" spans="1:18" s="2059" customFormat="1" ht="16.5" thickBot="1">
      <c r="A64" s="1650" t="s">
        <v>1891</v>
      </c>
      <c r="B64" s="784" t="s">
        <v>679</v>
      </c>
      <c r="C64" s="53">
        <f ca="1">ROUND(C55*F64,1)</f>
        <v>4.2</v>
      </c>
      <c r="D64" s="2663" t="s">
        <v>680</v>
      </c>
      <c r="E64" s="784" t="s">
        <v>1748</v>
      </c>
      <c r="F64" s="818">
        <f t="shared" ca="1" si="0"/>
        <v>1.5E-3</v>
      </c>
      <c r="I64" s="2409" t="s">
        <v>2371</v>
      </c>
      <c r="J64" s="2410">
        <v>50</v>
      </c>
      <c r="K64" s="2410">
        <v>35</v>
      </c>
      <c r="L64" s="2410">
        <v>60</v>
      </c>
      <c r="M64" s="3130">
        <v>0</v>
      </c>
      <c r="O64" s="2428" t="s">
        <v>2415</v>
      </c>
      <c r="P64" s="1593"/>
      <c r="Q64" s="1605"/>
      <c r="R64" s="1593"/>
    </row>
    <row r="65" spans="1:18" s="2059" customFormat="1" ht="15.75" thickBot="1">
      <c r="A65" s="1650" t="s">
        <v>1892</v>
      </c>
      <c r="B65" s="784" t="s">
        <v>666</v>
      </c>
      <c r="C65" s="53">
        <f ca="1">ROUND(C47*F65,1)</f>
        <v>0</v>
      </c>
      <c r="D65" s="2663" t="s">
        <v>683</v>
      </c>
      <c r="E65" s="784" t="s">
        <v>1748</v>
      </c>
      <c r="F65" s="794">
        <f t="shared" ca="1" si="0"/>
        <v>0.01</v>
      </c>
      <c r="I65" s="2409" t="s">
        <v>2372</v>
      </c>
      <c r="J65" s="2410">
        <v>40</v>
      </c>
      <c r="K65" s="2410">
        <v>30</v>
      </c>
      <c r="L65" s="2410">
        <v>50</v>
      </c>
      <c r="M65" s="3129">
        <v>0.02</v>
      </c>
      <c r="O65" s="2419" t="s">
        <v>2375</v>
      </c>
      <c r="P65" s="2420" t="s">
        <v>2376</v>
      </c>
      <c r="Q65" s="2421" t="s">
        <v>2377</v>
      </c>
      <c r="R65" s="2420" t="s">
        <v>2378</v>
      </c>
    </row>
    <row r="66" spans="1:18" s="2059" customFormat="1" ht="24.75" thickBot="1">
      <c r="A66" s="797" t="s">
        <v>1777</v>
      </c>
      <c r="B66" s="3035" t="s">
        <v>2822</v>
      </c>
      <c r="C66" s="799">
        <f ca="1">C47-C57</f>
        <v>-47</v>
      </c>
      <c r="D66" s="2662" t="s">
        <v>700</v>
      </c>
      <c r="E66" s="2661"/>
      <c r="F66" s="820"/>
      <c r="K66" s="2086"/>
      <c r="O66" s="2422" t="s">
        <v>2379</v>
      </c>
      <c r="P66" s="2423" t="s">
        <v>2409</v>
      </c>
      <c r="Q66" s="2424">
        <f ca="1">C40+J29</f>
        <v>5561</v>
      </c>
      <c r="R66" s="2423" t="s">
        <v>2380</v>
      </c>
    </row>
    <row r="67" spans="1:18" s="2059" customFormat="1" ht="20.25" thickBot="1">
      <c r="A67" s="781" t="s">
        <v>1781</v>
      </c>
      <c r="B67" s="2232" t="s">
        <v>2301</v>
      </c>
      <c r="C67" s="783">
        <f ca="1">ROUND(C66*(1-((1+F69)/(1+F67))^F68)/(F67-F69),0)</f>
        <v>-806</v>
      </c>
      <c r="D67" s="814" t="s">
        <v>704</v>
      </c>
      <c r="E67" s="784" t="s">
        <v>705</v>
      </c>
      <c r="F67" s="794">
        <f ca="1">F40</f>
        <v>4.4999999999999998E-2</v>
      </c>
      <c r="K67" s="2086"/>
      <c r="O67" s="2422" t="s">
        <v>2381</v>
      </c>
      <c r="P67" s="2423" t="s">
        <v>2412</v>
      </c>
      <c r="Q67" s="2424">
        <f ca="1">L60</f>
        <v>0</v>
      </c>
      <c r="R67" s="2427" t="s">
        <v>2414</v>
      </c>
    </row>
    <row r="68" spans="1:18" ht="21.75" thickBot="1">
      <c r="A68" s="786"/>
      <c r="B68" s="787"/>
      <c r="C68" s="788"/>
      <c r="D68" s="821" t="s">
        <v>1809</v>
      </c>
      <c r="E68" s="784" t="s">
        <v>1785</v>
      </c>
      <c r="F68" s="822">
        <f ca="1">F41</f>
        <v>33.54</v>
      </c>
      <c r="O68" s="2425" t="s">
        <v>2383</v>
      </c>
      <c r="P68" s="2423" t="s">
        <v>2413</v>
      </c>
      <c r="Q68" s="2429">
        <f ca="1">L51</f>
        <v>742</v>
      </c>
      <c r="R68" s="2430" t="s">
        <v>2416</v>
      </c>
    </row>
    <row r="69" spans="1:18" ht="20.25" thickBot="1">
      <c r="A69" s="790"/>
      <c r="B69" s="791"/>
      <c r="C69" s="792"/>
      <c r="D69" s="816"/>
      <c r="E69" s="784" t="s">
        <v>710</v>
      </c>
      <c r="F69" s="2371"/>
      <c r="O69" s="2425" t="s">
        <v>2384</v>
      </c>
      <c r="P69" s="2431" t="s">
        <v>2398</v>
      </c>
      <c r="Q69" s="2424">
        <f ca="1">ROUND(Q70-Q71*Q72,0)</f>
        <v>42</v>
      </c>
      <c r="R69" s="2427"/>
    </row>
    <row r="70" spans="1:18" ht="15.75" thickBot="1">
      <c r="A70" s="823" t="s">
        <v>1788</v>
      </c>
      <c r="B70" s="824" t="s">
        <v>1811</v>
      </c>
      <c r="C70" s="825">
        <f ca="1">ROUND(C67*10000/F70,0)</f>
        <v>-1374</v>
      </c>
      <c r="D70" s="826" t="s">
        <v>1812</v>
      </c>
      <c r="E70" s="827" t="s">
        <v>1813</v>
      </c>
      <c r="F70" s="828">
        <f ca="1">F43</f>
        <v>5864.9200000000019</v>
      </c>
      <c r="O70" s="2425" t="s">
        <v>2399</v>
      </c>
      <c r="P70" s="2431" t="s">
        <v>2400</v>
      </c>
      <c r="Q70" s="2424">
        <f ca="1">C39</f>
        <v>250</v>
      </c>
      <c r="R70" s="2423" t="s">
        <v>2380</v>
      </c>
    </row>
    <row r="71" spans="1:18" ht="15.75" thickBot="1">
      <c r="O71" s="2425" t="s">
        <v>2401</v>
      </c>
      <c r="P71" s="2431" t="s">
        <v>2402</v>
      </c>
      <c r="Q71" s="2424">
        <f ca="1">C13</f>
        <v>2770</v>
      </c>
      <c r="R71" s="2423" t="s">
        <v>2380</v>
      </c>
    </row>
    <row r="72" spans="1:18" ht="15.75" thickBot="1">
      <c r="O72" s="2425" t="s">
        <v>2403</v>
      </c>
      <c r="P72" s="2431" t="s">
        <v>2404</v>
      </c>
      <c r="Q72" s="2426">
        <f ca="1">J36</f>
        <v>7.4999999999999997E-2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5561</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 priority="7">
      <formula>$L$48&gt;$J$51</formula>
    </cfRule>
  </conditionalFormatting>
  <conditionalFormatting sqref="I55">
    <cfRule type="expression" dxfId="2" priority="8">
      <formula>$J$51&gt;$L$48</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70"/>
  <sheetViews>
    <sheetView topLeftCell="A33" workbookViewId="0">
      <selection activeCell="B42" sqref="B42:I62"/>
    </sheetView>
  </sheetViews>
  <sheetFormatPr defaultRowHeight="13.5"/>
  <cols>
    <col min="4" max="4" width="11.375" customWidth="1"/>
    <col min="6" max="6" width="10.875" bestFit="1" customWidth="1"/>
    <col min="8" max="8" width="11.125" customWidth="1"/>
    <col min="10" max="10" width="11.125" customWidth="1"/>
    <col min="14" max="14" width="16.125" customWidth="1"/>
    <col min="16" max="16" width="10.75" customWidth="1"/>
    <col min="17" max="17" width="10.875" bestFit="1" customWidth="1"/>
    <col min="18" max="18" width="10.375" customWidth="1"/>
    <col min="19" max="19" width="10.75" customWidth="1"/>
  </cols>
  <sheetData>
    <row r="2" spans="2:19" ht="15.75" customHeight="1">
      <c r="B2" s="3581" t="s">
        <v>3036</v>
      </c>
      <c r="C2" s="3581"/>
      <c r="D2" s="3581"/>
      <c r="E2" s="3581"/>
    </row>
    <row r="3" spans="2:19" ht="17.25" thickBot="1">
      <c r="B3" s="3186" t="s">
        <v>3037</v>
      </c>
      <c r="C3" s="3187" t="s">
        <v>3038</v>
      </c>
      <c r="D3" s="3187" t="s">
        <v>3039</v>
      </c>
      <c r="E3" s="3187" t="s">
        <v>3040</v>
      </c>
    </row>
    <row r="4" spans="2:19" ht="16.5">
      <c r="B4" s="3188">
        <v>2016.4</v>
      </c>
      <c r="C4" s="3189">
        <v>3804</v>
      </c>
      <c r="D4" s="3189">
        <v>3.34</v>
      </c>
      <c r="E4" s="3189"/>
    </row>
    <row r="5" spans="2:19" ht="16.5">
      <c r="B5" s="3190">
        <v>2017.1</v>
      </c>
      <c r="C5" s="3191">
        <v>4033</v>
      </c>
      <c r="D5" s="3191">
        <v>6.02</v>
      </c>
      <c r="E5" s="3191"/>
    </row>
    <row r="6" spans="2:19" ht="16.5">
      <c r="B6" s="3188">
        <v>2017.2</v>
      </c>
      <c r="C6" s="3189">
        <v>4304</v>
      </c>
      <c r="D6" s="3189">
        <v>6.72</v>
      </c>
      <c r="E6" s="3189"/>
    </row>
    <row r="7" spans="2:19" ht="16.5">
      <c r="B7" s="3190">
        <v>2017.3</v>
      </c>
      <c r="C7" s="3191">
        <v>4483</v>
      </c>
      <c r="D7" s="3191">
        <v>4.18</v>
      </c>
      <c r="E7" s="3191"/>
    </row>
    <row r="8" spans="2:19" ht="16.5">
      <c r="B8" s="3188">
        <v>2017.4</v>
      </c>
      <c r="C8" s="3189">
        <v>4531</v>
      </c>
      <c r="D8" s="3189">
        <v>1.07</v>
      </c>
    </row>
    <row r="9" spans="2:19" ht="16.5">
      <c r="B9" s="3188">
        <v>2018.1</v>
      </c>
      <c r="C9" s="3188">
        <v>4612</v>
      </c>
      <c r="D9" s="3188">
        <v>1.79</v>
      </c>
      <c r="E9" s="3188"/>
    </row>
    <row r="10" spans="2:19">
      <c r="D10">
        <f>AVERAGE(D4:D9)</f>
        <v>3.8533333333333331</v>
      </c>
    </row>
    <row r="15" spans="2:19" ht="14.25" thickBot="1"/>
    <row r="16" spans="2:19" ht="14.25" customHeight="1" thickBot="1">
      <c r="B16" s="3582" t="s">
        <v>3150</v>
      </c>
      <c r="C16" s="3583"/>
      <c r="D16" s="3588" t="s">
        <v>3151</v>
      </c>
      <c r="E16" s="3589"/>
      <c r="F16" s="3563" t="s">
        <v>3152</v>
      </c>
      <c r="G16" s="3564"/>
      <c r="H16" s="3563" t="s">
        <v>3153</v>
      </c>
      <c r="I16" s="3564"/>
      <c r="J16" s="3563" t="s">
        <v>3154</v>
      </c>
      <c r="K16" s="3564"/>
      <c r="N16" s="3561" t="s">
        <v>3150</v>
      </c>
      <c r="O16" s="3561"/>
      <c r="P16" s="3224" t="s">
        <v>3210</v>
      </c>
      <c r="Q16" s="3225" t="s">
        <v>3211</v>
      </c>
      <c r="R16" s="3225" t="s">
        <v>3212</v>
      </c>
      <c r="S16" s="3225" t="s">
        <v>3213</v>
      </c>
    </row>
    <row r="17" spans="2:19" ht="26.25" customHeight="1" thickBot="1">
      <c r="B17" s="3584"/>
      <c r="C17" s="3585"/>
      <c r="D17" s="3579" t="s">
        <v>3236</v>
      </c>
      <c r="E17" s="3580"/>
      <c r="F17" s="3567" t="s">
        <v>3239</v>
      </c>
      <c r="G17" s="3568"/>
      <c r="H17" s="3567" t="s">
        <v>3161</v>
      </c>
      <c r="I17" s="3568"/>
      <c r="J17" s="3569" t="s">
        <v>3241</v>
      </c>
      <c r="K17" s="3568"/>
      <c r="N17" s="3561"/>
      <c r="O17" s="3561"/>
      <c r="P17" s="3225" t="s">
        <v>3251</v>
      </c>
      <c r="Q17" s="3225" t="s">
        <v>3240</v>
      </c>
      <c r="R17" s="3225" t="s">
        <v>3240</v>
      </c>
      <c r="S17" s="3225" t="s">
        <v>3242</v>
      </c>
    </row>
    <row r="18" spans="2:19" ht="26.25" customHeight="1" thickBot="1">
      <c r="B18" s="3586"/>
      <c r="C18" s="3587"/>
      <c r="D18" s="3579" t="s">
        <v>3237</v>
      </c>
      <c r="E18" s="3580"/>
      <c r="F18" s="3569" t="s">
        <v>3163</v>
      </c>
      <c r="G18" s="3568"/>
      <c r="H18" s="3569" t="s">
        <v>3163</v>
      </c>
      <c r="I18" s="3568"/>
      <c r="J18" s="3569" t="s">
        <v>3163</v>
      </c>
      <c r="K18" s="3568"/>
      <c r="N18" s="3561" t="s">
        <v>3214</v>
      </c>
      <c r="O18" s="3561"/>
      <c r="P18" s="3226">
        <v>43244</v>
      </c>
      <c r="Q18" s="3226">
        <v>42732</v>
      </c>
      <c r="R18" s="3226">
        <v>42732</v>
      </c>
      <c r="S18" s="3226">
        <v>43098</v>
      </c>
    </row>
    <row r="19" spans="2:19" ht="14.25" thickBot="1">
      <c r="B19" s="3565" t="str">
        <f>'比较法-住宅、综合'!B9</f>
        <v>交易时间</v>
      </c>
      <c r="C19" s="3566"/>
      <c r="D19" s="3207">
        <v>43244</v>
      </c>
      <c r="E19" s="3206">
        <v>100</v>
      </c>
      <c r="F19" s="3207">
        <v>42732</v>
      </c>
      <c r="G19" s="3206">
        <f>'比较法-住宅、综合'!F9</f>
        <v>82</v>
      </c>
      <c r="H19" s="3207">
        <v>42732</v>
      </c>
      <c r="I19" s="3206">
        <f>'比较法-住宅、综合'!H9</f>
        <v>82</v>
      </c>
      <c r="J19" s="3207">
        <v>43098</v>
      </c>
      <c r="K19" s="3206">
        <v>94</v>
      </c>
      <c r="N19" s="3561" t="s">
        <v>3215</v>
      </c>
      <c r="O19" s="3561"/>
      <c r="P19" s="3225" t="s">
        <v>3007</v>
      </c>
      <c r="Q19" s="3225" t="s">
        <v>3007</v>
      </c>
      <c r="R19" s="3225" t="s">
        <v>3007</v>
      </c>
      <c r="S19" s="3225" t="s">
        <v>3007</v>
      </c>
    </row>
    <row r="20" spans="2:19" ht="14.25" thickBot="1">
      <c r="B20" s="3565" t="str">
        <f>'比较法-住宅、综合'!B10</f>
        <v>交易情况</v>
      </c>
      <c r="C20" s="3566"/>
      <c r="D20" s="3208" t="str">
        <f>'比较法-住宅、综合'!C10</f>
        <v>正常</v>
      </c>
      <c r="E20" s="3206">
        <v>100</v>
      </c>
      <c r="F20" s="3208" t="str">
        <f>'比较法-住宅、综合'!E10</f>
        <v>正常</v>
      </c>
      <c r="G20" s="3206">
        <v>100</v>
      </c>
      <c r="H20" s="3208" t="str">
        <f>'比较法-住宅、综合'!G10</f>
        <v>正常</v>
      </c>
      <c r="I20" s="3206">
        <v>100</v>
      </c>
      <c r="J20" s="3208" t="str">
        <f>'比较法-住宅、综合'!I10</f>
        <v>正常</v>
      </c>
      <c r="K20" s="3206">
        <v>100</v>
      </c>
      <c r="N20" s="3561" t="s">
        <v>3216</v>
      </c>
      <c r="O20" s="3561"/>
      <c r="P20" s="3225" t="s">
        <v>3238</v>
      </c>
      <c r="Q20" s="3225" t="s">
        <v>3238</v>
      </c>
      <c r="R20" s="3225" t="s">
        <v>3238</v>
      </c>
      <c r="S20" s="3225" t="s">
        <v>3238</v>
      </c>
    </row>
    <row r="21" spans="2:19" ht="41.25" thickBot="1">
      <c r="B21" s="3565" t="s">
        <v>3155</v>
      </c>
      <c r="C21" s="3566"/>
      <c r="D21" s="3206" t="str">
        <f>'比较法-住宅、综合'!C11</f>
        <v>住宅、商业</v>
      </c>
      <c r="E21" s="3206">
        <v>100</v>
      </c>
      <c r="F21" s="3210" t="str">
        <f>'比较法-住宅、综合'!E11</f>
        <v>住宅、商业</v>
      </c>
      <c r="G21" s="3206">
        <v>100</v>
      </c>
      <c r="H21" s="3210" t="str">
        <f>'比较法-住宅、综合'!G11</f>
        <v>住宅、商业</v>
      </c>
      <c r="I21" s="3206">
        <v>100</v>
      </c>
      <c r="J21" s="3210" t="str">
        <f>'比较法-住宅、综合'!I11</f>
        <v>住宅、商业</v>
      </c>
      <c r="K21" s="3206">
        <v>100</v>
      </c>
      <c r="N21" s="3561" t="s">
        <v>3217</v>
      </c>
      <c r="O21" s="3561"/>
      <c r="P21" s="3227" t="str">
        <f>D22</f>
        <v>住宅55.5年、商业25.5年</v>
      </c>
      <c r="Q21" s="3227" t="str">
        <f>F22</f>
        <v>住宅70年、商业40年</v>
      </c>
      <c r="R21" s="3227" t="str">
        <f>Q21</f>
        <v>住宅70年、商业40年</v>
      </c>
      <c r="S21" s="3227" t="str">
        <f>Q21</f>
        <v>住宅70年、商业40年</v>
      </c>
    </row>
    <row r="22" spans="2:19" ht="74.25" customHeight="1" thickBot="1">
      <c r="B22" s="3565" t="s">
        <v>3156</v>
      </c>
      <c r="C22" s="3566"/>
      <c r="D22" s="3206" t="str">
        <f>'比较法-住宅、综合'!C12</f>
        <v>住宅55.5年、商业25.5年</v>
      </c>
      <c r="E22" s="3206">
        <v>100</v>
      </c>
      <c r="F22" s="3210" t="str">
        <f>'比较法-住宅、综合'!E12</f>
        <v>住宅70年、商业40年</v>
      </c>
      <c r="G22" s="3210">
        <f>'比较法-住宅、综合'!F12</f>
        <v>106</v>
      </c>
      <c r="H22" s="3210" t="str">
        <f>'比较法-住宅、综合'!G12</f>
        <v>住宅70年、商业40年</v>
      </c>
      <c r="I22" s="3210">
        <f>'比较法-住宅、综合'!H12</f>
        <v>106</v>
      </c>
      <c r="J22" s="3210" t="str">
        <f>'比较法-住宅、综合'!I12</f>
        <v>住宅70年、商业40年</v>
      </c>
      <c r="K22" s="3210">
        <f>'比较法-住宅、综合'!J12</f>
        <v>106</v>
      </c>
      <c r="N22" s="3562" t="s">
        <v>3157</v>
      </c>
      <c r="O22" s="3224" t="str">
        <f>C24</f>
        <v>居住社区成熟度</v>
      </c>
      <c r="P22" s="3225" t="s">
        <v>3218</v>
      </c>
      <c r="Q22" s="3225" t="s">
        <v>3229</v>
      </c>
      <c r="R22" s="3225" t="s">
        <v>3243</v>
      </c>
      <c r="S22" s="3225" t="s">
        <v>3248</v>
      </c>
    </row>
    <row r="23" spans="2:19" ht="74.25" customHeight="1" thickBot="1">
      <c r="B23" s="3565" t="s">
        <v>2032</v>
      </c>
      <c r="C23" s="3566"/>
      <c r="D23" s="3206">
        <f>'比较法-住宅、综合'!C13</f>
        <v>4.0599999999999996</v>
      </c>
      <c r="E23" s="3206">
        <v>100</v>
      </c>
      <c r="F23" s="3210">
        <f>'比较法-住宅、综合'!E13</f>
        <v>2.5</v>
      </c>
      <c r="G23" s="3210">
        <f>'比较法-住宅、综合'!F13</f>
        <v>105</v>
      </c>
      <c r="H23" s="3210">
        <f>'比较法-住宅、综合'!G13</f>
        <v>3.5</v>
      </c>
      <c r="I23" s="3210">
        <f>'比较法-住宅、综合'!H13</f>
        <v>105</v>
      </c>
      <c r="J23" s="3210">
        <f>'比较法-住宅、综合'!I13</f>
        <v>3</v>
      </c>
      <c r="K23" s="3210">
        <f>'比较法-住宅、综合'!J13</f>
        <v>105</v>
      </c>
      <c r="N23" s="3562"/>
      <c r="O23" s="3224" t="str">
        <f>C25</f>
        <v>商业繁华度</v>
      </c>
      <c r="P23" s="3225" t="s">
        <v>3219</v>
      </c>
      <c r="Q23" s="3225" t="s">
        <v>3230</v>
      </c>
      <c r="R23" s="3225" t="s">
        <v>3244</v>
      </c>
      <c r="S23" s="3225" t="s">
        <v>3249</v>
      </c>
    </row>
    <row r="24" spans="2:19" ht="89.25" customHeight="1" thickBot="1">
      <c r="B24" s="3574" t="s">
        <v>3157</v>
      </c>
      <c r="C24" s="3206" t="str">
        <f>'比较法-住宅、综合'!B17</f>
        <v>居住社区成熟度</v>
      </c>
      <c r="D24" s="3206" t="str">
        <f>'比较法-住宅、综合'!C18</f>
        <v>较好</v>
      </c>
      <c r="E24" s="3206">
        <v>100</v>
      </c>
      <c r="F24" s="3210" t="str">
        <f>'比较法-住宅、综合'!E18</f>
        <v>一般</v>
      </c>
      <c r="G24" s="3210">
        <f>'比较法-住宅、综合'!F17</f>
        <v>97</v>
      </c>
      <c r="H24" s="3208" t="str">
        <f>'比较法-住宅、综合'!G18</f>
        <v>一般</v>
      </c>
      <c r="I24" s="3210">
        <f>'比较法-住宅、综合'!H17</f>
        <v>97</v>
      </c>
      <c r="J24" s="3208" t="str">
        <f>'比较法-住宅、综合'!I18</f>
        <v>较好</v>
      </c>
      <c r="K24" s="3210">
        <v>100</v>
      </c>
      <c r="N24" s="3562"/>
      <c r="O24" s="3224" t="str">
        <f>'比较法-住宅、综合'!B23</f>
        <v>交通便捷度</v>
      </c>
      <c r="P24" s="3225" t="s">
        <v>3220</v>
      </c>
      <c r="Q24" s="3225" t="s">
        <v>3231</v>
      </c>
      <c r="R24" s="3225" t="s">
        <v>3245</v>
      </c>
      <c r="S24" s="3225" t="s">
        <v>3250</v>
      </c>
    </row>
    <row r="25" spans="2:19" ht="63" customHeight="1" thickBot="1">
      <c r="B25" s="3575"/>
      <c r="C25" s="3206" t="str">
        <f>'比较法-住宅、综合'!B19</f>
        <v>商业繁华度</v>
      </c>
      <c r="D25" s="3206" t="str">
        <f>'比较法-住宅、综合'!C20</f>
        <v>一般</v>
      </c>
      <c r="E25" s="3206">
        <v>100</v>
      </c>
      <c r="F25" s="3210" t="str">
        <f>'比较法-住宅、综合'!E20</f>
        <v>较差</v>
      </c>
      <c r="G25" s="3210">
        <f>'比较法-住宅、综合'!F19</f>
        <v>97</v>
      </c>
      <c r="H25" s="3208" t="str">
        <f>'比较法-住宅、综合'!G20</f>
        <v>较差</v>
      </c>
      <c r="I25" s="3210">
        <f>'比较法-住宅、综合'!H19</f>
        <v>97</v>
      </c>
      <c r="J25" s="3208" t="str">
        <f>'比较法-住宅、综合'!I20</f>
        <v>一般</v>
      </c>
      <c r="K25" s="3210">
        <v>100</v>
      </c>
      <c r="N25" s="3562"/>
      <c r="O25" s="3224" t="str">
        <f>'比较法-住宅、综合'!B25</f>
        <v>区域土地利用方向</v>
      </c>
      <c r="P25" s="3225" t="s">
        <v>3232</v>
      </c>
      <c r="Q25" s="3225" t="s">
        <v>3232</v>
      </c>
      <c r="R25" s="3225" t="s">
        <v>3233</v>
      </c>
      <c r="S25" s="3225" t="s">
        <v>3232</v>
      </c>
    </row>
    <row r="26" spans="2:19" ht="102" customHeight="1" thickBot="1">
      <c r="B26" s="3575"/>
      <c r="C26" s="3206" t="str">
        <f>'比较法-住宅、综合'!B23</f>
        <v>交通便捷度</v>
      </c>
      <c r="D26" s="3206" t="str">
        <f>'比较法-住宅、综合'!C24</f>
        <v>一般</v>
      </c>
      <c r="E26" s="3206">
        <v>100</v>
      </c>
      <c r="F26" s="3208" t="str">
        <f>'比较法-住宅、综合'!G24</f>
        <v>一般</v>
      </c>
      <c r="G26" s="3206">
        <v>100</v>
      </c>
      <c r="H26" s="3208" t="str">
        <f>'比较法-住宅、综合'!G24</f>
        <v>一般</v>
      </c>
      <c r="I26" s="3206">
        <v>100</v>
      </c>
      <c r="J26" s="3208" t="str">
        <f>'比较法-住宅、综合'!I24</f>
        <v>一般</v>
      </c>
      <c r="K26" s="3206">
        <v>100</v>
      </c>
      <c r="N26" s="3562"/>
      <c r="O26" s="3224" t="str">
        <f>'比较法-住宅、综合'!B27</f>
        <v>自然及人文环境状况</v>
      </c>
      <c r="P26" s="3225" t="s">
        <v>3221</v>
      </c>
      <c r="Q26" s="3225" t="s">
        <v>3234</v>
      </c>
      <c r="R26" s="3225" t="s">
        <v>3246</v>
      </c>
      <c r="S26" s="3225" t="s">
        <v>3234</v>
      </c>
    </row>
    <row r="27" spans="2:19" ht="81.75" customHeight="1" thickBot="1">
      <c r="B27" s="3575"/>
      <c r="C27" s="3206" t="str">
        <f>'比较法-住宅、综合'!B25</f>
        <v>区域土地利用方向</v>
      </c>
      <c r="D27" s="3206" t="str">
        <f>'比较法-住宅、综合'!C26</f>
        <v>较好</v>
      </c>
      <c r="E27" s="3206">
        <v>100</v>
      </c>
      <c r="F27" s="3208" t="str">
        <f>'比较法-住宅、综合'!G26</f>
        <v>较好</v>
      </c>
      <c r="G27" s="3206">
        <v>100</v>
      </c>
      <c r="H27" s="3208" t="str">
        <f>'比较法-住宅、综合'!G26</f>
        <v>较好</v>
      </c>
      <c r="I27" s="3206">
        <v>100</v>
      </c>
      <c r="J27" s="3208" t="str">
        <f>'比较法-住宅、综合'!I26</f>
        <v>较好</v>
      </c>
      <c r="K27" s="3206">
        <v>100</v>
      </c>
      <c r="N27" s="3562"/>
      <c r="O27" s="3224" t="str">
        <f>'比较法-住宅、综合'!B29</f>
        <v>公共配套设施</v>
      </c>
      <c r="P27" s="3225" t="s">
        <v>3222</v>
      </c>
      <c r="Q27" s="3225" t="s">
        <v>3235</v>
      </c>
      <c r="R27" s="3225" t="s">
        <v>3247</v>
      </c>
      <c r="S27" s="3225" t="s">
        <v>3222</v>
      </c>
    </row>
    <row r="28" spans="2:19" ht="115.5" thickBot="1">
      <c r="B28" s="3575"/>
      <c r="C28" s="3206" t="str">
        <f>'比较法-住宅、综合'!B27</f>
        <v>自然及人文环境状况</v>
      </c>
      <c r="D28" s="3206" t="str">
        <f>'比较法-住宅、综合'!C28</f>
        <v>好</v>
      </c>
      <c r="E28" s="3206">
        <v>100</v>
      </c>
      <c r="F28" s="3210" t="str">
        <f>'比较法-住宅、综合'!G28</f>
        <v>好</v>
      </c>
      <c r="G28" s="3206">
        <v>100</v>
      </c>
      <c r="H28" s="3210" t="str">
        <f>'比较法-住宅、综合'!G28</f>
        <v>好</v>
      </c>
      <c r="I28" s="3206">
        <v>100</v>
      </c>
      <c r="J28" s="3210" t="str">
        <f>'比较法-住宅、综合'!I28</f>
        <v>好</v>
      </c>
      <c r="K28" s="3206">
        <v>100</v>
      </c>
      <c r="N28" s="3562"/>
      <c r="O28" s="3224" t="str">
        <f>'比较法-住宅、综合'!B31</f>
        <v>基础设施水平</v>
      </c>
      <c r="P28" s="3225" t="s">
        <v>3223</v>
      </c>
      <c r="Q28" s="3225" t="s">
        <v>3223</v>
      </c>
      <c r="R28" s="3225" t="s">
        <v>3223</v>
      </c>
      <c r="S28" s="3225" t="s">
        <v>3223</v>
      </c>
    </row>
    <row r="29" spans="2:19" ht="27.75" thickBot="1">
      <c r="B29" s="3575"/>
      <c r="C29" s="3206" t="str">
        <f>'比较法-住宅、综合'!B29</f>
        <v>公共配套设施</v>
      </c>
      <c r="D29" s="3206" t="str">
        <f>'比较法-住宅、综合'!C30</f>
        <v>一般</v>
      </c>
      <c r="E29" s="3206">
        <v>100</v>
      </c>
      <c r="F29" s="3210" t="str">
        <f>'比较法-住宅、综合'!G30</f>
        <v>较差</v>
      </c>
      <c r="G29" s="3210">
        <f>'比较法-住宅、综合'!F29</f>
        <v>98</v>
      </c>
      <c r="H29" s="3210" t="str">
        <f>'比较法-住宅、综合'!G30</f>
        <v>较差</v>
      </c>
      <c r="I29" s="3210">
        <f>'比较法-住宅、综合'!H29</f>
        <v>98</v>
      </c>
      <c r="J29" s="3210" t="str">
        <f>'比较法-住宅、综合'!I30</f>
        <v>一般</v>
      </c>
      <c r="K29" s="3210">
        <v>100</v>
      </c>
      <c r="N29" s="3562"/>
      <c r="O29" s="3228" t="str">
        <f>'比较法-住宅、综合'!B33</f>
        <v>临街状况</v>
      </c>
      <c r="P29" s="3229" t="s">
        <v>3224</v>
      </c>
      <c r="Q29" s="3229" t="s">
        <v>3225</v>
      </c>
      <c r="R29" s="3229" t="s">
        <v>3225</v>
      </c>
      <c r="S29" s="3229" t="s">
        <v>3225</v>
      </c>
    </row>
    <row r="30" spans="2:19" ht="27.75" thickBot="1">
      <c r="B30" s="3575"/>
      <c r="C30" s="3206" t="str">
        <f>'比较法-住宅、综合'!B31</f>
        <v>基础设施水平</v>
      </c>
      <c r="D30" s="3206" t="str">
        <f>'比较法-住宅、综合'!C32</f>
        <v>六通</v>
      </c>
      <c r="E30" s="3206">
        <v>100</v>
      </c>
      <c r="F30" s="3206" t="str">
        <f>'比较法-住宅、综合'!E32</f>
        <v>六通</v>
      </c>
      <c r="G30" s="3206">
        <v>100</v>
      </c>
      <c r="H30" s="3206" t="str">
        <f>'比较法-住宅、综合'!G32</f>
        <v>六通</v>
      </c>
      <c r="I30" s="3206">
        <v>100</v>
      </c>
      <c r="J30" s="3206" t="str">
        <f>'比较法-住宅、综合'!I32</f>
        <v>六通</v>
      </c>
      <c r="K30" s="3206">
        <v>100</v>
      </c>
      <c r="N30" s="3562" t="s">
        <v>3158</v>
      </c>
      <c r="O30" s="3224" t="str">
        <f>'比较法-住宅、综合'!B40</f>
        <v>宗地面积</v>
      </c>
      <c r="P30" s="3227">
        <f>D32</f>
        <v>15168.4</v>
      </c>
      <c r="Q30" s="3227">
        <f>F32</f>
        <v>97852.2</v>
      </c>
      <c r="R30" s="3227">
        <f>H32</f>
        <v>54138.7</v>
      </c>
      <c r="S30" s="3227">
        <f>J32</f>
        <v>42255.3</v>
      </c>
    </row>
    <row r="31" spans="2:19" ht="14.25" thickBot="1">
      <c r="B31" s="3575"/>
      <c r="C31" s="3206" t="str">
        <f>'比较法-住宅、综合'!B33</f>
        <v>临街状况</v>
      </c>
      <c r="D31" s="3206" t="str">
        <f>'比较法-住宅、综合'!C33</f>
        <v>多面临街</v>
      </c>
      <c r="E31" s="3206">
        <v>100</v>
      </c>
      <c r="F31" s="3210" t="str">
        <f>'比较法-住宅、综合'!G33</f>
        <v>双面临街</v>
      </c>
      <c r="G31" s="3210">
        <f>'比较法-住宅、综合'!F33</f>
        <v>98</v>
      </c>
      <c r="H31" s="3210" t="str">
        <f>'比较法-住宅、综合'!G33</f>
        <v>双面临街</v>
      </c>
      <c r="I31" s="3210">
        <f>'比较法-住宅、综合'!H33</f>
        <v>98</v>
      </c>
      <c r="J31" s="3210" t="str">
        <f>'比较法-住宅、综合'!I33</f>
        <v>双面临街</v>
      </c>
      <c r="K31" s="3210">
        <f>'比较法-住宅、综合'!J33</f>
        <v>98</v>
      </c>
      <c r="N31" s="3562"/>
      <c r="O31" s="3224" t="str">
        <f>'比较法-住宅、综合'!B41</f>
        <v>宗地形状</v>
      </c>
      <c r="P31" s="3225" t="s">
        <v>3146</v>
      </c>
      <c r="Q31" s="3225" t="s">
        <v>3016</v>
      </c>
      <c r="R31" s="3225" t="s">
        <v>3016</v>
      </c>
      <c r="S31" s="3225" t="s">
        <v>3016</v>
      </c>
    </row>
    <row r="32" spans="2:19" ht="14.25" thickBot="1">
      <c r="B32" s="3576" t="s">
        <v>3158</v>
      </c>
      <c r="C32" s="3206" t="str">
        <f>'比较法-住宅、综合'!B40</f>
        <v>宗地面积</v>
      </c>
      <c r="D32" s="3206">
        <f>'比较法-住宅、综合'!C40</f>
        <v>15168.4</v>
      </c>
      <c r="E32" s="3206">
        <v>100</v>
      </c>
      <c r="F32" s="3210">
        <f>'比较法-住宅、综合'!E40</f>
        <v>97852.2</v>
      </c>
      <c r="G32" s="3210">
        <f>'比较法-住宅、综合'!F40</f>
        <v>103</v>
      </c>
      <c r="H32" s="3210">
        <f>'比较法-住宅、综合'!G40</f>
        <v>54138.7</v>
      </c>
      <c r="I32" s="3210">
        <f>'比较法-住宅、综合'!H40</f>
        <v>101</v>
      </c>
      <c r="J32" s="3210">
        <f>'比较法-住宅、综合'!I40</f>
        <v>42255.3</v>
      </c>
      <c r="K32" s="3210">
        <f>'比较法-住宅、综合'!J40</f>
        <v>101</v>
      </c>
      <c r="N32" s="3562"/>
      <c r="O32" s="3224" t="str">
        <f>'比较法-住宅、综合'!B43</f>
        <v>宗地开发程度</v>
      </c>
      <c r="P32" s="3225" t="s">
        <v>3226</v>
      </c>
      <c r="Q32" s="3225" t="s">
        <v>3226</v>
      </c>
      <c r="R32" s="3225" t="s">
        <v>3226</v>
      </c>
      <c r="S32" s="3225" t="s">
        <v>3226</v>
      </c>
    </row>
    <row r="33" spans="2:20" ht="14.25" thickBot="1">
      <c r="B33" s="3577"/>
      <c r="C33" s="3206" t="str">
        <f>'比较法-住宅、综合'!B40</f>
        <v>宗地面积</v>
      </c>
      <c r="D33" s="3208" t="str">
        <f>'比较法-住宅、综合'!C41</f>
        <v>不规则</v>
      </c>
      <c r="E33" s="3206">
        <v>100</v>
      </c>
      <c r="F33" s="3208" t="str">
        <f>'比较法-住宅、综合'!G41</f>
        <v>较规则</v>
      </c>
      <c r="G33" s="3210">
        <f>'比较法-住宅、综合'!F41</f>
        <v>104</v>
      </c>
      <c r="H33" s="3208" t="str">
        <f>'比较法-住宅、综合'!G41</f>
        <v>较规则</v>
      </c>
      <c r="I33" s="3210">
        <f>'比较法-住宅、综合'!H41</f>
        <v>104</v>
      </c>
      <c r="J33" s="3208" t="str">
        <f>'比较法-住宅、综合'!I41</f>
        <v>较规则</v>
      </c>
      <c r="K33" s="3210">
        <f>'比较法-住宅、综合'!J41</f>
        <v>104</v>
      </c>
      <c r="N33" s="3562"/>
      <c r="O33" s="3224" t="str">
        <f>'比较法-住宅、综合'!B44</f>
        <v>工程地质条件</v>
      </c>
      <c r="P33" s="3225" t="s">
        <v>3226</v>
      </c>
      <c r="Q33" s="3225" t="s">
        <v>3226</v>
      </c>
      <c r="R33" s="3225" t="s">
        <v>3226</v>
      </c>
      <c r="S33" s="3225" t="s">
        <v>3226</v>
      </c>
    </row>
    <row r="34" spans="2:20" ht="27.75" thickBot="1">
      <c r="B34" s="3577"/>
      <c r="C34" s="3206" t="str">
        <f>'比较法-住宅、综合'!B43</f>
        <v>宗地开发程度</v>
      </c>
      <c r="D34" s="3209" t="str">
        <f>'比较法-住宅、综合'!C43</f>
        <v>六通</v>
      </c>
      <c r="E34" s="3206">
        <v>100</v>
      </c>
      <c r="F34" s="3209" t="str">
        <f>'比较法-住宅、综合'!E43</f>
        <v>六通</v>
      </c>
      <c r="G34" s="3206">
        <v>100</v>
      </c>
      <c r="H34" s="3209" t="str">
        <f>'比较法-住宅、综合'!G43</f>
        <v>六通</v>
      </c>
      <c r="I34" s="3206">
        <v>100</v>
      </c>
      <c r="J34" s="3209" t="str">
        <f>'比较法-住宅、综合'!I43</f>
        <v>六通</v>
      </c>
      <c r="K34" s="3206">
        <v>100</v>
      </c>
      <c r="N34" s="3562"/>
      <c r="O34" s="3224" t="str">
        <f>'比较法-住宅、综合'!B45</f>
        <v>临海情况</v>
      </c>
      <c r="P34" s="3225" t="s">
        <v>3227</v>
      </c>
      <c r="Q34" s="3225" t="s">
        <v>3228</v>
      </c>
      <c r="R34" s="3225" t="s">
        <v>3228</v>
      </c>
      <c r="S34" s="3225" t="s">
        <v>3228</v>
      </c>
    </row>
    <row r="35" spans="2:20" ht="27.75" thickBot="1">
      <c r="B35" s="3577"/>
      <c r="C35" s="3206" t="str">
        <f>'比较法-住宅、综合'!B44</f>
        <v>工程地质条件</v>
      </c>
      <c r="D35" s="3208" t="str">
        <f>'比较法-住宅、综合'!C44</f>
        <v>较好</v>
      </c>
      <c r="E35" s="3206">
        <v>100</v>
      </c>
      <c r="F35" s="3208" t="str">
        <f>'比较法-住宅、综合'!G44</f>
        <v>较差</v>
      </c>
      <c r="G35" s="3210">
        <f>'比较法-住宅、综合'!F44</f>
        <v>94</v>
      </c>
      <c r="H35" s="3208" t="str">
        <f>'比较法-住宅、综合'!G44</f>
        <v>较差</v>
      </c>
      <c r="I35" s="3210">
        <f>'比较法-住宅、综合'!H44</f>
        <v>94</v>
      </c>
      <c r="J35" s="3208" t="str">
        <f>'比较法-住宅、综合'!I44</f>
        <v>较差</v>
      </c>
      <c r="K35" s="3210">
        <f>'比较法-住宅、综合'!J44</f>
        <v>94</v>
      </c>
      <c r="N35" s="3562"/>
      <c r="O35" s="3228" t="str">
        <f>'比较法-住宅、综合'!B13</f>
        <v>容积率</v>
      </c>
      <c r="P35" s="3227">
        <v>4.0599999999999996</v>
      </c>
      <c r="Q35" s="3227">
        <v>2.5</v>
      </c>
      <c r="R35" s="3227">
        <v>3.5</v>
      </c>
      <c r="S35" s="3227">
        <v>3</v>
      </c>
    </row>
    <row r="36" spans="2:20" ht="14.25" thickBot="1">
      <c r="B36" s="3578"/>
      <c r="C36" s="3206" t="str">
        <f>'比较法-住宅、综合'!B45</f>
        <v>临海情况</v>
      </c>
      <c r="D36" s="3206" t="str">
        <f>'比较法-住宅、综合'!C45</f>
        <v>一线临海</v>
      </c>
      <c r="E36" s="3206">
        <v>100</v>
      </c>
      <c r="F36" s="3210" t="str">
        <f>'比较法-住宅、综合'!E45</f>
        <v>临近</v>
      </c>
      <c r="G36" s="3210">
        <f>'比较法-住宅、综合'!F45</f>
        <v>95</v>
      </c>
      <c r="H36" s="3210" t="str">
        <f>'比较法-住宅、综合'!G45</f>
        <v>临近</v>
      </c>
      <c r="I36" s="3210">
        <f>'比较法-住宅、综合'!H45</f>
        <v>95</v>
      </c>
      <c r="J36" s="3210" t="str">
        <f>'比较法-住宅、综合'!I45</f>
        <v>临近</v>
      </c>
      <c r="K36" s="3210">
        <f>'比较法-住宅、综合'!J45</f>
        <v>95</v>
      </c>
    </row>
    <row r="41" spans="2:20" ht="39" thickBot="1">
      <c r="N41" s="3231" t="s">
        <v>3157</v>
      </c>
      <c r="O41" s="3558" t="s">
        <v>3252</v>
      </c>
      <c r="P41" s="3558"/>
      <c r="Q41" s="3558"/>
      <c r="R41" s="3558"/>
      <c r="S41" s="3558"/>
      <c r="T41" s="3231" t="s">
        <v>3253</v>
      </c>
    </row>
    <row r="42" spans="2:20" ht="14.25" thickBot="1">
      <c r="B42" s="3598" t="s">
        <v>3150</v>
      </c>
      <c r="C42" s="3599"/>
      <c r="D42" s="3570" t="s">
        <v>3164</v>
      </c>
      <c r="E42" s="3571"/>
      <c r="F42" s="3570" t="s">
        <v>3165</v>
      </c>
      <c r="G42" s="3571"/>
      <c r="H42" s="3570" t="s">
        <v>3166</v>
      </c>
      <c r="I42" s="3571"/>
      <c r="N42" s="3232" t="str">
        <f t="shared" ref="N42:N49" si="0">O22</f>
        <v>居住社区成熟度</v>
      </c>
      <c r="O42" s="3232" t="s">
        <v>3254</v>
      </c>
      <c r="P42" s="3232" t="s">
        <v>3255</v>
      </c>
      <c r="Q42" s="3232" t="s">
        <v>3256</v>
      </c>
      <c r="R42" s="3232" t="s">
        <v>3257</v>
      </c>
      <c r="S42" s="3232" t="s">
        <v>3258</v>
      </c>
      <c r="T42" s="3233">
        <v>0.03</v>
      </c>
    </row>
    <row r="43" spans="2:20" ht="14.25" thickBot="1">
      <c r="B43" s="3572" t="str">
        <f>B19</f>
        <v>交易时间</v>
      </c>
      <c r="C43" s="3573"/>
      <c r="D43" s="3242" t="s">
        <v>3167</v>
      </c>
      <c r="E43" s="3243">
        <f>G19</f>
        <v>82</v>
      </c>
      <c r="F43" s="3242" t="s">
        <v>3167</v>
      </c>
      <c r="G43" s="3243">
        <f>I19</f>
        <v>82</v>
      </c>
      <c r="H43" s="3242" t="s">
        <v>3167</v>
      </c>
      <c r="I43" s="3243">
        <f>K19</f>
        <v>94</v>
      </c>
      <c r="N43" s="3232" t="str">
        <f t="shared" si="0"/>
        <v>商业繁华度</v>
      </c>
      <c r="O43" s="3232" t="s">
        <v>3254</v>
      </c>
      <c r="P43" s="3232" t="s">
        <v>3255</v>
      </c>
      <c r="Q43" s="3232" t="s">
        <v>3256</v>
      </c>
      <c r="R43" s="3232" t="s">
        <v>3257</v>
      </c>
      <c r="S43" s="3232" t="s">
        <v>3258</v>
      </c>
      <c r="T43" s="3233">
        <v>0.03</v>
      </c>
    </row>
    <row r="44" spans="2:20" ht="14.25" thickBot="1">
      <c r="B44" s="3572" t="str">
        <f t="shared" ref="B44:B47" si="1">B20</f>
        <v>交易情况</v>
      </c>
      <c r="C44" s="3573"/>
      <c r="D44" s="3242" t="s">
        <v>3167</v>
      </c>
      <c r="E44" s="3243">
        <f t="shared" ref="E44:E60" si="2">G20</f>
        <v>100</v>
      </c>
      <c r="F44" s="3242" t="s">
        <v>3167</v>
      </c>
      <c r="G44" s="3243">
        <f t="shared" ref="G44:G60" si="3">I20</f>
        <v>100</v>
      </c>
      <c r="H44" s="3242" t="s">
        <v>3167</v>
      </c>
      <c r="I44" s="3243">
        <f t="shared" ref="I44:I60" si="4">K20</f>
        <v>100</v>
      </c>
      <c r="N44" s="3232" t="str">
        <f t="shared" si="0"/>
        <v>交通便捷度</v>
      </c>
      <c r="O44" s="3232" t="s">
        <v>3254</v>
      </c>
      <c r="P44" s="3232" t="s">
        <v>3255</v>
      </c>
      <c r="Q44" s="3232" t="s">
        <v>3256</v>
      </c>
      <c r="R44" s="3232" t="s">
        <v>3257</v>
      </c>
      <c r="S44" s="3232" t="s">
        <v>3258</v>
      </c>
      <c r="T44" s="3233">
        <v>0.03</v>
      </c>
    </row>
    <row r="45" spans="2:20" ht="14.25" thickBot="1">
      <c r="B45" s="3572" t="str">
        <f t="shared" si="1"/>
        <v>用途</v>
      </c>
      <c r="C45" s="3573"/>
      <c r="D45" s="3242" t="s">
        <v>3167</v>
      </c>
      <c r="E45" s="3243">
        <f t="shared" si="2"/>
        <v>100</v>
      </c>
      <c r="F45" s="3242" t="s">
        <v>3167</v>
      </c>
      <c r="G45" s="3243">
        <f t="shared" si="3"/>
        <v>100</v>
      </c>
      <c r="H45" s="3242" t="s">
        <v>3167</v>
      </c>
      <c r="I45" s="3243">
        <f t="shared" si="4"/>
        <v>100</v>
      </c>
      <c r="N45" s="3232" t="str">
        <f t="shared" si="0"/>
        <v>区域土地利用方向</v>
      </c>
      <c r="O45" s="3232" t="s">
        <v>3259</v>
      </c>
      <c r="P45" s="3232" t="s">
        <v>3260</v>
      </c>
      <c r="Q45" s="3232" t="s">
        <v>3261</v>
      </c>
      <c r="R45" s="3232" t="s">
        <v>3262</v>
      </c>
      <c r="S45" s="3232" t="s">
        <v>3263</v>
      </c>
      <c r="T45" s="3233">
        <v>0.03</v>
      </c>
    </row>
    <row r="46" spans="2:20" ht="26.25" thickBot="1">
      <c r="B46" s="3572" t="str">
        <f t="shared" si="1"/>
        <v>土地使用年限（年）</v>
      </c>
      <c r="C46" s="3573"/>
      <c r="D46" s="3242" t="s">
        <v>3167</v>
      </c>
      <c r="E46" s="3243">
        <f t="shared" si="2"/>
        <v>106</v>
      </c>
      <c r="F46" s="3242" t="s">
        <v>3167</v>
      </c>
      <c r="G46" s="3243">
        <f t="shared" si="3"/>
        <v>106</v>
      </c>
      <c r="H46" s="3242" t="s">
        <v>3167</v>
      </c>
      <c r="I46" s="3243">
        <f t="shared" si="4"/>
        <v>106</v>
      </c>
      <c r="N46" s="3232" t="str">
        <f t="shared" si="0"/>
        <v>自然及人文环境状况</v>
      </c>
      <c r="O46" s="3232" t="s">
        <v>3254</v>
      </c>
      <c r="P46" s="3232" t="s">
        <v>3255</v>
      </c>
      <c r="Q46" s="3232" t="s">
        <v>3256</v>
      </c>
      <c r="R46" s="3232" t="s">
        <v>3257</v>
      </c>
      <c r="S46" s="3232" t="s">
        <v>3258</v>
      </c>
      <c r="T46" s="3233">
        <v>0.03</v>
      </c>
    </row>
    <row r="47" spans="2:20" ht="14.25" thickBot="1">
      <c r="B47" s="3590" t="str">
        <f t="shared" si="1"/>
        <v>容积率</v>
      </c>
      <c r="C47" s="3573"/>
      <c r="D47" s="3242" t="s">
        <v>3167</v>
      </c>
      <c r="E47" s="3243">
        <f t="shared" si="2"/>
        <v>105</v>
      </c>
      <c r="F47" s="3242" t="s">
        <v>3167</v>
      </c>
      <c r="G47" s="3243">
        <f t="shared" si="3"/>
        <v>105</v>
      </c>
      <c r="H47" s="3242" t="s">
        <v>3167</v>
      </c>
      <c r="I47" s="3243">
        <f t="shared" si="4"/>
        <v>105</v>
      </c>
      <c r="N47" s="3232" t="str">
        <f t="shared" si="0"/>
        <v>公共配套设施</v>
      </c>
      <c r="O47" s="3232" t="s">
        <v>3254</v>
      </c>
      <c r="P47" s="3232" t="s">
        <v>3255</v>
      </c>
      <c r="Q47" s="3232" t="s">
        <v>3256</v>
      </c>
      <c r="R47" s="3232" t="s">
        <v>3257</v>
      </c>
      <c r="S47" s="3232" t="s">
        <v>3258</v>
      </c>
      <c r="T47" s="3233">
        <v>0.02</v>
      </c>
    </row>
    <row r="48" spans="2:20" ht="14.25" thickBot="1">
      <c r="B48" s="3591" t="s">
        <v>3157</v>
      </c>
      <c r="C48" s="3244" t="str">
        <f>C24</f>
        <v>居住社区成熟度</v>
      </c>
      <c r="D48" s="3242" t="s">
        <v>3167</v>
      </c>
      <c r="E48" s="3243">
        <f t="shared" si="2"/>
        <v>97</v>
      </c>
      <c r="F48" s="3242" t="s">
        <v>3167</v>
      </c>
      <c r="G48" s="3243">
        <f t="shared" si="3"/>
        <v>97</v>
      </c>
      <c r="H48" s="3242" t="s">
        <v>3167</v>
      </c>
      <c r="I48" s="3243">
        <f t="shared" si="4"/>
        <v>100</v>
      </c>
      <c r="N48" s="3234" t="str">
        <f t="shared" si="0"/>
        <v>基础设施水平</v>
      </c>
      <c r="O48" s="3235" t="s">
        <v>3264</v>
      </c>
      <c r="P48" s="3235" t="s">
        <v>3226</v>
      </c>
      <c r="Q48" s="3234" t="s">
        <v>3265</v>
      </c>
      <c r="R48" s="3234" t="s">
        <v>3266</v>
      </c>
      <c r="S48" s="3234" t="s">
        <v>3267</v>
      </c>
      <c r="T48" s="3236">
        <v>0.02</v>
      </c>
    </row>
    <row r="49" spans="2:20" ht="14.25" thickBot="1">
      <c r="B49" s="3592"/>
      <c r="C49" s="3244" t="str">
        <f t="shared" ref="C49:C60" si="5">C25</f>
        <v>商业繁华度</v>
      </c>
      <c r="D49" s="3242" t="s">
        <v>3167</v>
      </c>
      <c r="E49" s="3243">
        <f t="shared" si="2"/>
        <v>97</v>
      </c>
      <c r="F49" s="3242" t="s">
        <v>3167</v>
      </c>
      <c r="G49" s="3243">
        <f t="shared" si="3"/>
        <v>97</v>
      </c>
      <c r="H49" s="3242" t="s">
        <v>3167</v>
      </c>
      <c r="I49" s="3243">
        <f t="shared" si="4"/>
        <v>100</v>
      </c>
      <c r="N49" s="3234" t="str">
        <f t="shared" si="0"/>
        <v>临街状况</v>
      </c>
      <c r="O49" s="3234" t="s">
        <v>3268</v>
      </c>
      <c r="P49" s="3234" t="s">
        <v>3269</v>
      </c>
      <c r="Q49" s="3234" t="s">
        <v>3270</v>
      </c>
      <c r="R49" s="3557" t="s">
        <v>3271</v>
      </c>
      <c r="S49" s="3557"/>
      <c r="T49" s="3236">
        <v>0.02</v>
      </c>
    </row>
    <row r="50" spans="2:20" ht="14.25" thickBot="1">
      <c r="B50" s="3592"/>
      <c r="C50" s="3244" t="str">
        <f t="shared" si="5"/>
        <v>交通便捷度</v>
      </c>
      <c r="D50" s="3242" t="s">
        <v>3167</v>
      </c>
      <c r="E50" s="3243">
        <f t="shared" si="2"/>
        <v>100</v>
      </c>
      <c r="F50" s="3242" t="s">
        <v>3167</v>
      </c>
      <c r="G50" s="3243">
        <f t="shared" si="3"/>
        <v>100</v>
      </c>
      <c r="H50" s="3242" t="s">
        <v>3167</v>
      </c>
      <c r="I50" s="3243">
        <f t="shared" si="4"/>
        <v>100</v>
      </c>
    </row>
    <row r="51" spans="2:20" ht="39" thickBot="1">
      <c r="B51" s="3592"/>
      <c r="C51" s="3244" t="str">
        <f t="shared" si="5"/>
        <v>区域土地利用方向</v>
      </c>
      <c r="D51" s="3242" t="s">
        <v>3167</v>
      </c>
      <c r="E51" s="3243">
        <f t="shared" si="2"/>
        <v>100</v>
      </c>
      <c r="F51" s="3242" t="s">
        <v>3167</v>
      </c>
      <c r="G51" s="3243">
        <f t="shared" si="3"/>
        <v>100</v>
      </c>
      <c r="H51" s="3242" t="s">
        <v>3167</v>
      </c>
      <c r="I51" s="3243">
        <f t="shared" si="4"/>
        <v>100</v>
      </c>
      <c r="N51" s="3231" t="s">
        <v>3157</v>
      </c>
      <c r="O51" s="3558" t="s">
        <v>3252</v>
      </c>
      <c r="P51" s="3558"/>
      <c r="Q51" s="3558"/>
      <c r="R51" s="3558"/>
      <c r="S51" s="3558"/>
      <c r="T51" s="3231" t="s">
        <v>3253</v>
      </c>
    </row>
    <row r="52" spans="2:20" ht="39" thickBot="1">
      <c r="B52" s="3592"/>
      <c r="C52" s="3244" t="str">
        <f t="shared" si="5"/>
        <v>自然及人文环境状况</v>
      </c>
      <c r="D52" s="3242" t="s">
        <v>3167</v>
      </c>
      <c r="E52" s="3243">
        <f t="shared" si="2"/>
        <v>100</v>
      </c>
      <c r="F52" s="3242" t="s">
        <v>3167</v>
      </c>
      <c r="G52" s="3243">
        <f t="shared" si="3"/>
        <v>100</v>
      </c>
      <c r="H52" s="3242" t="s">
        <v>3167</v>
      </c>
      <c r="I52" s="3243">
        <f t="shared" si="4"/>
        <v>100</v>
      </c>
      <c r="N52" s="3232" t="str">
        <f t="shared" ref="N52:N57" si="6">O30</f>
        <v>宗地面积</v>
      </c>
      <c r="O52" s="3232" t="s">
        <v>3272</v>
      </c>
      <c r="P52" s="3232" t="s">
        <v>3273</v>
      </c>
      <c r="Q52" s="3232" t="s">
        <v>3274</v>
      </c>
      <c r="R52" s="3232" t="s">
        <v>3275</v>
      </c>
      <c r="S52" s="3232" t="s">
        <v>3276</v>
      </c>
      <c r="T52" s="3233">
        <v>0.01</v>
      </c>
    </row>
    <row r="53" spans="2:20" ht="14.25" thickBot="1">
      <c r="B53" s="3592"/>
      <c r="C53" s="3244" t="str">
        <f t="shared" si="5"/>
        <v>公共配套设施</v>
      </c>
      <c r="D53" s="3242" t="s">
        <v>3167</v>
      </c>
      <c r="E53" s="3243">
        <f t="shared" si="2"/>
        <v>98</v>
      </c>
      <c r="F53" s="3242" t="s">
        <v>3167</v>
      </c>
      <c r="G53" s="3243">
        <f t="shared" si="3"/>
        <v>98</v>
      </c>
      <c r="H53" s="3242" t="s">
        <v>3167</v>
      </c>
      <c r="I53" s="3243">
        <f t="shared" si="4"/>
        <v>100</v>
      </c>
      <c r="N53" s="3232" t="str">
        <f t="shared" si="6"/>
        <v>宗地形状</v>
      </c>
      <c r="O53" s="3232" t="s">
        <v>3277</v>
      </c>
      <c r="P53" s="3232" t="s">
        <v>3278</v>
      </c>
      <c r="Q53" s="3232" t="s">
        <v>3279</v>
      </c>
      <c r="R53" s="3232" t="s">
        <v>3280</v>
      </c>
      <c r="S53" s="3232" t="s">
        <v>3281</v>
      </c>
      <c r="T53" s="3233">
        <v>0.02</v>
      </c>
    </row>
    <row r="54" spans="2:20" ht="14.25" thickBot="1">
      <c r="B54" s="3592"/>
      <c r="C54" s="3244" t="str">
        <f t="shared" si="5"/>
        <v>基础设施水平</v>
      </c>
      <c r="D54" s="3242" t="s">
        <v>3167</v>
      </c>
      <c r="E54" s="3243">
        <f t="shared" si="2"/>
        <v>100</v>
      </c>
      <c r="F54" s="3242" t="s">
        <v>3167</v>
      </c>
      <c r="G54" s="3243">
        <f t="shared" si="3"/>
        <v>100</v>
      </c>
      <c r="H54" s="3242" t="s">
        <v>3167</v>
      </c>
      <c r="I54" s="3243">
        <f t="shared" si="4"/>
        <v>100</v>
      </c>
      <c r="N54" s="3232" t="str">
        <f t="shared" si="6"/>
        <v>宗地开发程度</v>
      </c>
      <c r="O54" s="3235" t="s">
        <v>3264</v>
      </c>
      <c r="P54" s="3235" t="s">
        <v>3226</v>
      </c>
      <c r="Q54" s="3234" t="s">
        <v>3265</v>
      </c>
      <c r="R54" s="3234" t="s">
        <v>3266</v>
      </c>
      <c r="S54" s="3234" t="s">
        <v>3267</v>
      </c>
      <c r="T54" s="3233">
        <v>0.02</v>
      </c>
    </row>
    <row r="55" spans="2:20" ht="14.25" thickBot="1">
      <c r="B55" s="3593"/>
      <c r="C55" s="3244" t="str">
        <f t="shared" si="5"/>
        <v>临街状况</v>
      </c>
      <c r="D55" s="3242" t="s">
        <v>3167</v>
      </c>
      <c r="E55" s="3243">
        <f t="shared" si="2"/>
        <v>98</v>
      </c>
      <c r="F55" s="3242" t="s">
        <v>3167</v>
      </c>
      <c r="G55" s="3243">
        <f t="shared" si="3"/>
        <v>98</v>
      </c>
      <c r="H55" s="3242" t="s">
        <v>3167</v>
      </c>
      <c r="I55" s="3243">
        <f t="shared" si="4"/>
        <v>98</v>
      </c>
      <c r="N55" s="3232" t="str">
        <f t="shared" si="6"/>
        <v>工程地质条件</v>
      </c>
      <c r="O55" s="3232" t="s">
        <v>3254</v>
      </c>
      <c r="P55" s="3232" t="s">
        <v>3255</v>
      </c>
      <c r="Q55" s="3232" t="s">
        <v>3256</v>
      </c>
      <c r="R55" s="3232" t="s">
        <v>3257</v>
      </c>
      <c r="S55" s="3232" t="s">
        <v>3258</v>
      </c>
      <c r="T55" s="3233">
        <v>0.03</v>
      </c>
    </row>
    <row r="56" spans="2:20" ht="14.25" thickBot="1">
      <c r="B56" s="3600" t="s">
        <v>3158</v>
      </c>
      <c r="C56" s="3244" t="str">
        <f t="shared" si="5"/>
        <v>宗地面积</v>
      </c>
      <c r="D56" s="3242" t="s">
        <v>3167</v>
      </c>
      <c r="E56" s="3243">
        <f t="shared" si="2"/>
        <v>103</v>
      </c>
      <c r="F56" s="3242" t="s">
        <v>3167</v>
      </c>
      <c r="G56" s="3243">
        <f t="shared" si="3"/>
        <v>101</v>
      </c>
      <c r="H56" s="3242" t="s">
        <v>3167</v>
      </c>
      <c r="I56" s="3243">
        <f t="shared" si="4"/>
        <v>101</v>
      </c>
      <c r="N56" s="3232" t="str">
        <f t="shared" si="6"/>
        <v>临海情况</v>
      </c>
      <c r="O56" s="3232" t="s">
        <v>3282</v>
      </c>
      <c r="P56" s="3559" t="s">
        <v>3283</v>
      </c>
      <c r="Q56" s="3560"/>
      <c r="R56" s="3559" t="s">
        <v>3284</v>
      </c>
      <c r="S56" s="3560"/>
      <c r="T56" s="3233">
        <v>0.05</v>
      </c>
    </row>
    <row r="57" spans="2:20" ht="14.25" thickBot="1">
      <c r="B57" s="3600"/>
      <c r="C57" s="3244" t="str">
        <f t="shared" si="5"/>
        <v>宗地面积</v>
      </c>
      <c r="D57" s="3242" t="s">
        <v>3167</v>
      </c>
      <c r="E57" s="3243">
        <f t="shared" si="2"/>
        <v>104</v>
      </c>
      <c r="F57" s="3242" t="s">
        <v>3167</v>
      </c>
      <c r="G57" s="3243">
        <f t="shared" si="3"/>
        <v>104</v>
      </c>
      <c r="H57" s="3242" t="s">
        <v>3167</v>
      </c>
      <c r="I57" s="3243">
        <f t="shared" si="4"/>
        <v>104</v>
      </c>
      <c r="N57" s="3232" t="str">
        <f t="shared" si="6"/>
        <v>容积率</v>
      </c>
      <c r="O57" s="3232" t="s">
        <v>3288</v>
      </c>
      <c r="P57" s="3232" t="s">
        <v>3285</v>
      </c>
      <c r="Q57" s="3232" t="s">
        <v>3286</v>
      </c>
      <c r="R57" s="3232" t="s">
        <v>3287</v>
      </c>
      <c r="S57" s="3232" t="s">
        <v>3289</v>
      </c>
      <c r="T57" s="3233">
        <v>0.05</v>
      </c>
    </row>
    <row r="58" spans="2:20" ht="14.25" thickBot="1">
      <c r="B58" s="3600"/>
      <c r="C58" s="3244" t="str">
        <f t="shared" si="5"/>
        <v>宗地开发程度</v>
      </c>
      <c r="D58" s="3242" t="s">
        <v>3167</v>
      </c>
      <c r="E58" s="3243">
        <f t="shared" si="2"/>
        <v>100</v>
      </c>
      <c r="F58" s="3242" t="s">
        <v>3167</v>
      </c>
      <c r="G58" s="3243">
        <f t="shared" si="3"/>
        <v>100</v>
      </c>
      <c r="H58" s="3242" t="s">
        <v>3167</v>
      </c>
      <c r="I58" s="3243">
        <f t="shared" si="4"/>
        <v>100</v>
      </c>
      <c r="N58" s="3234"/>
      <c r="O58" s="3235"/>
      <c r="P58" s="3235"/>
      <c r="Q58" s="3234"/>
      <c r="R58" s="3234"/>
      <c r="S58" s="3234"/>
      <c r="T58" s="3236"/>
    </row>
    <row r="59" spans="2:20" ht="14.25" thickBot="1">
      <c r="B59" s="3600"/>
      <c r="C59" s="3244" t="str">
        <f t="shared" si="5"/>
        <v>工程地质条件</v>
      </c>
      <c r="D59" s="3242" t="s">
        <v>3167</v>
      </c>
      <c r="E59" s="3243">
        <f t="shared" si="2"/>
        <v>94</v>
      </c>
      <c r="F59" s="3242" t="s">
        <v>3167</v>
      </c>
      <c r="G59" s="3243">
        <f t="shared" si="3"/>
        <v>94</v>
      </c>
      <c r="H59" s="3242" t="s">
        <v>3167</v>
      </c>
      <c r="I59" s="3243">
        <f t="shared" si="4"/>
        <v>94</v>
      </c>
      <c r="N59" s="3234"/>
      <c r="O59" s="3234"/>
      <c r="P59" s="3234"/>
      <c r="Q59" s="3234"/>
      <c r="R59" s="3557"/>
      <c r="S59" s="3557"/>
      <c r="T59" s="3236"/>
    </row>
    <row r="60" spans="2:20" ht="14.25" thickBot="1">
      <c r="B60" s="3600"/>
      <c r="C60" s="3244" t="str">
        <f t="shared" si="5"/>
        <v>临海情况</v>
      </c>
      <c r="D60" s="3242" t="s">
        <v>3167</v>
      </c>
      <c r="E60" s="3243">
        <f t="shared" si="2"/>
        <v>95</v>
      </c>
      <c r="F60" s="3242" t="s">
        <v>3167</v>
      </c>
      <c r="G60" s="3243">
        <f t="shared" si="3"/>
        <v>95</v>
      </c>
      <c r="H60" s="3242" t="s">
        <v>3167</v>
      </c>
      <c r="I60" s="3243">
        <f t="shared" si="4"/>
        <v>95</v>
      </c>
    </row>
    <row r="61" spans="2:20" ht="26.25" customHeight="1" thickBot="1">
      <c r="B61" s="3594" t="s">
        <v>3168</v>
      </c>
      <c r="C61" s="3595"/>
      <c r="D61" s="3596">
        <f>'比较法-住宅、综合'!E48</f>
        <v>7824</v>
      </c>
      <c r="E61" s="3597"/>
      <c r="F61" s="3596">
        <f>'比较法-住宅、综合'!G48</f>
        <v>8048</v>
      </c>
      <c r="G61" s="3597"/>
      <c r="H61" s="3596">
        <f>'比较法-住宅、综合'!I48</f>
        <v>11052</v>
      </c>
      <c r="I61" s="3597"/>
    </row>
    <row r="62" spans="2:20" ht="26.25" customHeight="1" thickBot="1">
      <c r="B62" s="3594" t="s">
        <v>3169</v>
      </c>
      <c r="C62" s="3595"/>
      <c r="D62" s="3596">
        <f>'比较法-住宅、综合'!E49</f>
        <v>9917</v>
      </c>
      <c r="E62" s="3597"/>
      <c r="F62" s="3596">
        <f>'比较法-住宅、综合'!G49</f>
        <v>10403</v>
      </c>
      <c r="G62" s="3597"/>
      <c r="H62" s="3596">
        <f>'比较法-住宅、综合'!I49</f>
        <v>11492</v>
      </c>
      <c r="I62" s="3597"/>
    </row>
    <row r="63" spans="2:20" ht="14.25" thickBot="1"/>
    <row r="64" spans="2:20">
      <c r="N64" s="3549" t="s">
        <v>3150</v>
      </c>
      <c r="O64" s="3550"/>
      <c r="P64" s="3553" t="s">
        <v>3290</v>
      </c>
      <c r="Q64" s="3553" t="s">
        <v>3211</v>
      </c>
      <c r="R64" s="3553" t="s">
        <v>3212</v>
      </c>
      <c r="S64" s="3553" t="s">
        <v>3213</v>
      </c>
      <c r="T64" s="3237"/>
    </row>
    <row r="65" spans="2:20" ht="14.25" thickBot="1">
      <c r="N65" s="3551"/>
      <c r="O65" s="3552"/>
      <c r="P65" s="3554"/>
      <c r="Q65" s="3554"/>
      <c r="R65" s="3554"/>
      <c r="S65" s="3554"/>
      <c r="T65" s="3237"/>
    </row>
    <row r="66" spans="2:20" ht="16.5" thickBot="1">
      <c r="N66" s="3555" t="s">
        <v>3214</v>
      </c>
      <c r="O66" s="3556"/>
      <c r="P66" s="3238">
        <v>100</v>
      </c>
      <c r="Q66" s="3239">
        <f>E43</f>
        <v>82</v>
      </c>
      <c r="R66" s="3239">
        <f>G43</f>
        <v>82</v>
      </c>
      <c r="S66" s="3239">
        <f>I43</f>
        <v>94</v>
      </c>
      <c r="T66" s="3230"/>
    </row>
    <row r="67" spans="2:20" ht="16.5" thickBot="1">
      <c r="N67" s="3555" t="s">
        <v>3215</v>
      </c>
      <c r="O67" s="3556"/>
      <c r="P67" s="3238">
        <v>100</v>
      </c>
      <c r="Q67" s="3239">
        <f>E44</f>
        <v>100</v>
      </c>
      <c r="R67" s="3239">
        <v>100</v>
      </c>
      <c r="S67" s="3239">
        <v>100</v>
      </c>
      <c r="T67" s="3230"/>
    </row>
    <row r="68" spans="2:20" ht="16.5" thickBot="1">
      <c r="B68" s="3607" t="s">
        <v>3150</v>
      </c>
      <c r="C68" s="3608"/>
      <c r="D68" s="3603" t="s">
        <v>3151</v>
      </c>
      <c r="E68" s="3604"/>
      <c r="F68" s="3603" t="s">
        <v>3170</v>
      </c>
      <c r="G68" s="3604"/>
      <c r="H68" s="3603" t="s">
        <v>3171</v>
      </c>
      <c r="I68" s="3604"/>
      <c r="J68" s="3603" t="s">
        <v>3172</v>
      </c>
      <c r="K68" s="3604"/>
      <c r="N68" s="3555" t="s">
        <v>3216</v>
      </c>
      <c r="O68" s="3556"/>
      <c r="P68" s="3238">
        <v>100</v>
      </c>
      <c r="Q68" s="3239">
        <v>100</v>
      </c>
      <c r="R68" s="3239">
        <v>100</v>
      </c>
      <c r="S68" s="3239">
        <v>100</v>
      </c>
      <c r="T68" s="3230"/>
    </row>
    <row r="69" spans="2:20" ht="16.5" thickBot="1">
      <c r="B69" s="3609"/>
      <c r="C69" s="3610"/>
      <c r="D69" s="3211" t="s">
        <v>3159</v>
      </c>
      <c r="E69" s="3605" t="s">
        <v>3173</v>
      </c>
      <c r="F69" s="3211" t="s">
        <v>3175</v>
      </c>
      <c r="G69" s="3605" t="s">
        <v>3173</v>
      </c>
      <c r="H69" s="3211" t="s">
        <v>3178</v>
      </c>
      <c r="I69" s="3605" t="s">
        <v>3173</v>
      </c>
      <c r="J69" s="3211" t="s">
        <v>3181</v>
      </c>
      <c r="K69" s="3605" t="s">
        <v>3173</v>
      </c>
      <c r="N69" s="3555" t="s">
        <v>3217</v>
      </c>
      <c r="O69" s="3556"/>
      <c r="P69" s="3238">
        <v>100</v>
      </c>
      <c r="Q69" s="3239">
        <f>E46</f>
        <v>106</v>
      </c>
      <c r="R69" s="3239">
        <f>G46</f>
        <v>106</v>
      </c>
      <c r="S69" s="3239">
        <f>I46</f>
        <v>106</v>
      </c>
      <c r="T69" s="3230"/>
    </row>
    <row r="70" spans="2:20" ht="26.25" thickBot="1">
      <c r="B70" s="3611"/>
      <c r="C70" s="3612"/>
      <c r="D70" s="3211" t="s">
        <v>3160</v>
      </c>
      <c r="E70" s="3606"/>
      <c r="F70" s="3211" t="s">
        <v>3177</v>
      </c>
      <c r="G70" s="3606"/>
      <c r="H70" s="3211" t="s">
        <v>3180</v>
      </c>
      <c r="I70" s="3606"/>
      <c r="J70" s="3211" t="s">
        <v>3180</v>
      </c>
      <c r="K70" s="3606"/>
      <c r="N70" s="3544" t="s">
        <v>3157</v>
      </c>
      <c r="O70" s="3240" t="str">
        <f t="shared" ref="O70:O83" si="7">O22</f>
        <v>居住社区成熟度</v>
      </c>
      <c r="P70" s="3241">
        <v>100</v>
      </c>
      <c r="Q70" s="3239">
        <f>E48</f>
        <v>97</v>
      </c>
      <c r="R70" s="3239">
        <f>G48</f>
        <v>97</v>
      </c>
      <c r="S70" s="3239">
        <f>I48</f>
        <v>100</v>
      </c>
      <c r="T70" s="3230"/>
    </row>
    <row r="71" spans="2:20" ht="26.25" thickBot="1">
      <c r="B71" s="3601" t="str">
        <f>'不动产比较法-住宅'!B7</f>
        <v>交易时间</v>
      </c>
      <c r="C71" s="3602"/>
      <c r="D71" s="3217">
        <v>43221</v>
      </c>
      <c r="E71" s="3216">
        <v>100</v>
      </c>
      <c r="F71" s="3217">
        <v>43221</v>
      </c>
      <c r="G71" s="3216">
        <v>100</v>
      </c>
      <c r="H71" s="3217">
        <v>43221</v>
      </c>
      <c r="I71" s="3216">
        <v>100</v>
      </c>
      <c r="J71" s="3217">
        <v>43221</v>
      </c>
      <c r="K71" s="3216">
        <v>100</v>
      </c>
      <c r="N71" s="3545"/>
      <c r="O71" s="3240" t="str">
        <f t="shared" si="7"/>
        <v>商业繁华度</v>
      </c>
      <c r="P71" s="3241">
        <v>100</v>
      </c>
      <c r="Q71" s="3239">
        <f>E49</f>
        <v>97</v>
      </c>
      <c r="R71" s="3239">
        <f>G49</f>
        <v>97</v>
      </c>
      <c r="S71" s="3239">
        <f>I49</f>
        <v>100</v>
      </c>
      <c r="T71" s="3230"/>
    </row>
    <row r="72" spans="2:20" ht="26.25" thickBot="1">
      <c r="B72" s="3601" t="str">
        <f>'不动产比较法-住宅'!B8</f>
        <v>交易情况</v>
      </c>
      <c r="C72" s="3602"/>
      <c r="D72" s="3213" t="s">
        <v>3007</v>
      </c>
      <c r="E72" s="3216">
        <v>100</v>
      </c>
      <c r="F72" s="3213" t="s">
        <v>3007</v>
      </c>
      <c r="G72" s="3212">
        <v>100</v>
      </c>
      <c r="H72" s="3213" t="s">
        <v>3007</v>
      </c>
      <c r="I72" s="3212">
        <v>100</v>
      </c>
      <c r="J72" s="3213" t="s">
        <v>3007</v>
      </c>
      <c r="K72" s="3212">
        <v>100</v>
      </c>
      <c r="N72" s="3545"/>
      <c r="O72" s="3240" t="str">
        <f t="shared" si="7"/>
        <v>交通便捷度</v>
      </c>
      <c r="P72" s="3241">
        <v>100</v>
      </c>
      <c r="Q72" s="3239">
        <v>100</v>
      </c>
      <c r="R72" s="3239">
        <v>100</v>
      </c>
      <c r="S72" s="3239">
        <v>100</v>
      </c>
      <c r="T72" s="3230"/>
    </row>
    <row r="73" spans="2:20" ht="26.25" thickBot="1">
      <c r="B73" s="3601" t="str">
        <f>'不动产比较法-住宅'!B9</f>
        <v>用途</v>
      </c>
      <c r="C73" s="3602"/>
      <c r="D73" s="3213" t="str">
        <f>'不动产比较法-住宅'!C9</f>
        <v>住宅</v>
      </c>
      <c r="E73" s="3216">
        <v>100</v>
      </c>
      <c r="F73" s="3213" t="str">
        <f>'不动产比较法-住宅'!E9</f>
        <v>住宅</v>
      </c>
      <c r="G73" s="3212">
        <v>100</v>
      </c>
      <c r="H73" s="3213" t="str">
        <f>'不动产比较法-住宅'!G9</f>
        <v>住宅</v>
      </c>
      <c r="I73" s="3212">
        <v>100</v>
      </c>
      <c r="J73" s="3213" t="str">
        <f>'不动产比较法-住宅'!I9</f>
        <v>住宅</v>
      </c>
      <c r="K73" s="3214">
        <v>100</v>
      </c>
      <c r="N73" s="3545"/>
      <c r="O73" s="3240" t="str">
        <f t="shared" si="7"/>
        <v>区域土地利用方向</v>
      </c>
      <c r="P73" s="3241">
        <v>100</v>
      </c>
      <c r="Q73" s="3239">
        <v>100</v>
      </c>
      <c r="R73" s="3239">
        <v>100</v>
      </c>
      <c r="S73" s="3239">
        <v>100</v>
      </c>
      <c r="T73" s="3230"/>
    </row>
    <row r="74" spans="2:20" ht="39" thickBot="1">
      <c r="B74" s="3601" t="str">
        <f>'不动产比较法-住宅'!B10</f>
        <v>土地使用年限（年）</v>
      </c>
      <c r="C74" s="3602"/>
      <c r="D74" s="3219" t="str">
        <f>'不动产比较法-住宅'!C10</f>
        <v>50-60（含）</v>
      </c>
      <c r="E74" s="3216">
        <v>100</v>
      </c>
      <c r="F74" s="3219" t="str">
        <f>'不动产比较法-住宅'!E10</f>
        <v>60-70（含）</v>
      </c>
      <c r="G74" s="3212">
        <f>'不动产比较法-住宅'!F10</f>
        <v>102</v>
      </c>
      <c r="H74" s="3219" t="str">
        <f>'不动产比较法-住宅'!G10</f>
        <v>60-70（含）</v>
      </c>
      <c r="I74" s="3212">
        <f>'不动产比较法-住宅'!H10</f>
        <v>102</v>
      </c>
      <c r="J74" s="3219" t="str">
        <f>'不动产比较法-住宅'!I10</f>
        <v>60-70（含）</v>
      </c>
      <c r="K74" s="3212">
        <f>'不动产比较法-住宅'!J10</f>
        <v>102</v>
      </c>
      <c r="N74" s="3545"/>
      <c r="O74" s="3240" t="str">
        <f t="shared" si="7"/>
        <v>自然及人文环境状况</v>
      </c>
      <c r="P74" s="3241">
        <v>100</v>
      </c>
      <c r="Q74" s="3239">
        <v>100</v>
      </c>
      <c r="R74" s="3239">
        <v>100</v>
      </c>
      <c r="S74" s="3239">
        <v>100</v>
      </c>
      <c r="T74" s="3230"/>
    </row>
    <row r="75" spans="2:20" ht="14.25" customHeight="1" thickBot="1">
      <c r="B75" s="3601" t="str">
        <f>'不动产比较法-住宅'!B11</f>
        <v>容积率</v>
      </c>
      <c r="C75" s="3602"/>
      <c r="D75" s="3213">
        <f>'不动产比较法-住宅'!C11</f>
        <v>4.0599999999999996</v>
      </c>
      <c r="E75" s="3216">
        <v>100</v>
      </c>
      <c r="F75" s="3213">
        <f>'不动产比较法-住宅'!E11</f>
        <v>4.5</v>
      </c>
      <c r="G75" s="3212">
        <f>'不动产比较法-住宅'!F11</f>
        <v>100</v>
      </c>
      <c r="H75" s="3213">
        <f>'不动产比较法-住宅'!G11</f>
        <v>3.5</v>
      </c>
      <c r="I75" s="3212">
        <f>'不动产比较法-住宅'!H11</f>
        <v>103</v>
      </c>
      <c r="J75" s="3213">
        <f>'不动产比较法-住宅'!I11</f>
        <v>2.5</v>
      </c>
      <c r="K75" s="3214">
        <f>'不动产比较法-住宅'!J11</f>
        <v>103</v>
      </c>
      <c r="N75" s="3545"/>
      <c r="O75" s="3240" t="str">
        <f t="shared" si="7"/>
        <v>公共配套设施</v>
      </c>
      <c r="P75" s="3241">
        <v>100</v>
      </c>
      <c r="Q75" s="3239">
        <v>98</v>
      </c>
      <c r="R75" s="3239">
        <v>98</v>
      </c>
      <c r="S75" s="3239">
        <v>100</v>
      </c>
      <c r="T75" s="3230"/>
    </row>
    <row r="76" spans="2:20" ht="26.25" thickBot="1">
      <c r="B76" s="3621" t="s">
        <v>3157</v>
      </c>
      <c r="C76" s="3215" t="str">
        <f>'不动产比较法-住宅'!B15</f>
        <v>居住社区成熟度</v>
      </c>
      <c r="D76" s="3213" t="str">
        <f>'不动产比较法-住宅'!C16</f>
        <v>较好</v>
      </c>
      <c r="E76" s="3216">
        <v>100</v>
      </c>
      <c r="F76" s="3213" t="str">
        <f>'不动产比较法-住宅'!E16</f>
        <v>一般</v>
      </c>
      <c r="G76" s="3212">
        <f>'不动产比较法-住宅'!F15</f>
        <v>97</v>
      </c>
      <c r="H76" s="3213" t="str">
        <f>'不动产比较法-住宅'!G16</f>
        <v>一般</v>
      </c>
      <c r="I76" s="3212">
        <f>'不动产比较法-住宅'!H15</f>
        <v>97</v>
      </c>
      <c r="J76" s="3213" t="str">
        <f>'不动产比较法-住宅'!I16</f>
        <v>一般</v>
      </c>
      <c r="K76" s="3212">
        <f>'不动产比较法-住宅'!J15</f>
        <v>97</v>
      </c>
      <c r="N76" s="3545"/>
      <c r="O76" s="3240" t="str">
        <f t="shared" si="7"/>
        <v>基础设施水平</v>
      </c>
      <c r="P76" s="3238">
        <v>100</v>
      </c>
      <c r="Q76" s="3239">
        <v>100</v>
      </c>
      <c r="R76" s="3239">
        <v>100</v>
      </c>
      <c r="S76" s="3239">
        <v>100</v>
      </c>
      <c r="T76" s="3230"/>
    </row>
    <row r="77" spans="2:20" ht="16.5" thickBot="1">
      <c r="B77" s="3622"/>
      <c r="C77" s="3215" t="str">
        <f>'不动产比较法-住宅'!B17</f>
        <v>交通便捷度</v>
      </c>
      <c r="D77" s="3213" t="str">
        <f>'不动产比较法-住宅'!C18</f>
        <v>一般</v>
      </c>
      <c r="E77" s="3216">
        <v>100</v>
      </c>
      <c r="F77" s="3220" t="str">
        <f>'不动产比较法-住宅'!E18</f>
        <v>一般</v>
      </c>
      <c r="G77" s="3212">
        <v>100</v>
      </c>
      <c r="H77" s="3220" t="str">
        <f>'不动产比较法-住宅'!G18</f>
        <v>一般</v>
      </c>
      <c r="I77" s="3212">
        <v>100</v>
      </c>
      <c r="J77" s="3220" t="str">
        <f>'不动产比较法-住宅'!I18</f>
        <v>一般</v>
      </c>
      <c r="K77" s="3214">
        <v>100</v>
      </c>
      <c r="N77" s="3546"/>
      <c r="O77" s="3240" t="str">
        <f t="shared" si="7"/>
        <v>临街状况</v>
      </c>
      <c r="P77" s="3238">
        <v>100</v>
      </c>
      <c r="Q77" s="3239">
        <v>98</v>
      </c>
      <c r="R77" s="3239">
        <v>98</v>
      </c>
      <c r="S77" s="3239">
        <v>98</v>
      </c>
      <c r="T77" s="3230"/>
    </row>
    <row r="78" spans="2:20" ht="16.5" thickBot="1">
      <c r="B78" s="3622"/>
      <c r="C78" s="3215" t="str">
        <f>'不动产比较法-住宅'!B19</f>
        <v>公共配套设施</v>
      </c>
      <c r="D78" s="3213" t="str">
        <f>'不动产比较法-住宅'!C20</f>
        <v>一般</v>
      </c>
      <c r="E78" s="3216">
        <v>100</v>
      </c>
      <c r="F78" s="3213" t="str">
        <f>'不动产比较法-住宅'!E20</f>
        <v>较差</v>
      </c>
      <c r="G78" s="3212">
        <f>'不动产比较法-住宅'!F19</f>
        <v>98</v>
      </c>
      <c r="H78" s="3213" t="str">
        <f>'不动产比较法-住宅'!G20</f>
        <v>较差</v>
      </c>
      <c r="I78" s="3212">
        <f>'不动产比较法-住宅'!H19</f>
        <v>98</v>
      </c>
      <c r="J78" s="3220">
        <f>'不动产比较法-住宅'!I19</f>
        <v>0</v>
      </c>
      <c r="K78" s="3214">
        <v>100</v>
      </c>
      <c r="N78" s="3547" t="s">
        <v>3158</v>
      </c>
      <c r="O78" s="3240" t="str">
        <f t="shared" si="7"/>
        <v>宗地面积</v>
      </c>
      <c r="P78" s="3238">
        <v>100</v>
      </c>
      <c r="Q78" s="3239">
        <v>103</v>
      </c>
      <c r="R78" s="3239">
        <v>101</v>
      </c>
      <c r="S78" s="3239">
        <v>101</v>
      </c>
      <c r="T78" s="3230"/>
    </row>
    <row r="79" spans="2:20" ht="16.5" thickBot="1">
      <c r="B79" s="3622"/>
      <c r="C79" s="3215" t="str">
        <f>'不动产比较法-住宅'!B21</f>
        <v>基础设施水平</v>
      </c>
      <c r="D79" s="3213" t="str">
        <f>'不动产比较法-住宅'!C22</f>
        <v>六通</v>
      </c>
      <c r="E79" s="3216">
        <v>100</v>
      </c>
      <c r="F79" s="3213" t="str">
        <f>'不动产比较法-住宅'!E22</f>
        <v>六通</v>
      </c>
      <c r="G79" s="3212">
        <v>100</v>
      </c>
      <c r="H79" s="3213" t="str">
        <f>'不动产比较法-住宅'!G22</f>
        <v>六通</v>
      </c>
      <c r="I79" s="3212">
        <v>100</v>
      </c>
      <c r="J79" s="3213" t="str">
        <f>'不动产比较法-住宅'!I22</f>
        <v>六通</v>
      </c>
      <c r="K79" s="3214">
        <v>100</v>
      </c>
      <c r="N79" s="3547"/>
      <c r="O79" s="3240" t="str">
        <f t="shared" si="7"/>
        <v>宗地形状</v>
      </c>
      <c r="P79" s="3238">
        <v>100</v>
      </c>
      <c r="Q79" s="3239">
        <v>104</v>
      </c>
      <c r="R79" s="3239">
        <v>104</v>
      </c>
      <c r="S79" s="3239">
        <v>104</v>
      </c>
      <c r="T79" s="3230"/>
    </row>
    <row r="80" spans="2:20" ht="26.25" thickBot="1">
      <c r="B80" s="3622"/>
      <c r="C80" s="3215" t="str">
        <f>'不动产比较法-住宅'!B23</f>
        <v>自然及人文环境</v>
      </c>
      <c r="D80" s="3213" t="str">
        <f>'不动产比较法-住宅'!C24</f>
        <v>好</v>
      </c>
      <c r="E80" s="3216">
        <v>100</v>
      </c>
      <c r="F80" s="3220" t="str">
        <f>'不动产比较法-住宅'!E24</f>
        <v>好</v>
      </c>
      <c r="G80" s="3212">
        <v>100</v>
      </c>
      <c r="H80" s="3220" t="str">
        <f>'不动产比较法-住宅'!G24</f>
        <v>好</v>
      </c>
      <c r="I80" s="3212">
        <v>100</v>
      </c>
      <c r="J80" s="3220" t="str">
        <f>'不动产比较法-住宅'!I24</f>
        <v>好</v>
      </c>
      <c r="K80" s="3214">
        <v>100</v>
      </c>
      <c r="N80" s="3547"/>
      <c r="O80" s="3240" t="str">
        <f t="shared" si="7"/>
        <v>宗地开发程度</v>
      </c>
      <c r="P80" s="3238">
        <v>100</v>
      </c>
      <c r="Q80" s="3239">
        <v>100</v>
      </c>
      <c r="R80" s="3239">
        <v>100</v>
      </c>
      <c r="S80" s="3239">
        <v>100</v>
      </c>
      <c r="T80" s="3230"/>
    </row>
    <row r="81" spans="2:20" ht="26.25" thickBot="1">
      <c r="B81" s="3623" t="s">
        <v>3158</v>
      </c>
      <c r="C81" s="3215" t="str">
        <f>'不动产比较法-住宅'!B32</f>
        <v>建筑类型</v>
      </c>
      <c r="D81" s="3213" t="str">
        <f>'不动产比较法-住宅'!C32</f>
        <v>普通住宅</v>
      </c>
      <c r="E81" s="3216">
        <v>100</v>
      </c>
      <c r="F81" s="3213" t="str">
        <f>'不动产比较法-住宅'!E32</f>
        <v>普通住宅</v>
      </c>
      <c r="G81" s="3212">
        <v>100</v>
      </c>
      <c r="H81" s="3213" t="str">
        <f>'不动产比较法-住宅'!G32</f>
        <v>普通住宅</v>
      </c>
      <c r="I81" s="3212">
        <v>100</v>
      </c>
      <c r="J81" s="3213" t="str">
        <f>'不动产比较法-住宅'!I32</f>
        <v>普通住宅</v>
      </c>
      <c r="K81" s="3214">
        <v>100</v>
      </c>
      <c r="N81" s="3547"/>
      <c r="O81" s="3240" t="str">
        <f t="shared" si="7"/>
        <v>工程地质条件</v>
      </c>
      <c r="P81" s="3238">
        <v>100</v>
      </c>
      <c r="Q81" s="3239">
        <v>94</v>
      </c>
      <c r="R81" s="3239">
        <v>94</v>
      </c>
      <c r="S81" s="3239">
        <v>94</v>
      </c>
      <c r="T81" s="3230"/>
    </row>
    <row r="82" spans="2:20" ht="16.5" thickBot="1">
      <c r="B82" s="3624"/>
      <c r="C82" s="3215" t="str">
        <f>'不动产比较法-住宅'!B33</f>
        <v>项目建筑规模</v>
      </c>
      <c r="D82" s="3213">
        <f>'不动产比较法-住宅'!C33</f>
        <v>877761</v>
      </c>
      <c r="E82" s="3216">
        <v>100</v>
      </c>
      <c r="F82" s="3213">
        <f>'不动产比较法-住宅'!E33</f>
        <v>230552</v>
      </c>
      <c r="G82" s="3212">
        <f>'不动产比较法-住宅'!F33</f>
        <v>97</v>
      </c>
      <c r="H82" s="3213">
        <f>'不动产比较法-住宅'!G33</f>
        <v>203418</v>
      </c>
      <c r="I82" s="3212">
        <f>'不动产比较法-住宅'!H33</f>
        <v>97</v>
      </c>
      <c r="J82" s="3213">
        <f>'不动产比较法-住宅'!I33</f>
        <v>370000</v>
      </c>
      <c r="K82" s="3214">
        <v>98</v>
      </c>
      <c r="N82" s="3547"/>
      <c r="O82" s="3240" t="str">
        <f t="shared" si="7"/>
        <v>临海情况</v>
      </c>
      <c r="P82" s="3238">
        <v>100</v>
      </c>
      <c r="Q82" s="3239">
        <v>95</v>
      </c>
      <c r="R82" s="3239">
        <v>95</v>
      </c>
      <c r="S82" s="3239">
        <v>95</v>
      </c>
      <c r="T82" s="3230"/>
    </row>
    <row r="83" spans="2:20" ht="16.5" thickBot="1">
      <c r="B83" s="3624"/>
      <c r="C83" s="3215" t="str">
        <f>'不动产比较法-住宅'!B34</f>
        <v>建筑结构</v>
      </c>
      <c r="D83" s="3213" t="str">
        <f>'不动产比较法-住宅'!C34</f>
        <v>钢混</v>
      </c>
      <c r="E83" s="3216">
        <v>100</v>
      </c>
      <c r="F83" s="3213" t="str">
        <f>'不动产比较法-住宅'!E34</f>
        <v>钢混</v>
      </c>
      <c r="G83" s="3212">
        <v>100</v>
      </c>
      <c r="H83" s="3213" t="str">
        <f>'不动产比较法-住宅'!G34</f>
        <v>钢混</v>
      </c>
      <c r="I83" s="3212">
        <v>100</v>
      </c>
      <c r="J83" s="3213" t="str">
        <f>'不动产比较法-住宅'!I34</f>
        <v>钢混</v>
      </c>
      <c r="K83" s="3214">
        <v>100</v>
      </c>
      <c r="N83" s="3548"/>
      <c r="O83" s="3240" t="str">
        <f t="shared" si="7"/>
        <v>容积率</v>
      </c>
      <c r="P83" s="3238">
        <v>100</v>
      </c>
      <c r="Q83" s="3239">
        <v>105</v>
      </c>
      <c r="R83" s="3239">
        <v>105</v>
      </c>
      <c r="S83" s="3239">
        <v>105</v>
      </c>
      <c r="T83" s="3230"/>
    </row>
    <row r="84" spans="2:20" ht="14.25" thickBot="1">
      <c r="B84" s="3624"/>
      <c r="C84" s="3215" t="str">
        <f>'不动产比较法-住宅'!B35</f>
        <v>建筑品质</v>
      </c>
      <c r="D84" s="3220" t="str">
        <f>'不动产比较法-住宅'!C35</f>
        <v>高档</v>
      </c>
      <c r="E84" s="3216">
        <v>100</v>
      </c>
      <c r="F84" s="3220" t="str">
        <f>'不动产比较法-住宅'!E35</f>
        <v>中档</v>
      </c>
      <c r="G84" s="3212">
        <f>'不动产比较法-住宅'!F35</f>
        <v>95</v>
      </c>
      <c r="H84" s="3220" t="str">
        <f>'不动产比较法-住宅'!G35</f>
        <v>中档</v>
      </c>
      <c r="I84" s="3212">
        <f>'不动产比较法-住宅'!H35</f>
        <v>95</v>
      </c>
      <c r="J84" s="3220" t="str">
        <f>'不动产比较法-住宅'!I35</f>
        <v>中档</v>
      </c>
      <c r="K84" s="3212">
        <f>'不动产比较法-住宅'!J35</f>
        <v>95</v>
      </c>
    </row>
    <row r="85" spans="2:20" ht="14.25" thickBot="1">
      <c r="B85" s="3624"/>
      <c r="C85" s="3215" t="str">
        <f>'不动产比较法-住宅'!B36</f>
        <v>公共部分装修</v>
      </c>
      <c r="D85" s="3220" t="str">
        <f>'不动产比较法-住宅'!C36</f>
        <v>豪华装修</v>
      </c>
      <c r="E85" s="3216">
        <v>100</v>
      </c>
      <c r="F85" s="3220" t="str">
        <f>'不动产比较法-住宅'!E36</f>
        <v>精装修</v>
      </c>
      <c r="G85" s="3212">
        <f>'不动产比较法-住宅'!F36</f>
        <v>97</v>
      </c>
      <c r="H85" s="3220" t="str">
        <f>'不动产比较法-住宅'!G36</f>
        <v>精装修</v>
      </c>
      <c r="I85" s="3212">
        <f>'不动产比较法-住宅'!H36</f>
        <v>97</v>
      </c>
      <c r="J85" s="3220" t="str">
        <f>'不动产比较法-住宅'!I36</f>
        <v>精装修</v>
      </c>
      <c r="K85" s="3212">
        <f>'不动产比较法-住宅'!J36</f>
        <v>97</v>
      </c>
    </row>
    <row r="86" spans="2:20" ht="14.25" thickBot="1">
      <c r="B86" s="3624"/>
      <c r="C86" s="3215" t="str">
        <f>'不动产比较法-住宅'!B38</f>
        <v>物业管理</v>
      </c>
      <c r="D86" s="3220" t="str">
        <f>'不动产比较法-住宅'!C38</f>
        <v>专业</v>
      </c>
      <c r="E86" s="3216">
        <v>100</v>
      </c>
      <c r="F86" s="3220" t="str">
        <f>'不动产比较法-住宅'!E38</f>
        <v>专业</v>
      </c>
      <c r="G86" s="3216">
        <v>100</v>
      </c>
      <c r="H86" s="3220" t="str">
        <f>'不动产比较法-住宅'!G38</f>
        <v>专业</v>
      </c>
      <c r="I86" s="3216">
        <v>100</v>
      </c>
      <c r="J86" s="3220" t="str">
        <f>'不动产比较法-住宅'!I38</f>
        <v>专业</v>
      </c>
      <c r="K86" s="3216">
        <v>100</v>
      </c>
    </row>
    <row r="87" spans="2:20" ht="14.25" thickBot="1">
      <c r="B87" s="3624"/>
      <c r="C87" s="3215" t="str">
        <f>'不动产比较法-住宅'!B39</f>
        <v>市政基础设施</v>
      </c>
      <c r="D87" s="3220" t="str">
        <f>'不动产比较法-住宅'!C39</f>
        <v>六通</v>
      </c>
      <c r="E87" s="3216">
        <v>100</v>
      </c>
      <c r="F87" s="3220" t="str">
        <f>'不动产比较法-住宅'!E39</f>
        <v>六通</v>
      </c>
      <c r="G87" s="3216">
        <v>100</v>
      </c>
      <c r="H87" s="3220" t="str">
        <f>'不动产比较法-住宅'!G39</f>
        <v>六通</v>
      </c>
      <c r="I87" s="3216">
        <v>100</v>
      </c>
      <c r="J87" s="3220" t="str">
        <f>'不动产比较法-住宅'!I39</f>
        <v>六通</v>
      </c>
      <c r="K87" s="3216">
        <v>100</v>
      </c>
    </row>
    <row r="88" spans="2:20" ht="14.25" thickBot="1">
      <c r="B88" s="3624"/>
      <c r="C88" s="3218" t="s">
        <v>3174</v>
      </c>
      <c r="D88" s="3213" t="str">
        <f>'不动产比较法-住宅'!C41</f>
        <v>180-240</v>
      </c>
      <c r="E88" s="3216">
        <v>100</v>
      </c>
      <c r="F88" s="3213" t="str">
        <f>'不动产比较法-住宅'!E41</f>
        <v>140-180</v>
      </c>
      <c r="G88" s="3212">
        <f>'不动产比较法-住宅'!F41</f>
        <v>103</v>
      </c>
      <c r="H88" s="3213" t="str">
        <f>'不动产比较法-住宅'!G41</f>
        <v>140-180</v>
      </c>
      <c r="I88" s="3212">
        <f>'不动产比较法-住宅'!H41</f>
        <v>103</v>
      </c>
      <c r="J88" s="3213" t="str">
        <f>'不动产比较法-住宅'!I41</f>
        <v>120-140</v>
      </c>
      <c r="K88" s="3214">
        <f>'不动产比较法-住宅'!J41</f>
        <v>106</v>
      </c>
    </row>
    <row r="89" spans="2:20" ht="14.25" thickBot="1">
      <c r="B89" s="3624"/>
      <c r="C89" s="3218" t="str">
        <f>'不动产比较法-住宅'!B42</f>
        <v>内部装修</v>
      </c>
      <c r="D89" s="3220" t="str">
        <f>'不动产比较法-住宅'!C42</f>
        <v>毛坯</v>
      </c>
      <c r="E89" s="3216">
        <v>100</v>
      </c>
      <c r="F89" s="3220" t="str">
        <f>'不动产比较法-住宅'!E42</f>
        <v>毛坯</v>
      </c>
      <c r="G89" s="3216">
        <v>100</v>
      </c>
      <c r="H89" s="3220" t="str">
        <f>'不动产比较法-住宅'!G42</f>
        <v>毛坯</v>
      </c>
      <c r="I89" s="3216">
        <v>100</v>
      </c>
      <c r="J89" s="3220" t="str">
        <f>'不动产比较法-住宅'!I42</f>
        <v>毛坯</v>
      </c>
      <c r="K89" s="3216">
        <v>100</v>
      </c>
    </row>
    <row r="90" spans="2:20" ht="14.25" thickBot="1">
      <c r="B90" s="3625"/>
      <c r="C90" s="3218" t="str">
        <f>'不动产比较法-住宅'!B44</f>
        <v>临海情况</v>
      </c>
      <c r="D90" s="3213" t="str">
        <f>'不动产比较法-住宅'!C44</f>
        <v>一线临海</v>
      </c>
      <c r="E90" s="3216">
        <v>100</v>
      </c>
      <c r="F90" s="3213" t="str">
        <f>'不动产比较法-住宅'!E44</f>
        <v>一线临海</v>
      </c>
      <c r="G90" s="3216">
        <v>100</v>
      </c>
      <c r="H90" s="3213" t="str">
        <f>'不动产比较法-住宅'!G44</f>
        <v>临近</v>
      </c>
      <c r="I90" s="3212">
        <f>'不动产比较法-住宅'!H44</f>
        <v>95</v>
      </c>
      <c r="J90" s="3213" t="str">
        <f>'不动产比较法-住宅'!I44</f>
        <v>较远</v>
      </c>
      <c r="K90" s="3214">
        <f>'不动产比较法-住宅'!J44</f>
        <v>90</v>
      </c>
    </row>
    <row r="92" spans="2:20" ht="14.25" thickBot="1"/>
    <row r="93" spans="2:20" ht="14.25" thickBot="1">
      <c r="B93" s="3626" t="s">
        <v>3150</v>
      </c>
      <c r="C93" s="3627"/>
      <c r="D93" s="3630" t="s">
        <v>3182</v>
      </c>
      <c r="E93" s="3631"/>
      <c r="F93" s="3613" t="s">
        <v>3183</v>
      </c>
      <c r="G93" s="3631"/>
      <c r="H93" s="3613" t="s">
        <v>3184</v>
      </c>
      <c r="I93" s="3614"/>
    </row>
    <row r="94" spans="2:20" ht="14.25" thickBot="1">
      <c r="B94" s="3628"/>
      <c r="C94" s="3629"/>
      <c r="D94" s="3615" t="s">
        <v>3188</v>
      </c>
      <c r="E94" s="3616"/>
      <c r="F94" s="3617" t="s">
        <v>3189</v>
      </c>
      <c r="G94" s="3616"/>
      <c r="H94" s="3617" t="s">
        <v>3191</v>
      </c>
      <c r="I94" s="3618"/>
    </row>
    <row r="95" spans="2:20" ht="14.25" thickBot="1">
      <c r="B95" s="3619" t="str">
        <f>B71</f>
        <v>交易时间</v>
      </c>
      <c r="C95" s="3620"/>
      <c r="D95" s="3221" t="s">
        <v>3167</v>
      </c>
      <c r="E95" s="3222">
        <f>G71</f>
        <v>100</v>
      </c>
      <c r="F95" s="3221" t="s">
        <v>3167</v>
      </c>
      <c r="G95" s="3222">
        <f>I71</f>
        <v>100</v>
      </c>
      <c r="H95" s="3221" t="s">
        <v>3167</v>
      </c>
      <c r="I95" s="3222">
        <f>K71</f>
        <v>100</v>
      </c>
    </row>
    <row r="96" spans="2:20" ht="14.25" thickBot="1">
      <c r="B96" s="3619" t="str">
        <f t="shared" ref="B96:B99" si="8">B72</f>
        <v>交易情况</v>
      </c>
      <c r="C96" s="3620"/>
      <c r="D96" s="3221" t="s">
        <v>3167</v>
      </c>
      <c r="E96" s="3222">
        <f t="shared" ref="E96:E114" si="9">G72</f>
        <v>100</v>
      </c>
      <c r="F96" s="3221" t="s">
        <v>3167</v>
      </c>
      <c r="G96" s="3222">
        <f t="shared" ref="G96:G114" si="10">I72</f>
        <v>100</v>
      </c>
      <c r="H96" s="3221" t="s">
        <v>3167</v>
      </c>
      <c r="I96" s="3222">
        <f t="shared" ref="I96:I114" si="11">K72</f>
        <v>100</v>
      </c>
    </row>
    <row r="97" spans="2:9" ht="14.25" thickBot="1">
      <c r="B97" s="3619" t="str">
        <f t="shared" si="8"/>
        <v>用途</v>
      </c>
      <c r="C97" s="3620"/>
      <c r="D97" s="3221" t="s">
        <v>3167</v>
      </c>
      <c r="E97" s="3222">
        <f t="shared" si="9"/>
        <v>100</v>
      </c>
      <c r="F97" s="3221" t="s">
        <v>3167</v>
      </c>
      <c r="G97" s="3222">
        <f t="shared" si="10"/>
        <v>100</v>
      </c>
      <c r="H97" s="3221" t="s">
        <v>3167</v>
      </c>
      <c r="I97" s="3222">
        <f t="shared" si="11"/>
        <v>100</v>
      </c>
    </row>
    <row r="98" spans="2:9" ht="14.25" thickBot="1">
      <c r="B98" s="3619" t="str">
        <f t="shared" si="8"/>
        <v>土地使用年限（年）</v>
      </c>
      <c r="C98" s="3620"/>
      <c r="D98" s="3221" t="s">
        <v>3167</v>
      </c>
      <c r="E98" s="3222">
        <f t="shared" si="9"/>
        <v>102</v>
      </c>
      <c r="F98" s="3221" t="s">
        <v>3167</v>
      </c>
      <c r="G98" s="3222">
        <f t="shared" si="10"/>
        <v>102</v>
      </c>
      <c r="H98" s="3221" t="s">
        <v>3167</v>
      </c>
      <c r="I98" s="3222">
        <f t="shared" si="11"/>
        <v>102</v>
      </c>
    </row>
    <row r="99" spans="2:9" ht="14.25" customHeight="1" thickBot="1">
      <c r="B99" s="3619" t="str">
        <f t="shared" si="8"/>
        <v>容积率</v>
      </c>
      <c r="C99" s="3620"/>
      <c r="D99" s="3221" t="s">
        <v>3167</v>
      </c>
      <c r="E99" s="3222">
        <f t="shared" si="9"/>
        <v>100</v>
      </c>
      <c r="F99" s="3221" t="s">
        <v>3167</v>
      </c>
      <c r="G99" s="3222">
        <f t="shared" si="10"/>
        <v>103</v>
      </c>
      <c r="H99" s="3221" t="s">
        <v>3167</v>
      </c>
      <c r="I99" s="3222">
        <f t="shared" si="11"/>
        <v>103</v>
      </c>
    </row>
    <row r="100" spans="2:9" ht="14.25" thickBot="1">
      <c r="B100" s="3638" t="s">
        <v>3157</v>
      </c>
      <c r="C100" s="3223" t="str">
        <f>C76</f>
        <v>居住社区成熟度</v>
      </c>
      <c r="D100" s="3221" t="s">
        <v>3167</v>
      </c>
      <c r="E100" s="3222">
        <f t="shared" si="9"/>
        <v>97</v>
      </c>
      <c r="F100" s="3221" t="s">
        <v>3167</v>
      </c>
      <c r="G100" s="3222">
        <f t="shared" si="10"/>
        <v>97</v>
      </c>
      <c r="H100" s="3221" t="s">
        <v>3167</v>
      </c>
      <c r="I100" s="3222">
        <f t="shared" si="11"/>
        <v>97</v>
      </c>
    </row>
    <row r="101" spans="2:9" ht="14.25" thickBot="1">
      <c r="B101" s="3636"/>
      <c r="C101" s="3223" t="str">
        <f t="shared" ref="C101:C114" si="12">C77</f>
        <v>交通便捷度</v>
      </c>
      <c r="D101" s="3221" t="s">
        <v>3167</v>
      </c>
      <c r="E101" s="3222">
        <f t="shared" si="9"/>
        <v>100</v>
      </c>
      <c r="F101" s="3221" t="s">
        <v>3167</v>
      </c>
      <c r="G101" s="3222">
        <f t="shared" si="10"/>
        <v>100</v>
      </c>
      <c r="H101" s="3221" t="s">
        <v>3167</v>
      </c>
      <c r="I101" s="3222">
        <f t="shared" si="11"/>
        <v>100</v>
      </c>
    </row>
    <row r="102" spans="2:9" ht="14.25" thickBot="1">
      <c r="B102" s="3636"/>
      <c r="C102" s="3223" t="str">
        <f t="shared" si="12"/>
        <v>公共配套设施</v>
      </c>
      <c r="D102" s="3221" t="s">
        <v>3167</v>
      </c>
      <c r="E102" s="3222">
        <f t="shared" si="9"/>
        <v>98</v>
      </c>
      <c r="F102" s="3221" t="s">
        <v>3167</v>
      </c>
      <c r="G102" s="3222">
        <f t="shared" si="10"/>
        <v>98</v>
      </c>
      <c r="H102" s="3221" t="s">
        <v>3167</v>
      </c>
      <c r="I102" s="3222">
        <f t="shared" si="11"/>
        <v>100</v>
      </c>
    </row>
    <row r="103" spans="2:9" ht="14.25" thickBot="1">
      <c r="B103" s="3636"/>
      <c r="C103" s="3223" t="str">
        <f t="shared" si="12"/>
        <v>基础设施水平</v>
      </c>
      <c r="D103" s="3221" t="s">
        <v>3167</v>
      </c>
      <c r="E103" s="3222">
        <f t="shared" si="9"/>
        <v>100</v>
      </c>
      <c r="F103" s="3221" t="s">
        <v>3167</v>
      </c>
      <c r="G103" s="3222">
        <f t="shared" si="10"/>
        <v>100</v>
      </c>
      <c r="H103" s="3221" t="s">
        <v>3167</v>
      </c>
      <c r="I103" s="3222">
        <f t="shared" si="11"/>
        <v>100</v>
      </c>
    </row>
    <row r="104" spans="2:9" ht="14.25" thickBot="1">
      <c r="B104" s="3636"/>
      <c r="C104" s="3223" t="str">
        <f t="shared" si="12"/>
        <v>自然及人文环境</v>
      </c>
      <c r="D104" s="3221" t="s">
        <v>3167</v>
      </c>
      <c r="E104" s="3222">
        <f t="shared" si="9"/>
        <v>100</v>
      </c>
      <c r="F104" s="3221" t="s">
        <v>3167</v>
      </c>
      <c r="G104" s="3222">
        <f t="shared" si="10"/>
        <v>100</v>
      </c>
      <c r="H104" s="3221" t="s">
        <v>3167</v>
      </c>
      <c r="I104" s="3222">
        <f t="shared" si="11"/>
        <v>100</v>
      </c>
    </row>
    <row r="105" spans="2:9" ht="14.25" thickBot="1">
      <c r="B105" s="3636" t="s">
        <v>3158</v>
      </c>
      <c r="C105" s="3223" t="str">
        <f t="shared" si="12"/>
        <v>建筑类型</v>
      </c>
      <c r="D105" s="3221" t="s">
        <v>3167</v>
      </c>
      <c r="E105" s="3222">
        <f t="shared" si="9"/>
        <v>100</v>
      </c>
      <c r="F105" s="3221" t="s">
        <v>3167</v>
      </c>
      <c r="G105" s="3222">
        <f t="shared" si="10"/>
        <v>100</v>
      </c>
      <c r="H105" s="3221" t="s">
        <v>3167</v>
      </c>
      <c r="I105" s="3222">
        <f t="shared" si="11"/>
        <v>100</v>
      </c>
    </row>
    <row r="106" spans="2:9" ht="14.25" thickBot="1">
      <c r="B106" s="3636"/>
      <c r="C106" s="3223" t="str">
        <f t="shared" si="12"/>
        <v>项目建筑规模</v>
      </c>
      <c r="D106" s="3221" t="s">
        <v>3167</v>
      </c>
      <c r="E106" s="3222">
        <f t="shared" si="9"/>
        <v>97</v>
      </c>
      <c r="F106" s="3221" t="s">
        <v>3167</v>
      </c>
      <c r="G106" s="3222">
        <f t="shared" si="10"/>
        <v>97</v>
      </c>
      <c r="H106" s="3221" t="s">
        <v>3167</v>
      </c>
      <c r="I106" s="3222">
        <f t="shared" si="11"/>
        <v>98</v>
      </c>
    </row>
    <row r="107" spans="2:9" ht="14.25" thickBot="1">
      <c r="B107" s="3636"/>
      <c r="C107" s="3223" t="str">
        <f t="shared" si="12"/>
        <v>建筑结构</v>
      </c>
      <c r="D107" s="3221" t="s">
        <v>3167</v>
      </c>
      <c r="E107" s="3222">
        <f t="shared" si="9"/>
        <v>100</v>
      </c>
      <c r="F107" s="3221" t="s">
        <v>3167</v>
      </c>
      <c r="G107" s="3222">
        <f t="shared" si="10"/>
        <v>100</v>
      </c>
      <c r="H107" s="3221" t="s">
        <v>3167</v>
      </c>
      <c r="I107" s="3222">
        <f t="shared" si="11"/>
        <v>100</v>
      </c>
    </row>
    <row r="108" spans="2:9" ht="14.25" thickBot="1">
      <c r="B108" s="3636"/>
      <c r="C108" s="3223" t="str">
        <f t="shared" si="12"/>
        <v>建筑品质</v>
      </c>
      <c r="D108" s="3221" t="s">
        <v>3167</v>
      </c>
      <c r="E108" s="3222">
        <f t="shared" si="9"/>
        <v>95</v>
      </c>
      <c r="F108" s="3221" t="s">
        <v>3167</v>
      </c>
      <c r="G108" s="3222">
        <f t="shared" si="10"/>
        <v>95</v>
      </c>
      <c r="H108" s="3221" t="s">
        <v>3167</v>
      </c>
      <c r="I108" s="3222">
        <f t="shared" si="11"/>
        <v>95</v>
      </c>
    </row>
    <row r="109" spans="2:9" ht="14.25" thickBot="1">
      <c r="B109" s="3636"/>
      <c r="C109" s="3223" t="str">
        <f t="shared" si="12"/>
        <v>公共部分装修</v>
      </c>
      <c r="D109" s="3221" t="s">
        <v>3167</v>
      </c>
      <c r="E109" s="3222">
        <f t="shared" si="9"/>
        <v>97</v>
      </c>
      <c r="F109" s="3221" t="s">
        <v>3167</v>
      </c>
      <c r="G109" s="3222">
        <f t="shared" si="10"/>
        <v>97</v>
      </c>
      <c r="H109" s="3221" t="s">
        <v>3167</v>
      </c>
      <c r="I109" s="3222">
        <f t="shared" si="11"/>
        <v>97</v>
      </c>
    </row>
    <row r="110" spans="2:9" ht="14.25" thickBot="1">
      <c r="B110" s="3636"/>
      <c r="C110" s="3223" t="str">
        <f t="shared" si="12"/>
        <v>物业管理</v>
      </c>
      <c r="D110" s="3221" t="s">
        <v>3167</v>
      </c>
      <c r="E110" s="3222">
        <f t="shared" si="9"/>
        <v>100</v>
      </c>
      <c r="F110" s="3221" t="s">
        <v>3167</v>
      </c>
      <c r="G110" s="3222">
        <f t="shared" si="10"/>
        <v>100</v>
      </c>
      <c r="H110" s="3221" t="s">
        <v>3167</v>
      </c>
      <c r="I110" s="3222">
        <f t="shared" si="11"/>
        <v>100</v>
      </c>
    </row>
    <row r="111" spans="2:9" ht="14.25" thickBot="1">
      <c r="B111" s="3636"/>
      <c r="C111" s="3223" t="str">
        <f t="shared" si="12"/>
        <v>市政基础设施</v>
      </c>
      <c r="D111" s="3221" t="s">
        <v>3167</v>
      </c>
      <c r="E111" s="3222">
        <f t="shared" si="9"/>
        <v>100</v>
      </c>
      <c r="F111" s="3221" t="s">
        <v>3167</v>
      </c>
      <c r="G111" s="3222">
        <f t="shared" si="10"/>
        <v>100</v>
      </c>
      <c r="H111" s="3221" t="s">
        <v>3167</v>
      </c>
      <c r="I111" s="3222">
        <f t="shared" si="11"/>
        <v>100</v>
      </c>
    </row>
    <row r="112" spans="2:9" ht="14.25" thickBot="1">
      <c r="B112" s="3636"/>
      <c r="C112" s="3223" t="str">
        <f t="shared" si="12"/>
        <v>主力户型面积</v>
      </c>
      <c r="D112" s="3221" t="s">
        <v>3167</v>
      </c>
      <c r="E112" s="3222">
        <f t="shared" si="9"/>
        <v>103</v>
      </c>
      <c r="F112" s="3221" t="s">
        <v>3167</v>
      </c>
      <c r="G112" s="3222">
        <f t="shared" si="10"/>
        <v>103</v>
      </c>
      <c r="H112" s="3221" t="s">
        <v>3167</v>
      </c>
      <c r="I112" s="3222">
        <f t="shared" si="11"/>
        <v>106</v>
      </c>
    </row>
    <row r="113" spans="2:11" ht="14.25" thickBot="1">
      <c r="B113" s="3636"/>
      <c r="C113" s="3223" t="str">
        <f t="shared" si="12"/>
        <v>内部装修</v>
      </c>
      <c r="D113" s="3221" t="s">
        <v>3167</v>
      </c>
      <c r="E113" s="3222">
        <f t="shared" si="9"/>
        <v>100</v>
      </c>
      <c r="F113" s="3221" t="s">
        <v>3167</v>
      </c>
      <c r="G113" s="3222">
        <f t="shared" si="10"/>
        <v>100</v>
      </c>
      <c r="H113" s="3221" t="s">
        <v>3167</v>
      </c>
      <c r="I113" s="3222">
        <f t="shared" si="11"/>
        <v>100</v>
      </c>
    </row>
    <row r="114" spans="2:11" ht="14.25" thickBot="1">
      <c r="B114" s="3637"/>
      <c r="C114" s="3223" t="str">
        <f t="shared" si="12"/>
        <v>临海情况</v>
      </c>
      <c r="D114" s="3221" t="s">
        <v>3167</v>
      </c>
      <c r="E114" s="3222">
        <f t="shared" si="9"/>
        <v>100</v>
      </c>
      <c r="F114" s="3221" t="s">
        <v>3167</v>
      </c>
      <c r="G114" s="3222">
        <f t="shared" si="10"/>
        <v>95</v>
      </c>
      <c r="H114" s="3221" t="s">
        <v>3167</v>
      </c>
      <c r="I114" s="3222">
        <f t="shared" si="11"/>
        <v>90</v>
      </c>
    </row>
    <row r="115" spans="2:11" ht="24.75" customHeight="1" thickBot="1">
      <c r="B115" s="3632" t="s">
        <v>3185</v>
      </c>
      <c r="C115" s="3633"/>
      <c r="D115" s="3634">
        <f>'不动产比较法-住宅'!E47</f>
        <v>18520</v>
      </c>
      <c r="E115" s="3635"/>
      <c r="F115" s="3634">
        <f>'不动产比较法-住宅'!G47</f>
        <v>18556</v>
      </c>
      <c r="G115" s="3635"/>
      <c r="H115" s="3634">
        <f>'不动产比较法-住宅'!I47</f>
        <v>17620</v>
      </c>
      <c r="I115" s="3635"/>
    </row>
    <row r="116" spans="2:11" ht="24.75" customHeight="1" thickBot="1">
      <c r="B116" s="3632" t="s">
        <v>3186</v>
      </c>
      <c r="C116" s="3633"/>
      <c r="D116" s="3634">
        <f>'不动产比较法-住宅'!E48</f>
        <v>20746</v>
      </c>
      <c r="E116" s="3635"/>
      <c r="F116" s="3634">
        <f>'不动产比较法-住宅'!G48</f>
        <v>21243</v>
      </c>
      <c r="G116" s="3635"/>
      <c r="H116" s="3634">
        <f>'不动产比较法-住宅'!I48</f>
        <v>20069</v>
      </c>
      <c r="I116" s="3635"/>
    </row>
    <row r="117" spans="2:11" ht="24.75" customHeight="1" thickBot="1">
      <c r="B117" s="3632" t="s">
        <v>3187</v>
      </c>
      <c r="C117" s="3633"/>
      <c r="D117" s="3634">
        <f>'不动产比较法-住宅'!C48</f>
        <v>20686</v>
      </c>
      <c r="E117" s="3639"/>
      <c r="F117" s="3639"/>
      <c r="G117" s="3639"/>
      <c r="H117" s="3639"/>
      <c r="I117" s="3635"/>
    </row>
    <row r="120" spans="2:11" ht="14.25" thickBot="1"/>
    <row r="121" spans="2:11" ht="14.25" thickBot="1">
      <c r="B121" s="3607" t="s">
        <v>3150</v>
      </c>
      <c r="C121" s="3608"/>
      <c r="D121" s="3603" t="s">
        <v>3151</v>
      </c>
      <c r="E121" s="3604"/>
      <c r="F121" s="3603" t="s">
        <v>3200</v>
      </c>
      <c r="G121" s="3604"/>
      <c r="H121" s="3603" t="s">
        <v>3201</v>
      </c>
      <c r="I121" s="3604"/>
      <c r="J121" s="3603" t="s">
        <v>3202</v>
      </c>
      <c r="K121" s="3604"/>
    </row>
    <row r="122" spans="2:11" ht="15" customHeight="1" thickBot="1">
      <c r="B122" s="3609"/>
      <c r="C122" s="3610"/>
      <c r="D122" s="3211" t="s">
        <v>3159</v>
      </c>
      <c r="E122" s="3605" t="s">
        <v>3173</v>
      </c>
      <c r="F122" s="3211" t="s">
        <v>3194</v>
      </c>
      <c r="G122" s="3605" t="s">
        <v>3173</v>
      </c>
      <c r="H122" s="3211" t="s">
        <v>3196</v>
      </c>
      <c r="I122" s="3605" t="s">
        <v>3173</v>
      </c>
      <c r="J122" s="3211" t="s">
        <v>3198</v>
      </c>
      <c r="K122" s="3605" t="s">
        <v>3173</v>
      </c>
    </row>
    <row r="123" spans="2:11" ht="23.25" customHeight="1" thickBot="1">
      <c r="B123" s="3611"/>
      <c r="C123" s="3612"/>
      <c r="D123" s="3211" t="s">
        <v>3160</v>
      </c>
      <c r="E123" s="3606"/>
      <c r="F123" s="3211" t="s">
        <v>3195</v>
      </c>
      <c r="G123" s="3606"/>
      <c r="H123" s="3211" t="s">
        <v>3197</v>
      </c>
      <c r="I123" s="3606"/>
      <c r="J123" s="3211" t="s">
        <v>3199</v>
      </c>
      <c r="K123" s="3606"/>
    </row>
    <row r="124" spans="2:11" ht="14.25" thickBot="1">
      <c r="B124" s="3601" t="str">
        <f>B95</f>
        <v>交易时间</v>
      </c>
      <c r="C124" s="3602"/>
      <c r="D124" s="3217">
        <f>D71</f>
        <v>43221</v>
      </c>
      <c r="E124" s="3212">
        <v>100</v>
      </c>
      <c r="F124" s="3217">
        <f>F71</f>
        <v>43221</v>
      </c>
      <c r="G124" s="3212">
        <v>100</v>
      </c>
      <c r="H124" s="3217">
        <f>H71</f>
        <v>43221</v>
      </c>
      <c r="I124" s="3212">
        <v>100</v>
      </c>
      <c r="J124" s="3217">
        <f>J71</f>
        <v>43221</v>
      </c>
      <c r="K124" s="3212">
        <v>100</v>
      </c>
    </row>
    <row r="125" spans="2:11" ht="14.25" thickBot="1">
      <c r="B125" s="3601" t="str">
        <f t="shared" ref="B125:B128" si="13">B96</f>
        <v>交易情况</v>
      </c>
      <c r="C125" s="3602"/>
      <c r="D125" s="3213" t="s">
        <v>3007</v>
      </c>
      <c r="E125" s="3212">
        <v>100</v>
      </c>
      <c r="F125" s="3213" t="s">
        <v>3007</v>
      </c>
      <c r="G125" s="3212">
        <v>100</v>
      </c>
      <c r="H125" s="3213" t="s">
        <v>3007</v>
      </c>
      <c r="I125" s="3212">
        <v>100</v>
      </c>
      <c r="J125" s="3213" t="s">
        <v>3007</v>
      </c>
      <c r="K125" s="3212">
        <v>100</v>
      </c>
    </row>
    <row r="126" spans="2:11" ht="14.25" thickBot="1">
      <c r="B126" s="3601" t="str">
        <f t="shared" si="13"/>
        <v>用途</v>
      </c>
      <c r="C126" s="3602"/>
      <c r="D126" s="3213" t="str">
        <f>'不动产比较法-商业'!C9</f>
        <v>商业</v>
      </c>
      <c r="E126" s="3212">
        <v>100</v>
      </c>
      <c r="F126" s="3213" t="str">
        <f>'不动产比较法-商业'!E9</f>
        <v>商业</v>
      </c>
      <c r="G126" s="3212">
        <v>100</v>
      </c>
      <c r="H126" s="3213" t="str">
        <f>'不动产比较法-商业'!G9</f>
        <v>商业</v>
      </c>
      <c r="I126" s="3212">
        <v>100</v>
      </c>
      <c r="J126" s="3213" t="str">
        <f>'不动产比较法-商业'!I9</f>
        <v>商业</v>
      </c>
      <c r="K126" s="3214">
        <v>100</v>
      </c>
    </row>
    <row r="127" spans="2:11" ht="14.25" thickBot="1">
      <c r="B127" s="3601" t="str">
        <f t="shared" si="13"/>
        <v>土地使用年限（年）</v>
      </c>
      <c r="C127" s="3602"/>
      <c r="D127" s="3219" t="str">
        <f>'不动产比较法-商业'!C10</f>
        <v>20-30（含）</v>
      </c>
      <c r="E127" s="3212">
        <v>100</v>
      </c>
      <c r="F127" s="3219" t="str">
        <f>'不动产比较法-商业'!E10</f>
        <v>30-40（含）</v>
      </c>
      <c r="G127" s="3212">
        <f>'不动产比较法-商业'!F10</f>
        <v>105</v>
      </c>
      <c r="H127" s="3219" t="str">
        <f>'不动产比较法-商业'!G10</f>
        <v>30-40（含）</v>
      </c>
      <c r="I127" s="3212">
        <f>'不动产比较法-商业'!H10</f>
        <v>105</v>
      </c>
      <c r="J127" s="3219" t="str">
        <f>'不动产比较法-商业'!I10</f>
        <v>30-40（含）</v>
      </c>
      <c r="K127" s="3212">
        <f>'不动产比较法-商业'!J10</f>
        <v>105</v>
      </c>
    </row>
    <row r="128" spans="2:11" ht="14.25" customHeight="1" thickBot="1">
      <c r="B128" s="3601" t="str">
        <f t="shared" si="13"/>
        <v>容积率</v>
      </c>
      <c r="C128" s="3602"/>
      <c r="D128" s="3213">
        <f>'不动产比较法-商业'!C11</f>
        <v>4.0599999999999996</v>
      </c>
      <c r="E128" s="3212">
        <v>100</v>
      </c>
      <c r="F128" s="3213">
        <f>'不动产比较法-商业'!E11</f>
        <v>3</v>
      </c>
      <c r="G128" s="3212">
        <f>'不动产比较法-商业'!F11</f>
        <v>103</v>
      </c>
      <c r="H128" s="3213">
        <f>'不动产比较法-商业'!G11</f>
        <v>3.5</v>
      </c>
      <c r="I128" s="3212">
        <f>'不动产比较法-商业'!H11</f>
        <v>103</v>
      </c>
      <c r="J128" s="3213">
        <f>'不动产比较法-商业'!I11</f>
        <v>4.37</v>
      </c>
      <c r="K128" s="3214">
        <v>100</v>
      </c>
    </row>
    <row r="129" spans="2:11" ht="14.25" thickBot="1">
      <c r="B129" s="3621" t="s">
        <v>3157</v>
      </c>
      <c r="C129" s="3215" t="str">
        <f>'不动产比较法-商业'!B15</f>
        <v>商业繁华度</v>
      </c>
      <c r="D129" s="3213" t="str">
        <f>'不动产比较法-商业'!C16</f>
        <v>一般</v>
      </c>
      <c r="E129" s="3212">
        <v>100</v>
      </c>
      <c r="F129" s="3213" t="str">
        <f>'不动产比较法-商业'!E16</f>
        <v>一般</v>
      </c>
      <c r="G129" s="3212">
        <v>100</v>
      </c>
      <c r="H129" s="3213" t="str">
        <f>'不动产比较法-商业'!G16</f>
        <v>一般</v>
      </c>
      <c r="I129" s="3212">
        <v>100</v>
      </c>
      <c r="J129" s="3213" t="str">
        <f>'不动产比较法-商业'!I16</f>
        <v>一般</v>
      </c>
      <c r="K129" s="3214">
        <v>100</v>
      </c>
    </row>
    <row r="130" spans="2:11" ht="14.25" thickBot="1">
      <c r="B130" s="3622"/>
      <c r="C130" s="3215" t="str">
        <f>'不动产比较法-商业'!B17</f>
        <v>交通便捷度</v>
      </c>
      <c r="D130" s="3213" t="str">
        <f>'不动产比较法-商业'!C18</f>
        <v>一般</v>
      </c>
      <c r="E130" s="3212">
        <v>100</v>
      </c>
      <c r="F130" s="3220" t="str">
        <f>'不动产比较法-商业'!E18</f>
        <v>一般</v>
      </c>
      <c r="G130" s="3212">
        <v>100</v>
      </c>
      <c r="H130" s="3220" t="str">
        <f>'不动产比较法-商业'!G18</f>
        <v>一般</v>
      </c>
      <c r="I130" s="3212">
        <v>100</v>
      </c>
      <c r="J130" s="3220" t="str">
        <f>'不动产比较法-商业'!I18</f>
        <v>一般</v>
      </c>
      <c r="K130" s="3214">
        <v>100</v>
      </c>
    </row>
    <row r="131" spans="2:11" ht="14.25" thickBot="1">
      <c r="B131" s="3622"/>
      <c r="C131" s="3215" t="str">
        <f>'不动产比较法-商业'!B19</f>
        <v>公共配套设施</v>
      </c>
      <c r="D131" s="3213" t="str">
        <f>'不动产比较法-商业'!C20</f>
        <v>一般</v>
      </c>
      <c r="E131" s="3212">
        <v>100</v>
      </c>
      <c r="F131" s="3213" t="str">
        <f>'不动产比较法-商业'!E20</f>
        <v>较差</v>
      </c>
      <c r="G131" s="3212">
        <f>'不动产比较法-商业'!F19</f>
        <v>98</v>
      </c>
      <c r="H131" s="3213" t="str">
        <f>'不动产比较法-商业'!G20</f>
        <v>较差</v>
      </c>
      <c r="I131" s="3212">
        <f>'不动产比较法-商业'!H19</f>
        <v>98</v>
      </c>
      <c r="J131" s="3213" t="str">
        <f>'不动产比较法-商业'!I20</f>
        <v>一般</v>
      </c>
      <c r="K131" s="3214">
        <v>100</v>
      </c>
    </row>
    <row r="132" spans="2:11" ht="14.25" thickBot="1">
      <c r="B132" s="3622"/>
      <c r="C132" s="3215" t="str">
        <f>'不动产比较法-商业'!B21</f>
        <v>基础设施水平</v>
      </c>
      <c r="D132" s="3213" t="str">
        <f>'不动产比较法-商业'!C22</f>
        <v>六通</v>
      </c>
      <c r="E132" s="3212">
        <v>100</v>
      </c>
      <c r="F132" s="3213" t="str">
        <f>'不动产比较法-商业'!E22</f>
        <v>六通</v>
      </c>
      <c r="G132" s="3212">
        <v>100</v>
      </c>
      <c r="H132" s="3213" t="str">
        <f>'不动产比较法-商业'!G22</f>
        <v>六通</v>
      </c>
      <c r="I132" s="3212">
        <v>100</v>
      </c>
      <c r="J132" s="3213" t="str">
        <f>'不动产比较法-商业'!I22</f>
        <v>六通</v>
      </c>
      <c r="K132" s="3214">
        <v>100</v>
      </c>
    </row>
    <row r="133" spans="2:11" ht="14.25" thickBot="1">
      <c r="B133" s="3622"/>
      <c r="C133" s="3215" t="str">
        <f>'不动产比较法-商业'!B23</f>
        <v>自然及人文环境</v>
      </c>
      <c r="D133" s="3213" t="str">
        <f>'不动产比较法-商业'!C24</f>
        <v>好</v>
      </c>
      <c r="E133" s="3212">
        <v>100</v>
      </c>
      <c r="F133" s="3220" t="str">
        <f>'不动产比较法-商业'!E24</f>
        <v>好</v>
      </c>
      <c r="G133" s="3212">
        <v>100</v>
      </c>
      <c r="H133" s="3220" t="str">
        <f>'不动产比较法-商业'!G24</f>
        <v>好</v>
      </c>
      <c r="I133" s="3212">
        <v>100</v>
      </c>
      <c r="J133" s="3220" t="str">
        <f>'不动产比较法-商业'!I24</f>
        <v>好</v>
      </c>
      <c r="K133" s="3214">
        <v>100</v>
      </c>
    </row>
    <row r="134" spans="2:11" ht="14.25" thickBot="1">
      <c r="B134" s="3622"/>
      <c r="C134" s="3218" t="s">
        <v>3193</v>
      </c>
      <c r="D134" s="3213" t="str">
        <f>'不动产比较法-商业'!C26</f>
        <v>一般</v>
      </c>
      <c r="E134" s="3212">
        <v>100</v>
      </c>
      <c r="F134" s="3213" t="str">
        <f>'不动产比较法-商业'!E26</f>
        <v>一般</v>
      </c>
      <c r="G134" s="3212">
        <v>100</v>
      </c>
      <c r="H134" s="3213" t="str">
        <f>'不动产比较法-商业'!G26</f>
        <v>一般</v>
      </c>
      <c r="I134" s="3212">
        <v>100</v>
      </c>
      <c r="J134" s="3213" t="str">
        <f>'不动产比较法-商业'!I26</f>
        <v>一般</v>
      </c>
      <c r="K134" s="3214">
        <v>100</v>
      </c>
    </row>
    <row r="135" spans="2:11" ht="14.25" thickBot="1">
      <c r="B135" s="3622"/>
      <c r="C135" s="3215" t="str">
        <f>'不动产比较法-商业'!B27</f>
        <v>人流量</v>
      </c>
      <c r="D135" s="3213" t="str">
        <f>'不动产比较法-商业'!C27</f>
        <v>较差</v>
      </c>
      <c r="E135" s="3212">
        <v>100</v>
      </c>
      <c r="F135" s="3213" t="str">
        <f>'不动产比较法-商业'!E27</f>
        <v>较差</v>
      </c>
      <c r="G135" s="3212">
        <v>100</v>
      </c>
      <c r="H135" s="3213" t="str">
        <f>'不动产比较法-商业'!G27</f>
        <v>较差</v>
      </c>
      <c r="I135" s="3212">
        <v>100</v>
      </c>
      <c r="J135" s="3213" t="str">
        <f>'不动产比较法-商业'!I27</f>
        <v>较差</v>
      </c>
      <c r="K135" s="3214">
        <v>100</v>
      </c>
    </row>
    <row r="136" spans="2:11" ht="14.25" thickBot="1">
      <c r="B136" s="3622"/>
      <c r="C136" s="3215" t="str">
        <f>'不动产比较法-商业'!B28</f>
        <v>楼层</v>
      </c>
      <c r="D136" s="3213" t="str">
        <f>'不动产比较法-商业'!C28</f>
        <v>1层</v>
      </c>
      <c r="E136" s="3212">
        <v>100</v>
      </c>
      <c r="F136" s="3213" t="str">
        <f>'不动产比较法-商业'!E28</f>
        <v>1层</v>
      </c>
      <c r="G136" s="3212">
        <v>100</v>
      </c>
      <c r="H136" s="3213" t="str">
        <f>'不动产比较法-商业'!G28</f>
        <v>1层</v>
      </c>
      <c r="I136" s="3212">
        <v>100</v>
      </c>
      <c r="J136" s="3213" t="str">
        <f>'不动产比较法-商业'!I28</f>
        <v>1层</v>
      </c>
      <c r="K136" s="3214">
        <v>100</v>
      </c>
    </row>
    <row r="137" spans="2:11" ht="14.25" thickBot="1">
      <c r="B137" s="3623" t="s">
        <v>3158</v>
      </c>
      <c r="C137" s="3215" t="str">
        <f>'不动产比较法-商业'!B32</f>
        <v>商业类型</v>
      </c>
      <c r="D137" s="3213" t="str">
        <f>'不动产比较法-商业'!C32</f>
        <v>住宅底商</v>
      </c>
      <c r="E137" s="3212">
        <v>100</v>
      </c>
      <c r="F137" s="3213" t="str">
        <f>'不动产比较法-商业'!E32</f>
        <v>住宅底商</v>
      </c>
      <c r="G137" s="3212">
        <v>100</v>
      </c>
      <c r="H137" s="3213" t="str">
        <f>'不动产比较法-商业'!G32</f>
        <v>住宅底商</v>
      </c>
      <c r="I137" s="3212">
        <v>100</v>
      </c>
      <c r="J137" s="3213" t="str">
        <f>'不动产比较法-商业'!I32</f>
        <v>住宅底商</v>
      </c>
      <c r="K137" s="3214">
        <v>100</v>
      </c>
    </row>
    <row r="138" spans="2:11" ht="14.25" thickBot="1">
      <c r="B138" s="3624"/>
      <c r="C138" s="3215" t="str">
        <f>'不动产比较法-商业'!B33</f>
        <v>项目建筑规模</v>
      </c>
      <c r="D138" s="3213">
        <f>'不动产比较法-商业'!C33</f>
        <v>877761</v>
      </c>
      <c r="E138" s="3212">
        <v>100</v>
      </c>
      <c r="F138" s="3213">
        <f>'不动产比较法-商业'!E33</f>
        <v>66820</v>
      </c>
      <c r="G138" s="3212">
        <f>'不动产比较法-商业'!F33</f>
        <v>95</v>
      </c>
      <c r="H138" s="3213">
        <f>'不动产比较法-商业'!G33</f>
        <v>362797</v>
      </c>
      <c r="I138" s="3212">
        <f>'不动产比较法-商业'!H33</f>
        <v>98</v>
      </c>
      <c r="J138" s="3213">
        <f>'不动产比较法-商业'!I33</f>
        <v>407514</v>
      </c>
      <c r="K138" s="3214">
        <v>99</v>
      </c>
    </row>
    <row r="139" spans="2:11" ht="14.25" thickBot="1">
      <c r="B139" s="3624"/>
      <c r="C139" s="3215" t="str">
        <f>'不动产比较法-商业'!B34</f>
        <v>建筑结构</v>
      </c>
      <c r="D139" s="3213" t="str">
        <f>'不动产比较法-商业'!C34</f>
        <v>钢混</v>
      </c>
      <c r="E139" s="3212">
        <v>100</v>
      </c>
      <c r="F139" s="3213" t="str">
        <f>'不动产比较法-商业'!E34</f>
        <v>钢混</v>
      </c>
      <c r="G139" s="3212">
        <v>100</v>
      </c>
      <c r="H139" s="3213" t="str">
        <f>'不动产比较法-商业'!G34</f>
        <v>钢混</v>
      </c>
      <c r="I139" s="3212">
        <v>100</v>
      </c>
      <c r="J139" s="3213" t="str">
        <f>'不动产比较法-商业'!I34</f>
        <v>钢混</v>
      </c>
      <c r="K139" s="3214">
        <v>100</v>
      </c>
    </row>
    <row r="140" spans="2:11" ht="14.25" thickBot="1">
      <c r="B140" s="3624"/>
      <c r="C140" s="3215" t="str">
        <f>'不动产比较法-商业'!B35</f>
        <v>公共部分装修</v>
      </c>
      <c r="D140" s="3220" t="str">
        <f>'不动产比较法-商业'!C35</f>
        <v>精装修</v>
      </c>
      <c r="E140" s="3212">
        <v>100</v>
      </c>
      <c r="F140" s="3220" t="str">
        <f>'不动产比较法-商业'!E35</f>
        <v>精装修</v>
      </c>
      <c r="G140" s="3212">
        <v>100</v>
      </c>
      <c r="H140" s="3220" t="str">
        <f>'不动产比较法-商业'!G35</f>
        <v>精装修</v>
      </c>
      <c r="I140" s="3212">
        <v>100</v>
      </c>
      <c r="J140" s="3220" t="str">
        <f>'不动产比较法-商业'!I35</f>
        <v>精装修</v>
      </c>
      <c r="K140" s="3214">
        <v>100</v>
      </c>
    </row>
    <row r="141" spans="2:11" ht="14.25" thickBot="1">
      <c r="B141" s="3624"/>
      <c r="C141" s="3215" t="str">
        <f>'不动产比较法-商业'!B37</f>
        <v>市政基础设施</v>
      </c>
      <c r="D141" s="3220" t="str">
        <f>'不动产比较法-商业'!C37</f>
        <v>六通</v>
      </c>
      <c r="E141" s="3212">
        <v>100</v>
      </c>
      <c r="F141" s="3220" t="str">
        <f>'不动产比较法-商业'!E37</f>
        <v>六通</v>
      </c>
      <c r="G141" s="3212">
        <v>100</v>
      </c>
      <c r="H141" s="3220" t="str">
        <f>'不动产比较法-商业'!G37</f>
        <v>六通</v>
      </c>
      <c r="I141" s="3212">
        <v>100</v>
      </c>
      <c r="J141" s="3220" t="str">
        <f>'不动产比较法-商业'!I37</f>
        <v>六通</v>
      </c>
      <c r="K141" s="3214">
        <v>100</v>
      </c>
    </row>
    <row r="142" spans="2:11" ht="14.25" thickBot="1">
      <c r="B142" s="3624"/>
      <c r="C142" s="3215" t="str">
        <f>'不动产比较法-商业'!B39</f>
        <v>层高</v>
      </c>
      <c r="D142" s="3220" t="str">
        <f>'不动产比较法-商业'!C39</f>
        <v>普通层高</v>
      </c>
      <c r="E142" s="3212">
        <v>100</v>
      </c>
      <c r="F142" s="3220" t="str">
        <f>'不动产比较法-商业'!E39</f>
        <v>普通层高</v>
      </c>
      <c r="G142" s="3212">
        <v>100</v>
      </c>
      <c r="H142" s="3220" t="str">
        <f>'不动产比较法-商业'!G39</f>
        <v>普通层高</v>
      </c>
      <c r="I142" s="3212">
        <v>100</v>
      </c>
      <c r="J142" s="3220" t="str">
        <f>'不动产比较法-商业'!I39</f>
        <v>普通层高</v>
      </c>
      <c r="K142" s="3212">
        <v>100</v>
      </c>
    </row>
    <row r="143" spans="2:11" ht="14.25" thickBot="1">
      <c r="B143" s="3625"/>
      <c r="C143" s="3215" t="str">
        <f>'不动产比较法-商业'!B42</f>
        <v>内部装修</v>
      </c>
      <c r="D143" s="3220" t="str">
        <f>'不动产比较法-商业'!C42</f>
        <v>毛坯</v>
      </c>
      <c r="E143" s="3212">
        <v>100</v>
      </c>
      <c r="F143" s="3220" t="str">
        <f>'不动产比较法-商业'!E42</f>
        <v>毛坯</v>
      </c>
      <c r="G143" s="3212">
        <v>100</v>
      </c>
      <c r="H143" s="3220" t="str">
        <f>'不动产比较法-商业'!G42</f>
        <v>毛坯</v>
      </c>
      <c r="I143" s="3212">
        <v>100</v>
      </c>
      <c r="J143" s="3220" t="str">
        <f>'不动产比较法-商业'!I42</f>
        <v>毛坯</v>
      </c>
      <c r="K143" s="3214">
        <v>100</v>
      </c>
    </row>
    <row r="145" spans="2:9" ht="14.25" thickBot="1"/>
    <row r="146" spans="2:9" ht="14.25" thickBot="1">
      <c r="B146" s="3626" t="s">
        <v>3150</v>
      </c>
      <c r="C146" s="3627"/>
      <c r="D146" s="3603" t="s">
        <v>3200</v>
      </c>
      <c r="E146" s="3604"/>
      <c r="F146" s="3603" t="s">
        <v>3201</v>
      </c>
      <c r="G146" s="3604"/>
      <c r="H146" s="3603" t="s">
        <v>3202</v>
      </c>
      <c r="I146" s="3604"/>
    </row>
    <row r="147" spans="2:9" ht="14.25" thickBot="1">
      <c r="B147" s="3628"/>
      <c r="C147" s="3629"/>
      <c r="D147" s="3615" t="s">
        <v>3203</v>
      </c>
      <c r="E147" s="3616"/>
      <c r="F147" s="3617" t="s">
        <v>3204</v>
      </c>
      <c r="G147" s="3616"/>
      <c r="H147" s="3640" t="s">
        <v>3198</v>
      </c>
      <c r="I147" s="3618"/>
    </row>
    <row r="148" spans="2:9" ht="14.25" thickBot="1">
      <c r="B148" s="3619" t="str">
        <f>B124</f>
        <v>交易时间</v>
      </c>
      <c r="C148" s="3620"/>
      <c r="D148" s="3221" t="s">
        <v>3167</v>
      </c>
      <c r="E148" s="3222">
        <f>G124</f>
        <v>100</v>
      </c>
      <c r="F148" s="3221" t="s">
        <v>3167</v>
      </c>
      <c r="G148" s="3222">
        <f>I124</f>
        <v>100</v>
      </c>
      <c r="H148" s="3221" t="s">
        <v>3167</v>
      </c>
      <c r="I148" s="3222">
        <f>K124</f>
        <v>100</v>
      </c>
    </row>
    <row r="149" spans="2:9" ht="14.25" thickBot="1">
      <c r="B149" s="3619" t="str">
        <f t="shared" ref="B149:B152" si="14">B125</f>
        <v>交易情况</v>
      </c>
      <c r="C149" s="3620"/>
      <c r="D149" s="3221" t="s">
        <v>3167</v>
      </c>
      <c r="E149" s="3222">
        <f t="shared" ref="E149:E167" si="15">G125</f>
        <v>100</v>
      </c>
      <c r="F149" s="3221" t="s">
        <v>3167</v>
      </c>
      <c r="G149" s="3222">
        <f t="shared" ref="G149:G167" si="16">I125</f>
        <v>100</v>
      </c>
      <c r="H149" s="3221" t="s">
        <v>3167</v>
      </c>
      <c r="I149" s="3222">
        <f t="shared" ref="I149:I167" si="17">K125</f>
        <v>100</v>
      </c>
    </row>
    <row r="150" spans="2:9" ht="14.25" thickBot="1">
      <c r="B150" s="3619" t="str">
        <f t="shared" si="14"/>
        <v>用途</v>
      </c>
      <c r="C150" s="3620"/>
      <c r="D150" s="3221" t="s">
        <v>3167</v>
      </c>
      <c r="E150" s="3222">
        <f t="shared" si="15"/>
        <v>100</v>
      </c>
      <c r="F150" s="3221" t="s">
        <v>3167</v>
      </c>
      <c r="G150" s="3222">
        <f t="shared" si="16"/>
        <v>100</v>
      </c>
      <c r="H150" s="3221" t="s">
        <v>3167</v>
      </c>
      <c r="I150" s="3222">
        <f t="shared" si="17"/>
        <v>100</v>
      </c>
    </row>
    <row r="151" spans="2:9" ht="14.25" thickBot="1">
      <c r="B151" s="3619" t="str">
        <f t="shared" si="14"/>
        <v>土地使用年限（年）</v>
      </c>
      <c r="C151" s="3620"/>
      <c r="D151" s="3221"/>
      <c r="E151" s="3222">
        <f t="shared" si="15"/>
        <v>105</v>
      </c>
      <c r="F151" s="3221"/>
      <c r="G151" s="3222">
        <f t="shared" si="16"/>
        <v>105</v>
      </c>
      <c r="H151" s="3221"/>
      <c r="I151" s="3222">
        <f t="shared" si="17"/>
        <v>105</v>
      </c>
    </row>
    <row r="152" spans="2:9" ht="14.25" customHeight="1" thickBot="1">
      <c r="B152" s="3619" t="str">
        <f t="shared" si="14"/>
        <v>容积率</v>
      </c>
      <c r="C152" s="3620"/>
      <c r="D152" s="3221" t="s">
        <v>3167</v>
      </c>
      <c r="E152" s="3222">
        <f t="shared" si="15"/>
        <v>103</v>
      </c>
      <c r="F152" s="3221" t="s">
        <v>3167</v>
      </c>
      <c r="G152" s="3222">
        <f t="shared" si="16"/>
        <v>103</v>
      </c>
      <c r="H152" s="3221" t="s">
        <v>3167</v>
      </c>
      <c r="I152" s="3222">
        <f t="shared" si="17"/>
        <v>100</v>
      </c>
    </row>
    <row r="153" spans="2:9" ht="14.25" thickBot="1">
      <c r="B153" s="3641" t="s">
        <v>3157</v>
      </c>
      <c r="C153" s="3223" t="str">
        <f>C129</f>
        <v>商业繁华度</v>
      </c>
      <c r="D153" s="3221" t="s">
        <v>3167</v>
      </c>
      <c r="E153" s="3222">
        <f t="shared" si="15"/>
        <v>100</v>
      </c>
      <c r="F153" s="3221" t="s">
        <v>3167</v>
      </c>
      <c r="G153" s="3222">
        <f t="shared" si="16"/>
        <v>100</v>
      </c>
      <c r="H153" s="3221" t="s">
        <v>3167</v>
      </c>
      <c r="I153" s="3222">
        <f t="shared" si="17"/>
        <v>100</v>
      </c>
    </row>
    <row r="154" spans="2:9" ht="14.25" thickBot="1">
      <c r="B154" s="3642"/>
      <c r="C154" s="3223" t="str">
        <f t="shared" ref="C154:C159" si="18">C130</f>
        <v>交通便捷度</v>
      </c>
      <c r="D154" s="3221" t="s">
        <v>3167</v>
      </c>
      <c r="E154" s="3222">
        <f t="shared" si="15"/>
        <v>100</v>
      </c>
      <c r="F154" s="3221" t="s">
        <v>3167</v>
      </c>
      <c r="G154" s="3222">
        <f t="shared" si="16"/>
        <v>100</v>
      </c>
      <c r="H154" s="3221" t="s">
        <v>3167</v>
      </c>
      <c r="I154" s="3222">
        <f t="shared" si="17"/>
        <v>100</v>
      </c>
    </row>
    <row r="155" spans="2:9" ht="14.25" thickBot="1">
      <c r="B155" s="3642"/>
      <c r="C155" s="3223" t="str">
        <f t="shared" si="18"/>
        <v>公共配套设施</v>
      </c>
      <c r="D155" s="3221" t="s">
        <v>3167</v>
      </c>
      <c r="E155" s="3222">
        <f t="shared" si="15"/>
        <v>98</v>
      </c>
      <c r="F155" s="3221" t="s">
        <v>3167</v>
      </c>
      <c r="G155" s="3222">
        <f t="shared" si="16"/>
        <v>98</v>
      </c>
      <c r="H155" s="3221" t="s">
        <v>3167</v>
      </c>
      <c r="I155" s="3222">
        <f t="shared" si="17"/>
        <v>100</v>
      </c>
    </row>
    <row r="156" spans="2:9" ht="14.25" thickBot="1">
      <c r="B156" s="3642"/>
      <c r="C156" s="3223" t="str">
        <f t="shared" si="18"/>
        <v>基础设施水平</v>
      </c>
      <c r="D156" s="3221" t="s">
        <v>3167</v>
      </c>
      <c r="E156" s="3222">
        <f t="shared" si="15"/>
        <v>100</v>
      </c>
      <c r="F156" s="3221" t="s">
        <v>3167</v>
      </c>
      <c r="G156" s="3222">
        <f t="shared" si="16"/>
        <v>100</v>
      </c>
      <c r="H156" s="3221" t="s">
        <v>3167</v>
      </c>
      <c r="I156" s="3222">
        <f t="shared" si="17"/>
        <v>100</v>
      </c>
    </row>
    <row r="157" spans="2:9" ht="14.25" thickBot="1">
      <c r="B157" s="3642"/>
      <c r="C157" s="3223" t="str">
        <f t="shared" si="18"/>
        <v>自然及人文环境</v>
      </c>
      <c r="D157" s="3221" t="s">
        <v>3167</v>
      </c>
      <c r="E157" s="3222">
        <f t="shared" si="15"/>
        <v>100</v>
      </c>
      <c r="F157" s="3221" t="s">
        <v>3167</v>
      </c>
      <c r="G157" s="3222">
        <f t="shared" si="16"/>
        <v>100</v>
      </c>
      <c r="H157" s="3221" t="s">
        <v>3167</v>
      </c>
      <c r="I157" s="3222">
        <f t="shared" si="17"/>
        <v>100</v>
      </c>
    </row>
    <row r="158" spans="2:9" ht="14.25" thickBot="1">
      <c r="B158" s="3642"/>
      <c r="C158" s="3223" t="str">
        <f t="shared" si="18"/>
        <v>可视性</v>
      </c>
      <c r="D158" s="3221" t="s">
        <v>3167</v>
      </c>
      <c r="E158" s="3222">
        <f t="shared" si="15"/>
        <v>100</v>
      </c>
      <c r="F158" s="3221" t="s">
        <v>3167</v>
      </c>
      <c r="G158" s="3222">
        <f t="shared" si="16"/>
        <v>100</v>
      </c>
      <c r="H158" s="3221" t="s">
        <v>3167</v>
      </c>
      <c r="I158" s="3222">
        <f t="shared" si="17"/>
        <v>100</v>
      </c>
    </row>
    <row r="159" spans="2:9" ht="14.25" thickBot="1">
      <c r="B159" s="3642"/>
      <c r="C159" s="3223" t="str">
        <f t="shared" si="18"/>
        <v>人流量</v>
      </c>
      <c r="D159" s="3221" t="s">
        <v>3167</v>
      </c>
      <c r="E159" s="3222">
        <f t="shared" si="15"/>
        <v>100</v>
      </c>
      <c r="F159" s="3221" t="s">
        <v>3167</v>
      </c>
      <c r="G159" s="3222">
        <f t="shared" si="16"/>
        <v>100</v>
      </c>
      <c r="H159" s="3221" t="s">
        <v>3167</v>
      </c>
      <c r="I159" s="3222">
        <f t="shared" si="17"/>
        <v>100</v>
      </c>
    </row>
    <row r="160" spans="2:9" ht="14.25" thickBot="1">
      <c r="B160" s="3643"/>
      <c r="C160" s="3223" t="str">
        <f>C136</f>
        <v>楼层</v>
      </c>
      <c r="D160" s="3221" t="s">
        <v>3167</v>
      </c>
      <c r="E160" s="3222">
        <f t="shared" si="15"/>
        <v>100</v>
      </c>
      <c r="F160" s="3221" t="s">
        <v>3167</v>
      </c>
      <c r="G160" s="3222">
        <f t="shared" si="16"/>
        <v>100</v>
      </c>
      <c r="H160" s="3221" t="s">
        <v>3167</v>
      </c>
      <c r="I160" s="3222">
        <f t="shared" si="17"/>
        <v>100</v>
      </c>
    </row>
    <row r="161" spans="2:9" ht="14.25" thickBot="1">
      <c r="B161" s="3644" t="s">
        <v>3158</v>
      </c>
      <c r="C161" s="3223" t="str">
        <f>C137</f>
        <v>商业类型</v>
      </c>
      <c r="D161" s="3221" t="s">
        <v>3167</v>
      </c>
      <c r="E161" s="3222">
        <f t="shared" si="15"/>
        <v>100</v>
      </c>
      <c r="F161" s="3221" t="s">
        <v>3167</v>
      </c>
      <c r="G161" s="3222">
        <f t="shared" si="16"/>
        <v>100</v>
      </c>
      <c r="H161" s="3221" t="s">
        <v>3167</v>
      </c>
      <c r="I161" s="3222">
        <f t="shared" si="17"/>
        <v>100</v>
      </c>
    </row>
    <row r="162" spans="2:9" ht="14.25" thickBot="1">
      <c r="B162" s="3642"/>
      <c r="C162" s="3223" t="str">
        <f t="shared" ref="C162:C167" si="19">C138</f>
        <v>项目建筑规模</v>
      </c>
      <c r="D162" s="3221" t="s">
        <v>3167</v>
      </c>
      <c r="E162" s="3222">
        <f t="shared" si="15"/>
        <v>95</v>
      </c>
      <c r="F162" s="3221" t="s">
        <v>3167</v>
      </c>
      <c r="G162" s="3222">
        <f t="shared" si="16"/>
        <v>98</v>
      </c>
      <c r="H162" s="3221" t="s">
        <v>3167</v>
      </c>
      <c r="I162" s="3222">
        <f t="shared" si="17"/>
        <v>99</v>
      </c>
    </row>
    <row r="163" spans="2:9" ht="14.25" thickBot="1">
      <c r="B163" s="3642"/>
      <c r="C163" s="3223" t="str">
        <f t="shared" si="19"/>
        <v>建筑结构</v>
      </c>
      <c r="D163" s="3221" t="s">
        <v>3167</v>
      </c>
      <c r="E163" s="3222">
        <f t="shared" si="15"/>
        <v>100</v>
      </c>
      <c r="F163" s="3221" t="s">
        <v>3167</v>
      </c>
      <c r="G163" s="3222">
        <f t="shared" si="16"/>
        <v>100</v>
      </c>
      <c r="H163" s="3221" t="s">
        <v>3167</v>
      </c>
      <c r="I163" s="3222">
        <f t="shared" si="17"/>
        <v>100</v>
      </c>
    </row>
    <row r="164" spans="2:9" ht="14.25" thickBot="1">
      <c r="B164" s="3642"/>
      <c r="C164" s="3223" t="str">
        <f t="shared" si="19"/>
        <v>公共部分装修</v>
      </c>
      <c r="D164" s="3221" t="s">
        <v>3167</v>
      </c>
      <c r="E164" s="3222">
        <f t="shared" si="15"/>
        <v>100</v>
      </c>
      <c r="F164" s="3221" t="s">
        <v>3167</v>
      </c>
      <c r="G164" s="3222">
        <f t="shared" si="16"/>
        <v>100</v>
      </c>
      <c r="H164" s="3221" t="s">
        <v>3167</v>
      </c>
      <c r="I164" s="3222">
        <f t="shared" si="17"/>
        <v>100</v>
      </c>
    </row>
    <row r="165" spans="2:9" ht="14.25" thickBot="1">
      <c r="B165" s="3642"/>
      <c r="C165" s="3223" t="str">
        <f t="shared" si="19"/>
        <v>市政基础设施</v>
      </c>
      <c r="D165" s="3221" t="s">
        <v>3167</v>
      </c>
      <c r="E165" s="3222">
        <f t="shared" si="15"/>
        <v>100</v>
      </c>
      <c r="F165" s="3221" t="s">
        <v>3167</v>
      </c>
      <c r="G165" s="3222">
        <f t="shared" si="16"/>
        <v>100</v>
      </c>
      <c r="H165" s="3221" t="s">
        <v>3167</v>
      </c>
      <c r="I165" s="3222">
        <f t="shared" si="17"/>
        <v>100</v>
      </c>
    </row>
    <row r="166" spans="2:9" ht="14.25" thickBot="1">
      <c r="B166" s="3642"/>
      <c r="C166" s="3223" t="str">
        <f t="shared" si="19"/>
        <v>层高</v>
      </c>
      <c r="D166" s="3221" t="s">
        <v>3167</v>
      </c>
      <c r="E166" s="3222">
        <f t="shared" si="15"/>
        <v>100</v>
      </c>
      <c r="F166" s="3221" t="s">
        <v>3167</v>
      </c>
      <c r="G166" s="3222">
        <f t="shared" si="16"/>
        <v>100</v>
      </c>
      <c r="H166" s="3221" t="s">
        <v>3167</v>
      </c>
      <c r="I166" s="3222">
        <f t="shared" si="17"/>
        <v>100</v>
      </c>
    </row>
    <row r="167" spans="2:9" ht="14.25" thickBot="1">
      <c r="B167" s="3645"/>
      <c r="C167" s="3223" t="str">
        <f t="shared" si="19"/>
        <v>内部装修</v>
      </c>
      <c r="D167" s="3221" t="s">
        <v>3167</v>
      </c>
      <c r="E167" s="3222">
        <f t="shared" si="15"/>
        <v>100</v>
      </c>
      <c r="F167" s="3221" t="s">
        <v>3167</v>
      </c>
      <c r="G167" s="3222">
        <f t="shared" si="16"/>
        <v>100</v>
      </c>
      <c r="H167" s="3221" t="s">
        <v>3167</v>
      </c>
      <c r="I167" s="3222">
        <f t="shared" si="17"/>
        <v>100</v>
      </c>
    </row>
    <row r="168" spans="2:9" ht="24.75" customHeight="1" thickBot="1">
      <c r="B168" s="3632" t="s">
        <v>3185</v>
      </c>
      <c r="C168" s="3633"/>
      <c r="D168" s="3634">
        <f>'不动产比较法-商业'!E47</f>
        <v>33950</v>
      </c>
      <c r="E168" s="3635"/>
      <c r="F168" s="3634">
        <f>'不动产比较法-商业'!G47</f>
        <v>31850</v>
      </c>
      <c r="G168" s="3635"/>
      <c r="H168" s="3634">
        <f>'不动产比较法-商业'!I47</f>
        <v>33250</v>
      </c>
      <c r="I168" s="3635"/>
    </row>
    <row r="169" spans="2:9" ht="24.75" customHeight="1" thickBot="1">
      <c r="B169" s="3632" t="s">
        <v>3186</v>
      </c>
      <c r="C169" s="3633"/>
      <c r="D169" s="3634">
        <f>'不动产比较法-商业'!E48</f>
        <v>33718</v>
      </c>
      <c r="E169" s="3635"/>
      <c r="F169" s="3634">
        <f>'不动产比较法-商业'!G48</f>
        <v>30664</v>
      </c>
      <c r="G169" s="3635"/>
      <c r="H169" s="3634">
        <f>'不动产比较法-商业'!I48</f>
        <v>31987</v>
      </c>
      <c r="I169" s="3635"/>
    </row>
    <row r="170" spans="2:9" ht="24.75" customHeight="1" thickBot="1">
      <c r="B170" s="3632" t="s">
        <v>3187</v>
      </c>
      <c r="C170" s="3633"/>
      <c r="D170" s="3634">
        <f>'不动产比较法-商业'!C49</f>
        <v>32123</v>
      </c>
      <c r="E170" s="3639"/>
      <c r="F170" s="3639"/>
      <c r="G170" s="3639"/>
      <c r="H170" s="3639"/>
      <c r="I170" s="3635"/>
    </row>
  </sheetData>
  <mergeCells count="144">
    <mergeCell ref="B170:C170"/>
    <mergeCell ref="D170:I170"/>
    <mergeCell ref="H168:I168"/>
    <mergeCell ref="B169:C169"/>
    <mergeCell ref="D169:E169"/>
    <mergeCell ref="F169:G169"/>
    <mergeCell ref="H169:I169"/>
    <mergeCell ref="B153:B160"/>
    <mergeCell ref="B161:B167"/>
    <mergeCell ref="B168:C168"/>
    <mergeCell ref="D168:E168"/>
    <mergeCell ref="F168:G168"/>
    <mergeCell ref="B148:C148"/>
    <mergeCell ref="B149:C149"/>
    <mergeCell ref="B150:C150"/>
    <mergeCell ref="B151:C151"/>
    <mergeCell ref="B152:C152"/>
    <mergeCell ref="B146:C147"/>
    <mergeCell ref="D146:E146"/>
    <mergeCell ref="F146:G146"/>
    <mergeCell ref="H146:I146"/>
    <mergeCell ref="D147:E147"/>
    <mergeCell ref="F147:G147"/>
    <mergeCell ref="H147:I147"/>
    <mergeCell ref="B129:B136"/>
    <mergeCell ref="B137:B143"/>
    <mergeCell ref="B124:C124"/>
    <mergeCell ref="B125:C125"/>
    <mergeCell ref="B126:C126"/>
    <mergeCell ref="B127:C127"/>
    <mergeCell ref="B128:C128"/>
    <mergeCell ref="B121:C123"/>
    <mergeCell ref="D121:E121"/>
    <mergeCell ref="F121:G121"/>
    <mergeCell ref="H121:I121"/>
    <mergeCell ref="J121:K121"/>
    <mergeCell ref="E122:E123"/>
    <mergeCell ref="G122:G123"/>
    <mergeCell ref="I122:I123"/>
    <mergeCell ref="K122:K123"/>
    <mergeCell ref="B116:C116"/>
    <mergeCell ref="D116:E116"/>
    <mergeCell ref="F116:G116"/>
    <mergeCell ref="H116:I116"/>
    <mergeCell ref="B117:C117"/>
    <mergeCell ref="D117:I117"/>
    <mergeCell ref="B115:C115"/>
    <mergeCell ref="D115:E115"/>
    <mergeCell ref="F115:G115"/>
    <mergeCell ref="H115:I115"/>
    <mergeCell ref="B105:B114"/>
    <mergeCell ref="B96:C96"/>
    <mergeCell ref="B97:C97"/>
    <mergeCell ref="B98:C98"/>
    <mergeCell ref="B99:C99"/>
    <mergeCell ref="B100:B104"/>
    <mergeCell ref="H93:I93"/>
    <mergeCell ref="D94:E94"/>
    <mergeCell ref="F94:G94"/>
    <mergeCell ref="H94:I94"/>
    <mergeCell ref="B95:C95"/>
    <mergeCell ref="B76:B80"/>
    <mergeCell ref="B81:B90"/>
    <mergeCell ref="B93:C94"/>
    <mergeCell ref="D93:E93"/>
    <mergeCell ref="F93:G93"/>
    <mergeCell ref="J68:K68"/>
    <mergeCell ref="E69:E70"/>
    <mergeCell ref="G69:G70"/>
    <mergeCell ref="I69:I70"/>
    <mergeCell ref="K69:K70"/>
    <mergeCell ref="B68:C70"/>
    <mergeCell ref="D68:E68"/>
    <mergeCell ref="F68:G68"/>
    <mergeCell ref="H68:I68"/>
    <mergeCell ref="H62:I62"/>
    <mergeCell ref="B56:B60"/>
    <mergeCell ref="B61:C61"/>
    <mergeCell ref="D61:E61"/>
    <mergeCell ref="B71:C71"/>
    <mergeCell ref="B72:C72"/>
    <mergeCell ref="B73:C73"/>
    <mergeCell ref="B74:C74"/>
    <mergeCell ref="B75:C75"/>
    <mergeCell ref="F61:G61"/>
    <mergeCell ref="H61:I61"/>
    <mergeCell ref="B44:C44"/>
    <mergeCell ref="B45:C45"/>
    <mergeCell ref="B46:C46"/>
    <mergeCell ref="B22:C22"/>
    <mergeCell ref="B47:C47"/>
    <mergeCell ref="B48:B55"/>
    <mergeCell ref="B62:C62"/>
    <mergeCell ref="D62:E62"/>
    <mergeCell ref="F62:G62"/>
    <mergeCell ref="B42:C42"/>
    <mergeCell ref="D42:E42"/>
    <mergeCell ref="F42:G42"/>
    <mergeCell ref="H42:I42"/>
    <mergeCell ref="B43:C43"/>
    <mergeCell ref="B23:C23"/>
    <mergeCell ref="B24:B31"/>
    <mergeCell ref="B32:B36"/>
    <mergeCell ref="D17:E17"/>
    <mergeCell ref="D18:E18"/>
    <mergeCell ref="B2:E2"/>
    <mergeCell ref="B16:C18"/>
    <mergeCell ref="D16:E16"/>
    <mergeCell ref="F16:G16"/>
    <mergeCell ref="H16:I16"/>
    <mergeCell ref="J16:K16"/>
    <mergeCell ref="B19:C19"/>
    <mergeCell ref="B20:C20"/>
    <mergeCell ref="B21:C21"/>
    <mergeCell ref="F17:G17"/>
    <mergeCell ref="F18:G18"/>
    <mergeCell ref="H17:I17"/>
    <mergeCell ref="H18:I18"/>
    <mergeCell ref="J17:K17"/>
    <mergeCell ref="J18:K18"/>
    <mergeCell ref="R49:S49"/>
    <mergeCell ref="O51:S51"/>
    <mergeCell ref="R59:S59"/>
    <mergeCell ref="R56:S56"/>
    <mergeCell ref="P56:Q56"/>
    <mergeCell ref="O41:S41"/>
    <mergeCell ref="N16:O17"/>
    <mergeCell ref="N18:O18"/>
    <mergeCell ref="N19:O19"/>
    <mergeCell ref="N20:O20"/>
    <mergeCell ref="N21:O21"/>
    <mergeCell ref="N22:N29"/>
    <mergeCell ref="N30:N35"/>
    <mergeCell ref="N70:N77"/>
    <mergeCell ref="N78:N83"/>
    <mergeCell ref="N64:O65"/>
    <mergeCell ref="P64:P65"/>
    <mergeCell ref="Q64:Q65"/>
    <mergeCell ref="R64:R65"/>
    <mergeCell ref="S64:S65"/>
    <mergeCell ref="N66:O66"/>
    <mergeCell ref="N67:O67"/>
    <mergeCell ref="N68:O68"/>
    <mergeCell ref="N69:O69"/>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0" t="s">
        <v>2038</v>
      </c>
      <c r="B1" s="3250"/>
      <c r="C1" s="3250"/>
      <c r="D1" s="3250"/>
      <c r="E1" s="3250"/>
      <c r="F1" s="3250"/>
      <c r="G1" s="3250"/>
      <c r="H1" s="3250"/>
      <c r="I1" s="3250"/>
      <c r="J1" s="3250"/>
      <c r="K1" s="3250"/>
      <c r="L1" s="3250"/>
      <c r="M1" s="3250"/>
      <c r="N1" s="3250"/>
      <c r="O1" s="3250"/>
      <c r="P1" s="3250"/>
      <c r="Q1" s="3250"/>
      <c r="R1" s="3250"/>
    </row>
    <row r="2" spans="1:18">
      <c r="A2" s="1808" t="s">
        <v>2040</v>
      </c>
      <c r="B2" s="1808"/>
      <c r="C2" s="1808"/>
      <c r="D2" s="1808"/>
      <c r="E2" s="1808"/>
      <c r="F2" s="1808"/>
      <c r="G2" s="1808"/>
      <c r="H2" s="1808"/>
      <c r="I2" s="1809"/>
      <c r="J2" s="1809"/>
      <c r="K2" s="1810" t="str">
        <f>"估价期日："&amp;TEXT(项目基本情况!D3,"yyyy年m月d日;;")</f>
        <v>估价期日：2018年5月24日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51" t="s">
        <v>2029</v>
      </c>
      <c r="B3" s="3251" t="s">
        <v>2731</v>
      </c>
      <c r="C3" s="3252" t="s">
        <v>2030</v>
      </c>
      <c r="D3" s="3251" t="s">
        <v>2735</v>
      </c>
      <c r="E3" s="3254" t="s">
        <v>2031</v>
      </c>
      <c r="F3" s="3254"/>
      <c r="G3" s="3254"/>
      <c r="H3" s="3254" t="s">
        <v>2032</v>
      </c>
      <c r="I3" s="3254"/>
      <c r="J3" s="3254"/>
      <c r="K3" s="3252" t="s">
        <v>2033</v>
      </c>
      <c r="L3" s="3252" t="s">
        <v>2034</v>
      </c>
      <c r="M3" s="3251" t="s">
        <v>2732</v>
      </c>
      <c r="N3" s="3253" t="str">
        <f>"（分摊）"&amp;项目基本情况!B16&amp;"国有建设用地使用权面积/㎡"</f>
        <v>（分摊）出让国有建设用地使用权面积/㎡</v>
      </c>
      <c r="O3" s="3251" t="s">
        <v>2063</v>
      </c>
      <c r="P3" s="3252" t="s">
        <v>2043</v>
      </c>
      <c r="Q3" s="3252" t="s">
        <v>2064</v>
      </c>
      <c r="R3" s="3252" t="s">
        <v>2035</v>
      </c>
    </row>
    <row r="4" spans="1:18" ht="36.75" customHeight="1">
      <c r="A4" s="3251"/>
      <c r="B4" s="3251"/>
      <c r="C4" s="3252"/>
      <c r="D4" s="3251"/>
      <c r="E4" s="2673" t="s">
        <v>2042</v>
      </c>
      <c r="F4" s="2673" t="s">
        <v>2744</v>
      </c>
      <c r="G4" s="2673" t="s">
        <v>2036</v>
      </c>
      <c r="H4" s="2673" t="s">
        <v>2037</v>
      </c>
      <c r="I4" s="2673" t="s">
        <v>2745</v>
      </c>
      <c r="J4" s="2673" t="s">
        <v>2036</v>
      </c>
      <c r="K4" s="3252"/>
      <c r="L4" s="3252"/>
      <c r="M4" s="3251"/>
      <c r="N4" s="3253"/>
      <c r="O4" s="3251"/>
      <c r="P4" s="3252"/>
      <c r="Q4" s="3252"/>
      <c r="R4" s="3252"/>
    </row>
    <row r="5" spans="1:18" ht="135" customHeight="1">
      <c r="A5" s="1943" t="s">
        <v>2655</v>
      </c>
      <c r="B5" s="2891" t="s">
        <v>2653</v>
      </c>
      <c r="C5" s="2672">
        <v>22</v>
      </c>
      <c r="D5" s="2671" t="s">
        <v>2654</v>
      </c>
      <c r="E5" s="1811" t="str">
        <f>项目基本情况!B12</f>
        <v>住宅</v>
      </c>
      <c r="F5" s="2671">
        <v>258</v>
      </c>
      <c r="G5" s="1811" t="str">
        <f>项目基本情况!B13</f>
        <v>住宅、商业、地下车库</v>
      </c>
      <c r="H5" s="2671">
        <v>1.5</v>
      </c>
      <c r="I5" s="2671">
        <v>1.5</v>
      </c>
      <c r="J5" s="2671">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住宅55.5年、商业25.5年</v>
      </c>
      <c r="N5" s="1811">
        <f>项目基本情况!C22</f>
        <v>15168.4</v>
      </c>
      <c r="O5" s="1811">
        <f>项目基本情况!C21</f>
        <v>67516.63</v>
      </c>
      <c r="P5" s="1811">
        <f ca="1">结果表!E42</f>
        <v>42960</v>
      </c>
      <c r="Q5" s="1811">
        <f ca="1">结果表!D42</f>
        <v>9652</v>
      </c>
      <c r="R5" s="1812">
        <f ca="1">结果表!C42</f>
        <v>65164</v>
      </c>
    </row>
    <row r="6" spans="1:18">
      <c r="A6" s="3247" t="str">
        <f>IF(项目基本情况!B9="市场价格","——","抵押价格")</f>
        <v>——</v>
      </c>
      <c r="B6" s="3248"/>
      <c r="C6" s="3248"/>
      <c r="D6" s="3248"/>
      <c r="E6" s="3248"/>
      <c r="F6" s="3248"/>
      <c r="G6" s="3248"/>
      <c r="H6" s="3248"/>
      <c r="I6" s="3248"/>
      <c r="J6" s="3248"/>
      <c r="K6" s="3248"/>
      <c r="L6" s="3248"/>
      <c r="M6" s="3248"/>
      <c r="N6" s="3248"/>
      <c r="O6" s="3248"/>
      <c r="P6" s="3248"/>
      <c r="Q6" s="3249"/>
      <c r="R6" s="1813" t="str">
        <f>结果表!O39</f>
        <v>——</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813" t="str">
        <f>结果表!O40</f>
        <v>——</v>
      </c>
    </row>
    <row r="8" spans="1:18">
      <c r="A8" s="3247" t="str">
        <f>IF(项目基本情况!B9="市场价格","——",项目基本情况!E9)</f>
        <v>——</v>
      </c>
      <c r="B8" s="3248"/>
      <c r="C8" s="3248"/>
      <c r="D8" s="3248"/>
      <c r="E8" s="3248"/>
      <c r="F8" s="3248"/>
      <c r="G8" s="3248"/>
      <c r="H8" s="3248"/>
      <c r="I8" s="3248"/>
      <c r="J8" s="3248"/>
      <c r="K8" s="3248"/>
      <c r="L8" s="3248"/>
      <c r="M8" s="3248"/>
      <c r="N8" s="3248"/>
      <c r="O8" s="3248"/>
      <c r="P8" s="3248"/>
      <c r="Q8" s="3249"/>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55" t="s">
        <v>2065</v>
      </c>
      <c r="B1" s="3255"/>
      <c r="C1" s="3255"/>
      <c r="D1" s="3255"/>
    </row>
    <row r="2" spans="1:4" ht="47.25" customHeight="1">
      <c r="A2" s="3259" t="str">
        <f>"1.权利限制："&amp;项目基本情况!L24&amp;"未设定租赁等其他他项权利。"</f>
        <v>1.权利限制：根据估价对象《国有土地使用证》复印件，截至估价期日，估价对象已设定抵押。未设定租赁等其他他项权利。</v>
      </c>
      <c r="B2" s="3259"/>
      <c r="C2" s="3259"/>
      <c r="D2" s="3259"/>
    </row>
    <row r="3" spans="1:4" ht="48" customHeight="1">
      <c r="A3" s="325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5"/>
      <c r="C3" s="3255"/>
      <c r="D3" s="3255"/>
    </row>
    <row r="4" spans="1:4" ht="36.75" customHeight="1">
      <c r="A4" s="3255" t="str">
        <f>"3.估价规划限制条件：详见"&amp;项目基本情况!E21&amp;"。"</f>
        <v>3.估价规划限制条件：详见《建设工程规划许可证》[[2014]汕规建字第015号]。</v>
      </c>
      <c r="B4" s="3255"/>
      <c r="C4" s="3255"/>
      <c r="D4" s="3255"/>
    </row>
    <row r="5" spans="1:4">
      <c r="A5" s="3258" t="s">
        <v>2066</v>
      </c>
      <c r="B5" s="3258"/>
      <c r="C5" s="3258"/>
      <c r="D5" s="3258"/>
    </row>
    <row r="6" spans="1:4">
      <c r="A6" s="3255" t="s">
        <v>2044</v>
      </c>
      <c r="B6" s="3255"/>
      <c r="C6" s="3255"/>
      <c r="D6" s="3255"/>
    </row>
    <row r="7" spans="1:4" ht="33" customHeight="1">
      <c r="A7" s="3255" t="s">
        <v>2575</v>
      </c>
      <c r="B7" s="3255"/>
      <c r="C7" s="3255"/>
      <c r="D7" s="3255"/>
    </row>
    <row r="8" spans="1:4" ht="32.25" customHeight="1">
      <c r="A8" s="32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5"/>
      <c r="C8" s="3255"/>
      <c r="D8" s="3255"/>
    </row>
    <row r="9" spans="1:4" ht="33.75" customHeight="1">
      <c r="A9" s="3255" t="str">
        <f>IF(项目基本情况!B8="抵押","3.抵押双方在办理抵押登记手续时，应使用本公司出具的正式《土地估价报告》，特提请报告使用者注意。","——")</f>
        <v>——</v>
      </c>
      <c r="B9" s="3255"/>
      <c r="C9" s="3255"/>
      <c r="D9" s="3255"/>
    </row>
    <row r="10" spans="1:4">
      <c r="A10" s="3255" t="str">
        <f>IF(项目基本情况!B8="抵押","4.估价师所知悉的法定优先受偿款情况为：","——")</f>
        <v>——</v>
      </c>
      <c r="B10" s="3255"/>
      <c r="C10" s="3255"/>
      <c r="D10" s="3255"/>
    </row>
    <row r="11" spans="1:4" ht="37.5" customHeight="1">
      <c r="A11" s="3257" t="str">
        <f>IF(项目基本情况!B8="抵押","（1）"&amp;CONCATENATE(项目基本情况!L24,项目基本情况!L25,项目基本情况!L26),"——")</f>
        <v>——</v>
      </c>
      <c r="B11" s="3257"/>
      <c r="C11" s="3257"/>
      <c r="D11" s="3257"/>
    </row>
    <row r="12" spans="1:4" ht="168" customHeight="1">
      <c r="A12" s="3258" t="s">
        <v>2068</v>
      </c>
      <c r="B12" s="3258"/>
      <c r="C12" s="3258"/>
      <c r="D12" s="3258"/>
    </row>
    <row r="13" spans="1:4">
      <c r="A13" s="3256" t="s">
        <v>2746</v>
      </c>
      <c r="B13" s="3256"/>
      <c r="C13" s="3256"/>
      <c r="D13" s="3256"/>
    </row>
    <row r="14" spans="1:4">
      <c r="A14" s="3257" t="str">
        <f>IF(项目基本情况!B8="抵押","综上，"&amp;结果表!K47,"——")</f>
        <v>——</v>
      </c>
      <c r="B14" s="3257"/>
      <c r="C14" s="3257"/>
      <c r="D14" s="3257"/>
    </row>
    <row r="15" spans="1:4" ht="58.5" customHeight="1">
      <c r="A15" s="32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5"/>
      <c r="C15" s="3255"/>
      <c r="D15" s="3255"/>
    </row>
    <row r="16" spans="1:4" ht="70.5" customHeight="1">
      <c r="A16" s="32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5"/>
      <c r="C16" s="3255"/>
      <c r="D16" s="3255"/>
    </row>
    <row r="17" spans="1:4">
      <c r="A17" s="3255" t="s">
        <v>2702</v>
      </c>
      <c r="B17" s="3255"/>
      <c r="C17" s="3255"/>
      <c r="D17" s="3255"/>
    </row>
    <row r="18" spans="1:4">
      <c r="A18" s="3255" t="s">
        <v>2694</v>
      </c>
      <c r="B18" s="3255"/>
      <c r="C18" s="3255"/>
      <c r="D18" s="3255"/>
    </row>
    <row r="19" spans="1:4">
      <c r="A19" s="2892" t="s">
        <v>2695</v>
      </c>
      <c r="B19" s="2892" t="s">
        <v>2696</v>
      </c>
      <c r="C19" s="2892" t="s">
        <v>2697</v>
      </c>
      <c r="D19" s="2892" t="s">
        <v>2698</v>
      </c>
    </row>
    <row r="20" spans="1:4">
      <c r="A20" s="2892" t="str">
        <f>项目基本情况!B4</f>
        <v>梁津</v>
      </c>
      <c r="B20" s="2892">
        <f ca="1">项目基本情况!C4</f>
        <v>96010014</v>
      </c>
      <c r="C20" s="2894"/>
      <c r="D20" s="1801" t="s">
        <v>2703</v>
      </c>
    </row>
    <row r="21" spans="1:4">
      <c r="A21" s="2892" t="str">
        <f>项目基本情况!D4</f>
        <v>王鹏</v>
      </c>
      <c r="B21" s="2892">
        <f ca="1">项目基本情况!E4</f>
        <v>2002110030</v>
      </c>
      <c r="C21" s="2894"/>
      <c r="D21" s="1801" t="s">
        <v>2704</v>
      </c>
    </row>
    <row r="23" spans="1:4">
      <c r="A23" s="3255" t="s">
        <v>2699</v>
      </c>
      <c r="B23" s="3255"/>
      <c r="C23" s="3255"/>
      <c r="D23" s="3255"/>
    </row>
    <row r="24" spans="1:4">
      <c r="A24" s="2892" t="s">
        <v>2695</v>
      </c>
      <c r="B24" s="2892" t="s">
        <v>2700</v>
      </c>
      <c r="C24" s="2892" t="s">
        <v>2697</v>
      </c>
      <c r="D24" s="2892" t="s">
        <v>2698</v>
      </c>
    </row>
    <row r="25" spans="1:4">
      <c r="A25" s="2895" t="s">
        <v>2701</v>
      </c>
      <c r="B25" s="2892" t="s">
        <v>952</v>
      </c>
      <c r="C25" s="2894"/>
      <c r="D25" s="1801" t="s">
        <v>2704</v>
      </c>
    </row>
    <row r="29" spans="1:4">
      <c r="D29" s="2893" t="s">
        <v>2039</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67" t="s">
        <v>53</v>
      </c>
      <c r="B15" s="3268" t="s">
        <v>846</v>
      </c>
      <c r="C15" s="3264"/>
    </row>
    <row r="16" spans="1:7" ht="14.25">
      <c r="A16" s="3267"/>
      <c r="B16" s="3265" t="s">
        <v>54</v>
      </c>
      <c r="C16" s="1172" t="s">
        <v>53</v>
      </c>
    </row>
    <row r="17" spans="1:3" ht="14.25">
      <c r="A17" s="3267"/>
      <c r="B17" s="3265"/>
      <c r="C17" s="1172" t="s">
        <v>55</v>
      </c>
    </row>
    <row r="18" spans="1:3" ht="14.25">
      <c r="A18" s="3267"/>
      <c r="B18" s="3265"/>
      <c r="C18" s="1172" t="s">
        <v>56</v>
      </c>
    </row>
    <row r="19" spans="1:3" ht="14.25">
      <c r="A19" s="3267"/>
      <c r="B19" s="3263" t="s">
        <v>57</v>
      </c>
      <c r="C19" s="3264"/>
    </row>
    <row r="20" spans="1:3" ht="14.25">
      <c r="A20" s="1173" t="s">
        <v>58</v>
      </c>
      <c r="B20" s="1174"/>
      <c r="C20" s="1175"/>
    </row>
    <row r="21" spans="1:3" ht="14.25">
      <c r="A21" s="3266" t="s">
        <v>59</v>
      </c>
      <c r="B21" s="3263" t="s">
        <v>60</v>
      </c>
      <c r="C21" s="3264"/>
    </row>
    <row r="22" spans="1:3" ht="14.25">
      <c r="A22" s="3266"/>
      <c r="B22" s="3263" t="s">
        <v>61</v>
      </c>
      <c r="C22" s="3264"/>
    </row>
    <row r="23" spans="1:3" ht="14.25">
      <c r="A23" s="3266"/>
      <c r="B23" s="3263" t="s">
        <v>62</v>
      </c>
      <c r="C23" s="3264"/>
    </row>
    <row r="24" spans="1:3" ht="14.25">
      <c r="A24" s="3266"/>
      <c r="B24" s="3269" t="s">
        <v>63</v>
      </c>
      <c r="C24" s="1176" t="s">
        <v>837</v>
      </c>
    </row>
    <row r="25" spans="1:3" ht="14.25">
      <c r="A25" s="3266"/>
      <c r="B25" s="3270"/>
      <c r="C25" s="1176" t="s">
        <v>838</v>
      </c>
    </row>
    <row r="26" spans="1:3" ht="14.25">
      <c r="A26" s="3266"/>
      <c r="B26" s="3270"/>
      <c r="C26" s="1176" t="s">
        <v>839</v>
      </c>
    </row>
    <row r="27" spans="1:3" ht="14.25">
      <c r="A27" s="3266"/>
      <c r="B27" s="3270"/>
      <c r="C27" s="1176" t="s">
        <v>840</v>
      </c>
    </row>
    <row r="28" spans="1:3" ht="14.25">
      <c r="A28" s="3266"/>
      <c r="B28" s="3270"/>
      <c r="C28" s="1176" t="s">
        <v>841</v>
      </c>
    </row>
    <row r="29" spans="1:3" ht="14.25">
      <c r="A29" s="3266"/>
      <c r="B29" s="3270"/>
      <c r="C29" s="1176" t="s">
        <v>842</v>
      </c>
    </row>
    <row r="30" spans="1:3" ht="14.25">
      <c r="A30" s="3266"/>
      <c r="B30" s="3270"/>
      <c r="C30" s="1176" t="s">
        <v>843</v>
      </c>
    </row>
    <row r="31" spans="1:3" ht="14.25">
      <c r="A31" s="3266"/>
      <c r="B31" s="3270"/>
      <c r="C31" s="1176" t="s">
        <v>844</v>
      </c>
    </row>
    <row r="32" spans="1:3" ht="14.25">
      <c r="A32" s="3266"/>
      <c r="B32" s="3270"/>
      <c r="C32" s="1176" t="s">
        <v>1647</v>
      </c>
    </row>
    <row r="33" spans="1:3" ht="14.25">
      <c r="A33" s="3266"/>
      <c r="B33" s="3260" t="s">
        <v>1653</v>
      </c>
      <c r="C33" s="1176" t="s">
        <v>1648</v>
      </c>
    </row>
    <row r="34" spans="1:3" ht="14.25">
      <c r="A34" s="3266"/>
      <c r="B34" s="3261"/>
      <c r="C34" s="1181" t="s">
        <v>1649</v>
      </c>
    </row>
    <row r="35" spans="1:3" ht="14.25">
      <c r="A35" s="3266"/>
      <c r="B35" s="3261"/>
      <c r="C35" s="1182" t="s">
        <v>1650</v>
      </c>
    </row>
    <row r="36" spans="1:3" ht="14.25">
      <c r="A36" s="3266"/>
      <c r="B36" s="3261"/>
      <c r="C36" s="1182" t="s">
        <v>1651</v>
      </c>
    </row>
    <row r="37" spans="1:3" ht="14.25">
      <c r="A37" s="3266"/>
      <c r="B37" s="326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8">
        <f ca="1">TODAY()</f>
        <v>43270</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t="s">
        <v>2977</v>
      </c>
      <c r="B12" s="2343">
        <v>1120110054</v>
      </c>
      <c r="C12" s="3030">
        <v>43937</v>
      </c>
      <c r="D12" s="2343" t="s">
        <v>2977</v>
      </c>
      <c r="E12" s="2343">
        <v>2008110060</v>
      </c>
      <c r="F12" s="3031">
        <v>47177</v>
      </c>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2574</v>
      </c>
      <c r="B15" s="2343">
        <v>1120070085</v>
      </c>
      <c r="C15" s="3030">
        <v>43814</v>
      </c>
      <c r="D15" s="2343" t="s">
        <v>2574</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71" t="s">
        <v>1929</v>
      </c>
      <c r="B25" s="3271"/>
      <c r="C25" s="3271"/>
      <c r="D25" s="3271"/>
      <c r="E25" s="3271"/>
      <c r="F25" s="3271"/>
      <c r="G25" s="3271"/>
    </row>
    <row r="26" spans="1:7" ht="20.25" customHeight="1">
      <c r="A26" s="3272" t="s">
        <v>1930</v>
      </c>
      <c r="B26" s="3272"/>
      <c r="C26" s="3272"/>
      <c r="D26" s="3272" t="s">
        <v>1931</v>
      </c>
      <c r="E26" s="3272"/>
      <c r="F26" s="3272"/>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4" priority="82">
      <formula>AND($C24-TODAY()&lt;30,TODAY()&lt;$C24)</formula>
    </cfRule>
  </conditionalFormatting>
  <conditionalFormatting sqref="C28">
    <cfRule type="expression" dxfId="183" priority="81">
      <formula>AND($C28-TODAY()&lt;30,TODAY()&lt;$C28)</formula>
    </cfRule>
  </conditionalFormatting>
  <conditionalFormatting sqref="C28 F4">
    <cfRule type="cellIs" dxfId="182" priority="83" stopIfTrue="1" operator="lessThan">
      <formula>$B$2</formula>
    </cfRule>
  </conditionalFormatting>
  <conditionalFormatting sqref="F5">
    <cfRule type="cellIs" dxfId="181" priority="79" stopIfTrue="1" operator="lessThan">
      <formula>$B$2</formula>
    </cfRule>
  </conditionalFormatting>
  <conditionalFormatting sqref="F6 F8 F10">
    <cfRule type="cellIs" dxfId="180" priority="77" stopIfTrue="1" operator="lessThan">
      <formula>$B$2</formula>
    </cfRule>
  </conditionalFormatting>
  <conditionalFormatting sqref="C24:D24">
    <cfRule type="expression" dxfId="179" priority="75">
      <formula>AND($C24-TODAY()&lt;30,TODAY()&lt;$C24)</formula>
    </cfRule>
  </conditionalFormatting>
  <conditionalFormatting sqref="F7 F9 F11 C24:D24">
    <cfRule type="cellIs" dxfId="178" priority="76" stopIfTrue="1" operator="lessThan">
      <formula>$B$2</formula>
    </cfRule>
  </conditionalFormatting>
  <conditionalFormatting sqref="F16">
    <cfRule type="cellIs" dxfId="177" priority="49" stopIfTrue="1" operator="lessThan">
      <formula>$B$2</formula>
    </cfRule>
  </conditionalFormatting>
  <conditionalFormatting sqref="F18">
    <cfRule type="cellIs" dxfId="176" priority="48" stopIfTrue="1" operator="lessThan">
      <formula>$B$2</formula>
    </cfRule>
  </conditionalFormatting>
  <conditionalFormatting sqref="F22">
    <cfRule type="cellIs" dxfId="175" priority="47" stopIfTrue="1" operator="lessThan">
      <formula>$B$2</formula>
    </cfRule>
  </conditionalFormatting>
  <conditionalFormatting sqref="F21">
    <cfRule type="cellIs" dxfId="174" priority="46" stopIfTrue="1" operator="lessThan">
      <formula>$B$2</formula>
    </cfRule>
  </conditionalFormatting>
  <conditionalFormatting sqref="F17">
    <cfRule type="cellIs" dxfId="173" priority="45" stopIfTrue="1" operator="lessThan">
      <formula>$B$2</formula>
    </cfRule>
  </conditionalFormatting>
  <conditionalFormatting sqref="B4:B11 E4:E11 E16:E23 B16:B23 B13:B14 E13:E14">
    <cfRule type="cellIs" dxfId="172" priority="44" stopIfTrue="1" operator="equal">
      <formula>"已过期"</formula>
    </cfRule>
  </conditionalFormatting>
  <conditionalFormatting sqref="F28">
    <cfRule type="cellIs" dxfId="171" priority="41" stopIfTrue="1" operator="lessThan">
      <formula>$B$2</formula>
    </cfRule>
  </conditionalFormatting>
  <conditionalFormatting sqref="F29">
    <cfRule type="cellIs" dxfId="170" priority="39" stopIfTrue="1" operator="lessThan">
      <formula>$B$2</formula>
    </cfRule>
  </conditionalFormatting>
  <conditionalFormatting sqref="F28">
    <cfRule type="expression" dxfId="169" priority="85">
      <formula>AND($E28-TODAY()&lt;30,TODAY()&lt;$E28)</formula>
    </cfRule>
  </conditionalFormatting>
  <conditionalFormatting sqref="F29">
    <cfRule type="expression" dxfId="168" priority="86" stopIfTrue="1">
      <formula>AND($E29-TODAY()&lt;30,TODAY()&lt;$E29)</formula>
    </cfRule>
  </conditionalFormatting>
  <conditionalFormatting sqref="C5">
    <cfRule type="expression" dxfId="167" priority="36">
      <formula>AND($C5-TODAY()&lt;30,TODAY()&lt;$C5)</formula>
    </cfRule>
  </conditionalFormatting>
  <conditionalFormatting sqref="C5">
    <cfRule type="cellIs" dxfId="166" priority="37" stopIfTrue="1" operator="lessThan">
      <formula>$B$2</formula>
    </cfRule>
  </conditionalFormatting>
  <conditionalFormatting sqref="C4:C6">
    <cfRule type="expression" dxfId="165" priority="34">
      <formula>AND($C4-TODAY()&lt;30,TODAY()&lt;$C4)</formula>
    </cfRule>
  </conditionalFormatting>
  <conditionalFormatting sqref="C4:C6">
    <cfRule type="cellIs" dxfId="164" priority="35" stopIfTrue="1" operator="lessThan">
      <formula>$B$2</formula>
    </cfRule>
  </conditionalFormatting>
  <conditionalFormatting sqref="C8:C9">
    <cfRule type="expression" dxfId="163" priority="32">
      <formula>AND($C8-TODAY()&lt;30,TODAY()&lt;$C8)</formula>
    </cfRule>
  </conditionalFormatting>
  <conditionalFormatting sqref="C8:C9">
    <cfRule type="cellIs" dxfId="162" priority="33" stopIfTrue="1" operator="lessThan">
      <formula>$B$2</formula>
    </cfRule>
  </conditionalFormatting>
  <conditionalFormatting sqref="B15 E15">
    <cfRule type="cellIs" dxfId="161" priority="20" stopIfTrue="1" operator="equal">
      <formula>"已过期"</formula>
    </cfRule>
  </conditionalFormatting>
  <conditionalFormatting sqref="F15">
    <cfRule type="cellIs" dxfId="160" priority="17" stopIfTrue="1" operator="lessThan">
      <formula>$B$2</formula>
    </cfRule>
  </conditionalFormatting>
  <conditionalFormatting sqref="C7">
    <cfRule type="expression" dxfId="159" priority="15">
      <formula>AND($C7-TODAY()&lt;30,TODAY()&lt;$C7)</formula>
    </cfRule>
  </conditionalFormatting>
  <conditionalFormatting sqref="C7">
    <cfRule type="cellIs" dxfId="158" priority="16" stopIfTrue="1" operator="lessThan">
      <formula>$B$2</formula>
    </cfRule>
  </conditionalFormatting>
  <conditionalFormatting sqref="C10:C11 C13:C23">
    <cfRule type="expression" dxfId="157" priority="13">
      <formula>AND($C10-TODAY()&lt;30,TODAY()&lt;$C10)</formula>
    </cfRule>
  </conditionalFormatting>
  <conditionalFormatting sqref="C10:C11 C13:C23">
    <cfRule type="cellIs" dxfId="156" priority="14" stopIfTrue="1" operator="lessThan">
      <formula>$B$2</formula>
    </cfRule>
  </conditionalFormatting>
  <conditionalFormatting sqref="F13">
    <cfRule type="cellIs" dxfId="155" priority="12" stopIfTrue="1" operator="lessThan">
      <formula>$B$2</formula>
    </cfRule>
  </conditionalFormatting>
  <conditionalFormatting sqref="F12">
    <cfRule type="cellIs" dxfId="154" priority="4" stopIfTrue="1" operator="lessThan">
      <formula>$B$2</formula>
    </cfRule>
  </conditionalFormatting>
  <conditionalFormatting sqref="B12 E12">
    <cfRule type="cellIs" dxfId="153" priority="3" stopIfTrue="1" operator="equal">
      <formula>"已过期"</formula>
    </cfRule>
  </conditionalFormatting>
  <conditionalFormatting sqref="C12">
    <cfRule type="expression" dxfId="152" priority="1">
      <formula>AND($C12-TODAY()&lt;30,TODAY()&lt;$C12)</formula>
    </cfRule>
  </conditionalFormatting>
  <conditionalFormatting sqref="C1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2545</v>
      </c>
      <c r="R1" s="2606"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0" t="s">
        <v>2954</v>
      </c>
      <c r="C18" s="1555"/>
    </row>
    <row r="19" spans="1:3">
      <c r="A19" s="8" t="s">
        <v>120</v>
      </c>
      <c r="B19" s="3140" t="s">
        <v>2962</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东锦峰地产投资有限公司拟使用广东省汕头市龙湖区海湾公园片区（335-00-02-096）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73"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55.5年、商业25.5年的出让国有建设用地使用权价格。</v>
      </c>
      <c r="D53" s="1768"/>
      <c r="E53" s="1768"/>
    </row>
    <row r="54" spans="1:5">
      <c r="A54" s="3273"/>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73"/>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73"/>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73"/>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2018-06-19T01:39:45Z</dcterms:modified>
</cp:coreProperties>
</file>