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E:\2025-1-0504-P01-北京银行李思伟永安路20号1302\P01DYGJ2\过程\"/>
    </mc:Choice>
  </mc:AlternateContent>
  <xr:revisionPtr revIDLastSave="0" documentId="13_ncr:1_{C1EED388-85D3-4573-A519-44061C4BA029}" xr6:coauthVersionLast="47" xr6:coauthVersionMax="47" xr10:uidLastSave="{00000000-0000-0000-0000-000000000000}"/>
  <bookViews>
    <workbookView xWindow="-120" yWindow="-120" windowWidth="29040" windowHeight="1752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比较法-办公" sheetId="34" r:id="rId21"/>
    <sheet name="办公案例" sheetId="81" r:id="rId22"/>
    <sheet name="公寓租金" sheetId="82"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元)" sheetId="69" state="hidden" r:id="rId35"/>
    <sheet name="基准地价修正" sheetId="43"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4" i="34" l="1"/>
  <c r="F19" i="6"/>
  <c r="D33" i="43"/>
  <c r="AB33" i="79"/>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B26" i="31" l="1"/>
  <c r="B27" i="31"/>
  <c r="B28" i="31"/>
  <c r="B29" i="31"/>
  <c r="B31" i="31"/>
  <c r="B32" i="31"/>
  <c r="B33" i="31"/>
  <c r="B34" i="31"/>
  <c r="B35" i="31"/>
  <c r="B25" i="31"/>
  <c r="C18" i="31"/>
  <c r="D17" i="31"/>
  <c r="E17" i="31"/>
  <c r="C17" i="31"/>
  <c r="D4" i="31"/>
  <c r="E4" i="31"/>
  <c r="F4" i="31"/>
  <c r="G4" i="31"/>
  <c r="C4" i="31"/>
  <c r="D3" i="31"/>
  <c r="E3" i="31"/>
  <c r="F3" i="31"/>
  <c r="G3" i="31"/>
  <c r="C3" i="31"/>
  <c r="B24" i="31"/>
  <c r="D67" i="34"/>
  <c r="E67" i="34" s="1"/>
  <c r="F67" i="34" s="1"/>
  <c r="J52" i="67"/>
  <c r="J49" i="67"/>
  <c r="N19" i="1"/>
  <c r="N6" i="1" s="1"/>
  <c r="Y6" i="1" s="1"/>
  <c r="C60" i="78"/>
  <c r="D60" i="78" s="1"/>
  <c r="D53" i="78"/>
  <c r="D52" i="78"/>
  <c r="B51" i="78"/>
  <c r="B56" i="78" s="1"/>
  <c r="B55" i="78" l="1"/>
  <c r="D55" i="78" s="1"/>
  <c r="D51" i="78"/>
  <c r="C51" i="78"/>
  <c r="C56" i="78" s="1"/>
  <c r="C58" i="78" s="1"/>
  <c r="B62" i="78"/>
  <c r="B54" i="78"/>
  <c r="D54" i="78" s="1"/>
  <c r="D56" i="78" s="1"/>
  <c r="D58" i="78" l="1"/>
  <c r="D62" i="78" s="1"/>
  <c r="C62" i="78" s="1"/>
  <c r="G14" i="73" l="1"/>
  <c r="F14" i="73"/>
  <c r="E14" i="73"/>
  <c r="AB36" i="79" l="1"/>
  <c r="AA36" i="79"/>
  <c r="Z36" i="79"/>
  <c r="N36" i="79"/>
  <c r="M36" i="79"/>
  <c r="P36" i="79" s="1"/>
  <c r="L36" i="79"/>
  <c r="I36" i="79"/>
  <c r="AD36" i="79" s="1"/>
  <c r="AC8" i="79"/>
  <c r="AB8" i="79"/>
  <c r="AA8" i="79"/>
  <c r="AD8" i="79" s="1"/>
  <c r="Z8" i="79"/>
  <c r="Y8" i="79"/>
  <c r="O8" i="79"/>
  <c r="N8" i="79"/>
  <c r="M8" i="79"/>
  <c r="P8" i="79" s="1"/>
  <c r="L8" i="79"/>
  <c r="K8" i="79"/>
  <c r="I8" i="79"/>
  <c r="AC9" i="79"/>
  <c r="AB9" i="79"/>
  <c r="AA9" i="79"/>
  <c r="AD9" i="79" s="1"/>
  <c r="Z9" i="79"/>
  <c r="Y9" i="79"/>
  <c r="O9" i="79"/>
  <c r="N9" i="79"/>
  <c r="M9" i="79"/>
  <c r="L9" i="79"/>
  <c r="K9" i="79"/>
  <c r="I9" i="79"/>
  <c r="AB37" i="79"/>
  <c r="AA37" i="79"/>
  <c r="Z37" i="79"/>
  <c r="N37" i="79"/>
  <c r="M37" i="79"/>
  <c r="L37" i="79"/>
  <c r="I37" i="79"/>
  <c r="P37" i="79" l="1"/>
  <c r="P9"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S34" i="79"/>
  <c r="S35" i="79"/>
  <c r="T22" i="79"/>
  <c r="W22" i="79" s="1"/>
  <c r="T33" i="79"/>
  <c r="W33" i="79" s="1"/>
  <c r="T34" i="79"/>
  <c r="W34" i="79" s="1"/>
  <c r="T35" i="79"/>
  <c r="W35" i="79" s="1"/>
  <c r="U34" i="79"/>
  <c r="U35" i="79"/>
  <c r="U33" i="79"/>
  <c r="S20" i="79"/>
  <c r="T7" i="79"/>
  <c r="W7" i="79" s="1"/>
  <c r="T5" i="79"/>
  <c r="W5" i="79" s="1"/>
  <c r="T6" i="79"/>
  <c r="W6" i="79" s="1"/>
  <c r="R7" i="79"/>
  <c r="R5" i="79"/>
  <c r="R6" i="79"/>
  <c r="S7" i="79"/>
  <c r="S5" i="79"/>
  <c r="S6" i="79"/>
  <c r="U5" i="79"/>
  <c r="U6" i="79"/>
  <c r="U7" i="79"/>
  <c r="V6" i="79"/>
  <c r="V5" i="79"/>
  <c r="V7" i="79"/>
  <c r="AD38" i="79"/>
  <c r="AD37" i="79"/>
  <c r="Z3" i="79"/>
  <c r="AA31" i="79"/>
  <c r="AD31" i="79" s="1"/>
  <c r="T40" i="79"/>
  <c r="W40" i="79" s="1"/>
  <c r="U46" i="79"/>
  <c r="AD47" i="79"/>
  <c r="S48" i="79"/>
  <c r="U50" i="79"/>
  <c r="AD51" i="79"/>
  <c r="N31" i="79"/>
  <c r="S38" i="79"/>
  <c r="S37" i="79"/>
  <c r="S36" i="79"/>
  <c r="M31" i="79"/>
  <c r="P31" i="79" s="1"/>
  <c r="T36" i="79"/>
  <c r="W36" i="79" s="1"/>
  <c r="T37" i="79"/>
  <c r="W37" i="79" s="1"/>
  <c r="U37" i="79"/>
  <c r="U36" i="79"/>
  <c r="R18" i="79"/>
  <c r="T20" i="79"/>
  <c r="W20" i="79" s="1"/>
  <c r="T9" i="79"/>
  <c r="W9" i="79" s="1"/>
  <c r="T8" i="79"/>
  <c r="W8" i="79" s="1"/>
  <c r="V18" i="79"/>
  <c r="U22" i="79"/>
  <c r="U9" i="79"/>
  <c r="U8" i="79"/>
  <c r="S9" i="79"/>
  <c r="S8" i="79"/>
  <c r="S19" i="79"/>
  <c r="R9" i="79"/>
  <c r="R8" i="79"/>
  <c r="V9" i="79"/>
  <c r="V8" i="79"/>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W39" i="79" s="1"/>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F21" i="71" s="1"/>
  <c r="F20" i="71" s="1"/>
  <c r="F19" i="71" s="1"/>
  <c r="F18" i="71" s="1"/>
  <c r="F17"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C87" i="71" s="1"/>
  <c r="C86" i="71" s="1"/>
  <c r="D86" i="71" s="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E68" i="71"/>
  <c r="P68" i="71" s="1"/>
  <c r="C68" i="71"/>
  <c r="C67" i="71" s="1"/>
  <c r="B68" i="71"/>
  <c r="D65" i="71"/>
  <c r="Q64" i="71"/>
  <c r="P64" i="71"/>
  <c r="O64" i="71"/>
  <c r="N64" i="71"/>
  <c r="Q63" i="71"/>
  <c r="P63" i="71"/>
  <c r="O63" i="71"/>
  <c r="N63" i="71"/>
  <c r="Q62" i="71"/>
  <c r="P62" i="71"/>
  <c r="O62" i="71"/>
  <c r="N62" i="71"/>
  <c r="Q61" i="71"/>
  <c r="F62" i="71" s="1"/>
  <c r="P61" i="71"/>
  <c r="E62" i="71" s="1"/>
  <c r="O61" i="71"/>
  <c r="C62" i="71" s="1"/>
  <c r="N61" i="71"/>
  <c r="B62" i="71" s="1"/>
  <c r="D61" i="71"/>
  <c r="Q60" i="71"/>
  <c r="P60" i="71"/>
  <c r="O60" i="71"/>
  <c r="N60" i="71"/>
  <c r="Q59" i="71"/>
  <c r="P59" i="71"/>
  <c r="O59" i="71"/>
  <c r="N59" i="71"/>
  <c r="Q58" i="71"/>
  <c r="P58" i="71"/>
  <c r="O58" i="71"/>
  <c r="C59" i="71" s="1"/>
  <c r="N58" i="71"/>
  <c r="Q57" i="71"/>
  <c r="F58" i="71" s="1"/>
  <c r="P57" i="71"/>
  <c r="E58" i="71" s="1"/>
  <c r="O57" i="71"/>
  <c r="C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P49" i="71"/>
  <c r="E50" i="71" s="1"/>
  <c r="E51"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AB38" i="71" s="1"/>
  <c r="P38" i="71"/>
  <c r="O38" i="71"/>
  <c r="N38" i="71"/>
  <c r="Q37" i="71"/>
  <c r="AB37" i="71" s="1"/>
  <c r="P37" i="71"/>
  <c r="E38"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N33" i="71"/>
  <c r="D33" i="71"/>
  <c r="Q32" i="71"/>
  <c r="P32" i="71"/>
  <c r="O32" i="71"/>
  <c r="N32" i="71"/>
  <c r="Q31" i="71"/>
  <c r="P31" i="71"/>
  <c r="O31" i="71"/>
  <c r="N31" i="71"/>
  <c r="Q30" i="71"/>
  <c r="P30" i="71"/>
  <c r="O30" i="71"/>
  <c r="N30" i="71"/>
  <c r="Q29" i="71"/>
  <c r="F30" i="71" s="1"/>
  <c r="P29" i="71"/>
  <c r="O29" i="71"/>
  <c r="C30" i="71" s="1"/>
  <c r="D30" i="71" s="1"/>
  <c r="N29" i="71"/>
  <c r="B30" i="71" s="1"/>
  <c r="B31" i="71" s="1"/>
  <c r="B32" i="71" s="1"/>
  <c r="S32" i="71" s="1"/>
  <c r="D29" i="71"/>
  <c r="O28" i="71"/>
  <c r="N28" i="71"/>
  <c r="B28" i="71" s="1"/>
  <c r="P28" i="71"/>
  <c r="E28" i="71" s="1"/>
  <c r="Q28" i="71"/>
  <c r="F28" i="71" s="1"/>
  <c r="F27" i="71" s="1"/>
  <c r="F26" i="71" s="1"/>
  <c r="D58" i="71"/>
  <c r="D62" i="71"/>
  <c r="E71" i="71"/>
  <c r="E70" i="71" s="1"/>
  <c r="D72" i="7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57" i="43"/>
  <c r="C29" i="39"/>
  <c r="H25" i="40"/>
  <c r="J25" i="40"/>
  <c r="AC25" i="40" s="1"/>
  <c r="H29" i="39"/>
  <c r="AB29" i="39" s="1"/>
  <c r="J29" i="39"/>
  <c r="AC29" i="39" s="1"/>
  <c r="J18" i="36"/>
  <c r="H18" i="35"/>
  <c r="AB18" i="35" s="1"/>
  <c r="J18" i="35"/>
  <c r="W18" i="35" s="1"/>
  <c r="H21" i="37"/>
  <c r="AB21" i="37" s="1"/>
  <c r="F21" i="37"/>
  <c r="AA21" i="37" s="1"/>
  <c r="H21" i="34"/>
  <c r="AB21" i="34" s="1"/>
  <c r="H21" i="33"/>
  <c r="U21" i="33" s="1"/>
  <c r="F21" i="33"/>
  <c r="AA21" i="33" s="1"/>
  <c r="H1" i="69"/>
  <c r="U21" i="34"/>
  <c r="J21" i="37"/>
  <c r="W21" i="37" s="1"/>
  <c r="J21" i="34"/>
  <c r="W21" i="34" s="1"/>
  <c r="J21" i="33"/>
  <c r="W21" i="33" s="1"/>
  <c r="H21" i="21"/>
  <c r="U21" i="21" s="1"/>
  <c r="F38" i="69"/>
  <c r="E37" i="69"/>
  <c r="F36" i="69"/>
  <c r="F35" i="69"/>
  <c r="F21" i="69"/>
  <c r="F40" i="69" s="1"/>
  <c r="F20" i="69"/>
  <c r="F39" i="69" s="1"/>
  <c r="E10" i="69"/>
  <c r="E9" i="69"/>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A270" i="3" s="1"/>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0" i="31"/>
  <c r="R41" i="31"/>
  <c r="R42" i="31"/>
  <c r="S42" i="31" s="1"/>
  <c r="R43" i="31"/>
  <c r="S43" i="31" s="1"/>
  <c r="R44" i="31"/>
  <c r="S44" i="31" s="1"/>
  <c r="R45" i="31"/>
  <c r="R46" i="31"/>
  <c r="S46" i="31" s="1"/>
  <c r="R47" i="31"/>
  <c r="S47" i="31" s="1"/>
  <c r="R48" i="31"/>
  <c r="R49" i="31"/>
  <c r="R50" i="31"/>
  <c r="S50" i="31" s="1"/>
  <c r="R51" i="31"/>
  <c r="S51" i="31" s="1"/>
  <c r="R52" i="31"/>
  <c r="S52" i="31" s="1"/>
  <c r="R53" i="31"/>
  <c r="R54" i="31"/>
  <c r="S54" i="31" s="1"/>
  <c r="R55" i="31"/>
  <c r="S55" i="31" s="1"/>
  <c r="R56" i="31"/>
  <c r="S56" i="31" s="1"/>
  <c r="R57" i="31"/>
  <c r="R58" i="31"/>
  <c r="S58" i="31" s="1"/>
  <c r="R59" i="31"/>
  <c r="S59" i="31" s="1"/>
  <c r="R60" i="31"/>
  <c r="R61" i="31"/>
  <c r="R62" i="31"/>
  <c r="S62" i="31" s="1"/>
  <c r="R63" i="31"/>
  <c r="S63" i="31" s="1"/>
  <c r="R64" i="31"/>
  <c r="S64" i="31" s="1"/>
  <c r="R65" i="31"/>
  <c r="R66" i="31"/>
  <c r="S66" i="31" s="1"/>
  <c r="R67" i="31"/>
  <c r="S67" i="31" s="1"/>
  <c r="R68" i="31"/>
  <c r="R69" i="31"/>
  <c r="R70" i="31"/>
  <c r="S70" i="31" s="1"/>
  <c r="R71" i="31"/>
  <c r="S71" i="31" s="1"/>
  <c r="R72" i="31"/>
  <c r="S72" i="31" s="1"/>
  <c r="R73" i="31"/>
  <c r="R74" i="31"/>
  <c r="S74" i="31" s="1"/>
  <c r="R75" i="31"/>
  <c r="S75" i="31" s="1"/>
  <c r="R76" i="31"/>
  <c r="S76" i="31" s="1"/>
  <c r="R77" i="31"/>
  <c r="R78" i="31"/>
  <c r="S78" i="31" s="1"/>
  <c r="R79" i="31"/>
  <c r="S79" i="31" s="1"/>
  <c r="R80" i="31"/>
  <c r="R81" i="31"/>
  <c r="R82" i="31"/>
  <c r="S82" i="31" s="1"/>
  <c r="R83" i="31"/>
  <c r="S83" i="31" s="1"/>
  <c r="R84" i="31"/>
  <c r="S84" i="31" s="1"/>
  <c r="R85" i="31"/>
  <c r="R86" i="31"/>
  <c r="S86" i="31" s="1"/>
  <c r="R87" i="31"/>
  <c r="S87" i="31" s="1"/>
  <c r="R88" i="31"/>
  <c r="R89" i="31"/>
  <c r="R90" i="31"/>
  <c r="S90" i="31" s="1"/>
  <c r="R91" i="31"/>
  <c r="S91" i="31" s="1"/>
  <c r="R92" i="31"/>
  <c r="S92" i="31" s="1"/>
  <c r="R93" i="31"/>
  <c r="R94" i="31"/>
  <c r="S94" i="31" s="1"/>
  <c r="R95" i="31"/>
  <c r="S95" i="31" s="1"/>
  <c r="R96" i="3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R245" i="31"/>
  <c r="R246" i="31"/>
  <c r="S246" i="31" s="1"/>
  <c r="R247" i="31"/>
  <c r="S247" i="31" s="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R433" i="31"/>
  <c r="R434" i="31"/>
  <c r="S434" i="31" s="1"/>
  <c r="R435" i="31"/>
  <c r="S435" i="31" s="1"/>
  <c r="R436" i="31"/>
  <c r="S436" i="31" s="1"/>
  <c r="R437" i="31"/>
  <c r="R438" i="31"/>
  <c r="S438" i="31" s="1"/>
  <c r="R439" i="31"/>
  <c r="S439" i="31" s="1"/>
  <c r="R440" i="31"/>
  <c r="R441" i="31"/>
  <c r="R442" i="31"/>
  <c r="S442" i="31" s="1"/>
  <c r="R443" i="31"/>
  <c r="S443" i="31" s="1"/>
  <c r="R444" i="31"/>
  <c r="S444" i="31" s="1"/>
  <c r="R445" i="31"/>
  <c r="R446" i="31"/>
  <c r="S446" i="31" s="1"/>
  <c r="R447" i="31"/>
  <c r="S447" i="31" s="1"/>
  <c r="R448" i="31"/>
  <c r="S448" i="31" s="1"/>
  <c r="R449" i="31"/>
  <c r="R450" i="31"/>
  <c r="S450" i="31" s="1"/>
  <c r="R451" i="31"/>
  <c r="S451" i="31" s="1"/>
  <c r="R452" i="31"/>
  <c r="R453" i="31"/>
  <c r="R454" i="31"/>
  <c r="S454" i="31" s="1"/>
  <c r="R455" i="31"/>
  <c r="S455" i="31" s="1"/>
  <c r="R456" i="31"/>
  <c r="S456" i="31" s="1"/>
  <c r="R457" i="31"/>
  <c r="R458" i="31"/>
  <c r="S458" i="31" s="1"/>
  <c r="R459" i="31"/>
  <c r="S459" i="31" s="1"/>
  <c r="R460" i="31"/>
  <c r="S460" i="31" s="1"/>
  <c r="R461" i="31"/>
  <c r="R462" i="31"/>
  <c r="S462" i="31" s="1"/>
  <c r="R463" i="31"/>
  <c r="S463" i="31" s="1"/>
  <c r="R464" i="3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R509" i="31"/>
  <c r="R510" i="31"/>
  <c r="S510" i="31" s="1"/>
  <c r="R511" i="31"/>
  <c r="S511" i="31" s="1"/>
  <c r="R512" i="31"/>
  <c r="S512" i="31" s="1"/>
  <c r="R513" i="31"/>
  <c r="R514" i="31"/>
  <c r="S514" i="31" s="1"/>
  <c r="R515" i="31"/>
  <c r="S515" i="31" s="1"/>
  <c r="R516" i="3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12" i="31"/>
  <c r="S396" i="31"/>
  <c r="S372" i="31"/>
  <c r="S360" i="31"/>
  <c r="S348" i="31"/>
  <c r="S332" i="31"/>
  <c r="S312" i="31"/>
  <c r="S300" i="31"/>
  <c r="S288" i="31"/>
  <c r="S272" i="31"/>
  <c r="S253" i="31"/>
  <c r="S252" i="31"/>
  <c r="S249" i="31"/>
  <c r="S245" i="31"/>
  <c r="S244" i="31"/>
  <c r="S241" i="31"/>
  <c r="S237" i="31"/>
  <c r="S233" i="31"/>
  <c r="S229" i="31"/>
  <c r="S225" i="31"/>
  <c r="S224" i="31"/>
  <c r="S429" i="31"/>
  <c r="S425" i="31"/>
  <c r="S221" i="31"/>
  <c r="S217" i="31"/>
  <c r="S213" i="31"/>
  <c r="S209" i="31"/>
  <c r="S208" i="31"/>
  <c r="S206" i="31"/>
  <c r="S205" i="31"/>
  <c r="S201" i="31"/>
  <c r="S197" i="31"/>
  <c r="S193" i="31"/>
  <c r="S189" i="31"/>
  <c r="S185" i="31"/>
  <c r="S181" i="31"/>
  <c r="S178" i="31"/>
  <c r="S177" i="31"/>
  <c r="S173" i="31"/>
  <c r="S169" i="31"/>
  <c r="S165" i="31"/>
  <c r="S161" i="31"/>
  <c r="S157" i="31"/>
  <c r="S153" i="31"/>
  <c r="S149" i="31"/>
  <c r="S145" i="31"/>
  <c r="S144" i="31"/>
  <c r="S141" i="31"/>
  <c r="S137" i="31"/>
  <c r="S133" i="31"/>
  <c r="S129" i="31"/>
  <c r="S125" i="31"/>
  <c r="S497" i="31"/>
  <c r="S493" i="31"/>
  <c r="S489" i="31"/>
  <c r="S485" i="31"/>
  <c r="S481" i="31"/>
  <c r="S477" i="31"/>
  <c r="S473" i="31"/>
  <c r="S469" i="31"/>
  <c r="S441" i="31"/>
  <c r="S440" i="31"/>
  <c r="S437" i="31"/>
  <c r="S433" i="31"/>
  <c r="S432" i="31"/>
  <c r="S121" i="31"/>
  <c r="S117" i="31"/>
  <c r="S113" i="31"/>
  <c r="S112" i="31"/>
  <c r="S465" i="31"/>
  <c r="S464" i="31"/>
  <c r="S461" i="31"/>
  <c r="S457" i="31"/>
  <c r="S453" i="31"/>
  <c r="S452" i="31"/>
  <c r="S53" i="31"/>
  <c r="S49" i="31"/>
  <c r="S48" i="31"/>
  <c r="S45" i="31"/>
  <c r="S41" i="31"/>
  <c r="S40" i="31"/>
  <c r="S77" i="31"/>
  <c r="S73" i="31"/>
  <c r="S69" i="31"/>
  <c r="S68" i="31"/>
  <c r="S65" i="31"/>
  <c r="S61" i="31"/>
  <c r="S60" i="31"/>
  <c r="S57" i="31"/>
  <c r="S97" i="31"/>
  <c r="S96" i="31"/>
  <c r="S93" i="31"/>
  <c r="S89" i="31"/>
  <c r="S88" i="31"/>
  <c r="S85" i="31"/>
  <c r="S81" i="31"/>
  <c r="S80" i="31"/>
  <c r="S101" i="31"/>
  <c r="S105" i="31"/>
  <c r="S109" i="31"/>
  <c r="S445" i="31"/>
  <c r="S449" i="31"/>
  <c r="S508" i="31"/>
  <c r="S509"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A494" i="3" s="1"/>
  <c r="BJ494" i="3"/>
  <c r="BK494" i="3"/>
  <c r="BM494" i="3"/>
  <c r="BN494" i="3"/>
  <c r="BO494" i="3"/>
  <c r="BP494" i="3"/>
  <c r="BQ494" i="3"/>
  <c r="BL494" i="3" s="1"/>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L496" i="3" s="1"/>
  <c r="BT496" i="3"/>
  <c r="H497" i="3"/>
  <c r="AC497" i="3"/>
  <c r="BB497" i="3"/>
  <c r="BC497" i="3"/>
  <c r="BD497" i="3"/>
  <c r="BE497" i="3"/>
  <c r="BA497" i="3" s="1"/>
  <c r="BF497" i="3"/>
  <c r="BG497" i="3"/>
  <c r="BH497" i="3"/>
  <c r="BI497" i="3"/>
  <c r="BJ497" i="3"/>
  <c r="BK497" i="3"/>
  <c r="BM497" i="3"/>
  <c r="BN497" i="3"/>
  <c r="BO497" i="3"/>
  <c r="BL497" i="3" s="1"/>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S5" i="3" s="1"/>
  <c r="BT498" i="3"/>
  <c r="H499" i="3"/>
  <c r="AC499" i="3"/>
  <c r="BB499" i="3"/>
  <c r="BC499" i="3"/>
  <c r="BD499" i="3"/>
  <c r="BD5" i="3" s="1"/>
  <c r="BE499" i="3"/>
  <c r="BF499" i="3"/>
  <c r="BG499" i="3"/>
  <c r="BH499" i="3"/>
  <c r="BI499" i="3"/>
  <c r="BJ499" i="3"/>
  <c r="BK499" i="3"/>
  <c r="BM499" i="3"/>
  <c r="BN499" i="3"/>
  <c r="BO499" i="3"/>
  <c r="BO5" i="3" s="1"/>
  <c r="BP499" i="3"/>
  <c r="BR499" i="3"/>
  <c r="BS499" i="3"/>
  <c r="BT499" i="3"/>
  <c r="H500" i="3"/>
  <c r="AC500" i="3"/>
  <c r="BB500" i="3"/>
  <c r="BC500" i="3"/>
  <c r="BD500" i="3"/>
  <c r="BA500" i="3" s="1"/>
  <c r="BE500" i="3"/>
  <c r="BF500" i="3"/>
  <c r="BG500" i="3"/>
  <c r="BH500" i="3"/>
  <c r="BI500" i="3"/>
  <c r="BJ500" i="3"/>
  <c r="BK500" i="3"/>
  <c r="BK5" i="3" s="1"/>
  <c r="BM500" i="3"/>
  <c r="BN500" i="3"/>
  <c r="BO500" i="3"/>
  <c r="BP500" i="3"/>
  <c r="BQ500" i="3"/>
  <c r="BR500" i="3"/>
  <c r="BL500" i="3" s="1"/>
  <c r="BS500" i="3"/>
  <c r="BT500" i="3"/>
  <c r="H501" i="3"/>
  <c r="G501" i="3" s="1"/>
  <c r="AC501" i="3"/>
  <c r="BB501" i="3"/>
  <c r="BC501" i="3"/>
  <c r="BD501" i="3"/>
  <c r="BE501" i="3"/>
  <c r="BF501" i="3"/>
  <c r="BG501" i="3"/>
  <c r="BG5" i="3" s="1"/>
  <c r="BH501" i="3"/>
  <c r="BI501" i="3"/>
  <c r="BJ501" i="3"/>
  <c r="BK501" i="3"/>
  <c r="BM501" i="3"/>
  <c r="BN501" i="3"/>
  <c r="BO501" i="3"/>
  <c r="BP501" i="3"/>
  <c r="BR501" i="3"/>
  <c r="BS501" i="3"/>
  <c r="BT501" i="3"/>
  <c r="H502" i="3"/>
  <c r="AC502" i="3"/>
  <c r="BB502" i="3"/>
  <c r="BC502" i="3"/>
  <c r="BD502" i="3"/>
  <c r="BA502" i="3" s="1"/>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A503" i="3" s="1"/>
  <c r="AZ503" i="3" s="1"/>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N5" i="3" s="1"/>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A506" i="3" s="1"/>
  <c r="AZ506" i="3" s="1"/>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A508" i="3" s="1"/>
  <c r="AZ508" i="3" s="1"/>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L512" i="3" s="1"/>
  <c r="AZ512" i="3" s="1"/>
  <c r="BT512" i="3"/>
  <c r="H513" i="3"/>
  <c r="AC513" i="3"/>
  <c r="BB513" i="3"/>
  <c r="BC513" i="3"/>
  <c r="BD513" i="3"/>
  <c r="BA513" i="3" s="1"/>
  <c r="BE513" i="3"/>
  <c r="BF513" i="3"/>
  <c r="BG513" i="3"/>
  <c r="BH513" i="3"/>
  <c r="BI513" i="3"/>
  <c r="BJ513" i="3"/>
  <c r="BK513" i="3"/>
  <c r="BM513" i="3"/>
  <c r="BN513" i="3"/>
  <c r="BO513" i="3"/>
  <c r="BL513" i="3" s="1"/>
  <c r="BP513" i="3"/>
  <c r="BR513" i="3"/>
  <c r="BS513" i="3"/>
  <c r="BT513" i="3"/>
  <c r="H514" i="3"/>
  <c r="AC514" i="3"/>
  <c r="G514" i="3" s="1"/>
  <c r="BB514" i="3"/>
  <c r="BC514" i="3"/>
  <c r="BD514" i="3"/>
  <c r="BA514" i="3" s="1"/>
  <c r="BE514" i="3"/>
  <c r="BF514" i="3"/>
  <c r="BG514" i="3"/>
  <c r="BH514" i="3"/>
  <c r="BI514" i="3"/>
  <c r="BJ514" i="3"/>
  <c r="BK514" i="3"/>
  <c r="BM514" i="3"/>
  <c r="BN514" i="3"/>
  <c r="BO514" i="3"/>
  <c r="BP514" i="3"/>
  <c r="BQ514" i="3"/>
  <c r="BR514" i="3"/>
  <c r="BL514" i="3" s="1"/>
  <c r="BS514" i="3"/>
  <c r="BT514" i="3"/>
  <c r="H515" i="3"/>
  <c r="G515" i="3" s="1"/>
  <c r="AC515" i="3"/>
  <c r="BB515" i="3"/>
  <c r="BC515" i="3"/>
  <c r="BD515" i="3"/>
  <c r="BE515" i="3"/>
  <c r="BF515" i="3"/>
  <c r="BG515" i="3"/>
  <c r="BA515" i="3" s="1"/>
  <c r="BH515" i="3"/>
  <c r="BI515" i="3"/>
  <c r="BJ515" i="3"/>
  <c r="BK515" i="3"/>
  <c r="BM515" i="3"/>
  <c r="BN515" i="3"/>
  <c r="BO515" i="3"/>
  <c r="BP515" i="3"/>
  <c r="BR515" i="3"/>
  <c r="BS515" i="3"/>
  <c r="BT515" i="3"/>
  <c r="H516" i="3"/>
  <c r="AC516" i="3"/>
  <c r="BB516" i="3"/>
  <c r="BC516" i="3"/>
  <c r="BD516" i="3"/>
  <c r="BA516" i="3" s="1"/>
  <c r="AZ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A517" i="3" s="1"/>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A520" i="3" s="1"/>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A522" i="3" s="1"/>
  <c r="BG522" i="3"/>
  <c r="BH522" i="3"/>
  <c r="BI522" i="3"/>
  <c r="BJ522" i="3"/>
  <c r="BK522" i="3"/>
  <c r="BM522" i="3"/>
  <c r="BN522" i="3"/>
  <c r="BO522" i="3"/>
  <c r="BP522" i="3"/>
  <c r="BQ522" i="3"/>
  <c r="BL522" i="3" s="1"/>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A524" i="3" s="1"/>
  <c r="AZ524" i="3" s="1"/>
  <c r="BJ524" i="3"/>
  <c r="BK524" i="3"/>
  <c r="BM524" i="3"/>
  <c r="BN524" i="3"/>
  <c r="BO524" i="3"/>
  <c r="BP524" i="3"/>
  <c r="BQ524" i="3"/>
  <c r="BR524" i="3"/>
  <c r="BS524" i="3"/>
  <c r="BT524" i="3"/>
  <c r="H525" i="3"/>
  <c r="AC525" i="3"/>
  <c r="BB525" i="3"/>
  <c r="BC525" i="3"/>
  <c r="BD525" i="3"/>
  <c r="BE525" i="3"/>
  <c r="BA525" i="3" s="1"/>
  <c r="BF525" i="3"/>
  <c r="BG525" i="3"/>
  <c r="BH525" i="3"/>
  <c r="BI525" i="3"/>
  <c r="BJ525" i="3"/>
  <c r="BK525" i="3"/>
  <c r="BM525" i="3"/>
  <c r="BN525" i="3"/>
  <c r="BO525" i="3"/>
  <c r="BL525" i="3" s="1"/>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L526" i="3" s="1"/>
  <c r="BT526" i="3"/>
  <c r="H527" i="3"/>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A534" i="3" s="1"/>
  <c r="BG534" i="3"/>
  <c r="BH534" i="3"/>
  <c r="BI534" i="3"/>
  <c r="BJ534" i="3"/>
  <c r="BK534" i="3"/>
  <c r="BM534" i="3"/>
  <c r="BN534" i="3"/>
  <c r="BO534" i="3"/>
  <c r="BP534" i="3"/>
  <c r="BL534" i="3" s="1"/>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BT5" i="3" s="1"/>
  <c r="H536" i="3"/>
  <c r="AC536" i="3"/>
  <c r="BB536" i="3"/>
  <c r="BC536" i="3"/>
  <c r="BD536" i="3"/>
  <c r="BE536" i="3"/>
  <c r="BF536" i="3"/>
  <c r="BG536" i="3"/>
  <c r="BH536" i="3"/>
  <c r="BA536" i="3" s="1"/>
  <c r="AZ536" i="3" s="1"/>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A537" i="3" s="1"/>
  <c r="BM537" i="3"/>
  <c r="BN537" i="3"/>
  <c r="BO537" i="3"/>
  <c r="BP537" i="3"/>
  <c r="BR537" i="3"/>
  <c r="BS537" i="3"/>
  <c r="BT537" i="3"/>
  <c r="H538" i="3"/>
  <c r="AC538" i="3"/>
  <c r="BB538" i="3"/>
  <c r="BC538" i="3"/>
  <c r="BD538" i="3"/>
  <c r="BE538" i="3"/>
  <c r="BF538" i="3"/>
  <c r="BG538" i="3"/>
  <c r="BH538" i="3"/>
  <c r="BA538" i="3" s="1"/>
  <c r="AZ538" i="3" s="1"/>
  <c r="BI538" i="3"/>
  <c r="BJ538" i="3"/>
  <c r="BK538" i="3"/>
  <c r="BM538" i="3"/>
  <c r="BN538" i="3"/>
  <c r="BO538" i="3"/>
  <c r="BL538" i="3" s="1"/>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J5" i="3" s="1"/>
  <c r="BK540" i="3"/>
  <c r="BM540" i="3"/>
  <c r="BN540" i="3"/>
  <c r="BO540" i="3"/>
  <c r="BP540" i="3"/>
  <c r="BQ540" i="3"/>
  <c r="BR540" i="3"/>
  <c r="BL540" i="3" s="1"/>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A545" i="3" s="1"/>
  <c r="BF545" i="3"/>
  <c r="BG545" i="3"/>
  <c r="BH545" i="3"/>
  <c r="BI545" i="3"/>
  <c r="BJ545" i="3"/>
  <c r="BK545" i="3"/>
  <c r="BM545" i="3"/>
  <c r="BN545" i="3"/>
  <c r="BO545" i="3"/>
  <c r="BP545" i="3"/>
  <c r="BL545" i="3" s="1"/>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AC547" i="3"/>
  <c r="G547" i="3" s="1"/>
  <c r="BB547" i="3"/>
  <c r="BC547" i="3"/>
  <c r="BD547" i="3"/>
  <c r="BE547" i="3"/>
  <c r="BF547" i="3"/>
  <c r="BG547" i="3"/>
  <c r="BH547" i="3"/>
  <c r="BA547" i="3" s="1"/>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L549" i="3" s="1"/>
  <c r="AZ549" i="3" s="1"/>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A552" i="3" s="1"/>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L554" i="3" s="1"/>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A557" i="3" s="1"/>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P5" i="3" s="1"/>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A561" i="3" s="1"/>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O562" i="3"/>
  <c r="BL562" i="3" s="1"/>
  <c r="BP562" i="3"/>
  <c r="BQ562" i="3"/>
  <c r="BR562" i="3"/>
  <c r="BS562" i="3"/>
  <c r="BT562" i="3"/>
  <c r="H563" i="3"/>
  <c r="AC563" i="3"/>
  <c r="G563" i="3" s="1"/>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L564" i="3" s="1"/>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A568" i="3" s="1"/>
  <c r="BJ568" i="3"/>
  <c r="BK568" i="3"/>
  <c r="BM568" i="3"/>
  <c r="BN568" i="3"/>
  <c r="BO568" i="3"/>
  <c r="BP568" i="3"/>
  <c r="BQ568" i="3"/>
  <c r="BL568" i="3" s="1"/>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A570" i="3" s="1"/>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L572" i="3" s="1"/>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A574" i="3" s="1"/>
  <c r="BM574" i="3"/>
  <c r="BN574" i="3"/>
  <c r="BO574" i="3"/>
  <c r="BP574" i="3"/>
  <c r="BQ574" i="3"/>
  <c r="BR574" i="3"/>
  <c r="BL574" i="3" s="1"/>
  <c r="BS574" i="3"/>
  <c r="BT574" i="3"/>
  <c r="H575" i="3"/>
  <c r="AC575" i="3"/>
  <c r="BB575" i="3"/>
  <c r="BC575" i="3"/>
  <c r="BD575" i="3"/>
  <c r="BE575" i="3"/>
  <c r="BF575" i="3"/>
  <c r="BG575" i="3"/>
  <c r="BA575" i="3" s="1"/>
  <c r="BH575" i="3"/>
  <c r="BI575" i="3"/>
  <c r="BJ575" i="3"/>
  <c r="BK575" i="3"/>
  <c r="BM575" i="3"/>
  <c r="BN575" i="3"/>
  <c r="BO575" i="3"/>
  <c r="BP575" i="3"/>
  <c r="BR575" i="3"/>
  <c r="BS575" i="3"/>
  <c r="BT575" i="3"/>
  <c r="H576" i="3"/>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A577" i="3" s="1"/>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A579" i="3" s="1"/>
  <c r="BJ579" i="3"/>
  <c r="BK579" i="3"/>
  <c r="BM579" i="3"/>
  <c r="BN579" i="3"/>
  <c r="BO579" i="3"/>
  <c r="BP579" i="3"/>
  <c r="BR579" i="3"/>
  <c r="BS579" i="3"/>
  <c r="BT579" i="3"/>
  <c r="H580" i="3"/>
  <c r="AC580" i="3"/>
  <c r="BB580" i="3"/>
  <c r="BC580" i="3"/>
  <c r="BD580" i="3"/>
  <c r="BE580" i="3"/>
  <c r="BF580" i="3"/>
  <c r="BA580" i="3" s="1"/>
  <c r="AZ580" i="3" s="1"/>
  <c r="BG580" i="3"/>
  <c r="BH580" i="3"/>
  <c r="BI580" i="3"/>
  <c r="BJ580" i="3"/>
  <c r="BK580" i="3"/>
  <c r="BM580" i="3"/>
  <c r="BL580" i="3" s="1"/>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A582" i="3" s="1"/>
  <c r="BF582" i="3"/>
  <c r="BG582" i="3"/>
  <c r="BH582" i="3"/>
  <c r="BI582" i="3"/>
  <c r="BJ582" i="3"/>
  <c r="BK582" i="3"/>
  <c r="BM582" i="3"/>
  <c r="BN582" i="3"/>
  <c r="BO582" i="3"/>
  <c r="BP582" i="3"/>
  <c r="BL582" i="3" s="1"/>
  <c r="BQ582" i="3"/>
  <c r="BR582" i="3"/>
  <c r="BS582" i="3"/>
  <c r="BT582" i="3"/>
  <c r="H583" i="3"/>
  <c r="AC583" i="3"/>
  <c r="G583" i="3" s="1"/>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A584" i="3" s="1"/>
  <c r="BI584" i="3"/>
  <c r="BJ584" i="3"/>
  <c r="BK584" i="3"/>
  <c r="BM584" i="3"/>
  <c r="BN584" i="3"/>
  <c r="BO584" i="3"/>
  <c r="BL584" i="3" s="1"/>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H111" i="33" s="1"/>
  <c r="I111" i="33" s="1"/>
  <c r="J111" i="33" s="1"/>
  <c r="K111" i="33" s="1"/>
  <c r="L111" i="33" s="1"/>
  <c r="M111" i="33" s="1"/>
  <c r="S516" i="31"/>
  <c r="S517" i="31"/>
  <c r="S521"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H14" i="40" s="1"/>
  <c r="U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c r="G94" i="39" s="1"/>
  <c r="D92" i="39"/>
  <c r="E92" i="39" s="1"/>
  <c r="F92" i="39" s="1"/>
  <c r="G92" i="39" s="1"/>
  <c r="D90" i="39"/>
  <c r="E90" i="39" s="1"/>
  <c r="F90" i="39" s="1"/>
  <c r="G90" i="39" s="1"/>
  <c r="D88" i="39"/>
  <c r="E88" i="39" s="1"/>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G73" i="37" s="1"/>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c r="G68" i="36" s="1"/>
  <c r="D64" i="36"/>
  <c r="E64" i="36" s="1"/>
  <c r="F64" i="36" s="1"/>
  <c r="G64" i="36" s="1"/>
  <c r="J16" i="36"/>
  <c r="W16" i="36" s="1"/>
  <c r="D62" i="36"/>
  <c r="E62" i="36" s="1"/>
  <c r="F62" i="36" s="1"/>
  <c r="G62" i="36" s="1"/>
  <c r="B59" i="36"/>
  <c r="B57" i="36"/>
  <c r="J12" i="36" s="1"/>
  <c r="B55" i="36"/>
  <c r="F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F25" i="35" s="1"/>
  <c r="B75" i="35"/>
  <c r="J24" i="35" s="1"/>
  <c r="AC24" i="35" s="1"/>
  <c r="B73" i="35"/>
  <c r="F23" i="35" s="1"/>
  <c r="B57" i="35"/>
  <c r="H11" i="35" s="1"/>
  <c r="AB11" i="35" s="1"/>
  <c r="B61" i="35"/>
  <c r="F13" i="35" s="1"/>
  <c r="B59" i="35"/>
  <c r="F12" i="35" s="1"/>
  <c r="B131" i="34"/>
  <c r="H47" i="34" s="1"/>
  <c r="U47" i="34" s="1"/>
  <c r="B129" i="34"/>
  <c r="F46" i="34" s="1"/>
  <c r="B127" i="34"/>
  <c r="H45" i="34" s="1"/>
  <c r="U45" i="34" s="1"/>
  <c r="B99" i="34"/>
  <c r="B97" i="34"/>
  <c r="J31" i="34" s="1"/>
  <c r="B95" i="34"/>
  <c r="B93" i="34"/>
  <c r="J29" i="34" s="1"/>
  <c r="B75" i="34"/>
  <c r="F14" i="34" s="1"/>
  <c r="S14" i="34" s="1"/>
  <c r="B73" i="34"/>
  <c r="B71" i="34"/>
  <c r="H12" i="34" s="1"/>
  <c r="B130" i="33"/>
  <c r="J46" i="33" s="1"/>
  <c r="AC46" i="33" s="1"/>
  <c r="B128" i="33"/>
  <c r="B126" i="33"/>
  <c r="H44" i="33" s="1"/>
  <c r="B98" i="33"/>
  <c r="J31" i="33" s="1"/>
  <c r="B96" i="33"/>
  <c r="H30" i="33" s="1"/>
  <c r="B94" i="33"/>
  <c r="B74" i="33"/>
  <c r="H14" i="33" s="1"/>
  <c r="U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B96" i="21"/>
  <c r="F30" i="21" s="1"/>
  <c r="S30" i="21" s="1"/>
  <c r="B94" i="21"/>
  <c r="J29" i="21" s="1"/>
  <c r="B92" i="21"/>
  <c r="B90" i="21"/>
  <c r="J27" i="21" s="1"/>
  <c r="B74" i="21"/>
  <c r="F14" i="21" s="1"/>
  <c r="S14" i="21" s="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A587" i="3" s="1"/>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E5" i="6" s="1"/>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4" i="39"/>
  <c r="AC44" i="39" s="1"/>
  <c r="H36" i="39"/>
  <c r="AB36" i="39" s="1"/>
  <c r="J35" i="39"/>
  <c r="AC35" i="39" s="1"/>
  <c r="F35" i="39"/>
  <c r="J36" i="39"/>
  <c r="AC36" i="39" s="1"/>
  <c r="U9" i="39"/>
  <c r="U30" i="37"/>
  <c r="F39" i="37"/>
  <c r="S39" i="37" s="1"/>
  <c r="F29" i="36"/>
  <c r="AA29" i="36" s="1"/>
  <c r="F16" i="36"/>
  <c r="AA16" i="36" s="1"/>
  <c r="J33" i="36"/>
  <c r="AC33" i="36" s="1"/>
  <c r="H22" i="35"/>
  <c r="AB22" i="35" s="1"/>
  <c r="AC27" i="35"/>
  <c r="F36" i="34"/>
  <c r="AA36" i="34" s="1"/>
  <c r="J35" i="34"/>
  <c r="H39" i="33"/>
  <c r="AB39" i="33" s="1"/>
  <c r="U35" i="33"/>
  <c r="H39" i="37"/>
  <c r="F11" i="40"/>
  <c r="AA11" i="40" s="1"/>
  <c r="H11" i="40"/>
  <c r="AB11" i="40" s="1"/>
  <c r="AA9" i="40"/>
  <c r="U9" i="40"/>
  <c r="W31" i="40"/>
  <c r="U34" i="40"/>
  <c r="F42" i="39"/>
  <c r="AA42" i="39" s="1"/>
  <c r="F41" i="39"/>
  <c r="S41" i="39" s="1"/>
  <c r="H40" i="39"/>
  <c r="AB40" i="39" s="1"/>
  <c r="H39" i="39"/>
  <c r="U39" i="39" s="1"/>
  <c r="H34" i="39"/>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s="1"/>
  <c r="F27" i="39"/>
  <c r="F11" i="21"/>
  <c r="S11" i="21" s="1"/>
  <c r="U34" i="21"/>
  <c r="H11" i="39"/>
  <c r="H32" i="33"/>
  <c r="AB32" i="33" s="1"/>
  <c r="H11" i="21"/>
  <c r="U11" i="21" s="1"/>
  <c r="J11" i="21"/>
  <c r="W11" i="21" s="1"/>
  <c r="H37" i="40"/>
  <c r="U37" i="40" s="1"/>
  <c r="H36" i="40"/>
  <c r="AB36" i="40" s="1"/>
  <c r="F35" i="40"/>
  <c r="AA35" i="40" s="1"/>
  <c r="H23" i="40"/>
  <c r="AB23" i="40" s="1"/>
  <c r="H17" i="40"/>
  <c r="U17" i="40" s="1"/>
  <c r="J15" i="40"/>
  <c r="W15" i="40" s="1"/>
  <c r="J11" i="40"/>
  <c r="AC11" i="40" s="1"/>
  <c r="W11" i="40"/>
  <c r="AB8" i="39"/>
  <c r="AB12" i="36"/>
  <c r="W32" i="40"/>
  <c r="S44" i="39"/>
  <c r="J34" i="36"/>
  <c r="W34" i="36" s="1"/>
  <c r="U30" i="36"/>
  <c r="J30" i="35"/>
  <c r="W30" i="35" s="1"/>
  <c r="H30" i="35"/>
  <c r="AB30" i="35" s="1"/>
  <c r="F22" i="35"/>
  <c r="AA22" i="35" s="1"/>
  <c r="H10" i="35"/>
  <c r="U10" i="35" s="1"/>
  <c r="AA33" i="36"/>
  <c r="H16" i="36"/>
  <c r="AB16" i="36" s="1"/>
  <c r="J29" i="36"/>
  <c r="AC29" i="36" s="1"/>
  <c r="F12" i="36"/>
  <c r="AA12" i="36" s="1"/>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H40" i="34"/>
  <c r="U40" i="34" s="1"/>
  <c r="H36" i="34"/>
  <c r="U36" i="34" s="1"/>
  <c r="F28" i="34"/>
  <c r="AA28" i="34" s="1"/>
  <c r="F25" i="34"/>
  <c r="S25" i="34" s="1"/>
  <c r="H23" i="34"/>
  <c r="U23" i="34" s="1"/>
  <c r="J23" i="34"/>
  <c r="W23" i="34" s="1"/>
  <c r="F19" i="34"/>
  <c r="S19" i="34" s="1"/>
  <c r="F15" i="34"/>
  <c r="AA15" i="34" s="1"/>
  <c r="H15" i="34"/>
  <c r="AB15" i="34" s="1"/>
  <c r="J28" i="34"/>
  <c r="AC28" i="34" s="1"/>
  <c r="W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S36" i="40" s="1"/>
  <c r="H28" i="40"/>
  <c r="U28" i="40" s="1"/>
  <c r="F23" i="40"/>
  <c r="AA23" i="40" s="1"/>
  <c r="F17" i="40"/>
  <c r="AA17" i="40" s="1"/>
  <c r="J17" i="40"/>
  <c r="W17" i="40"/>
  <c r="F15" i="40"/>
  <c r="S15" i="40" s="1"/>
  <c r="H15" i="40"/>
  <c r="AB15" i="40" s="1"/>
  <c r="S12" i="36"/>
  <c r="AB30" i="36"/>
  <c r="F29" i="35"/>
  <c r="S29" i="35" s="1"/>
  <c r="H29" i="35"/>
  <c r="AB29" i="35" s="1"/>
  <c r="H33" i="37"/>
  <c r="F33" i="37"/>
  <c r="AA33" i="37" s="1"/>
  <c r="U34" i="37"/>
  <c r="S34" i="37"/>
  <c r="J40" i="34"/>
  <c r="W40" i="34" s="1"/>
  <c r="H38" i="34"/>
  <c r="AB38" i="34" s="1"/>
  <c r="J36" i="34"/>
  <c r="AC36" i="34" s="1"/>
  <c r="H37" i="34"/>
  <c r="U37" i="34" s="1"/>
  <c r="H25" i="34"/>
  <c r="AB25" i="34" s="1"/>
  <c r="F23" i="34"/>
  <c r="S23" i="34" s="1"/>
  <c r="J19" i="34"/>
  <c r="AC19" i="34" s="1"/>
  <c r="S41" i="33"/>
  <c r="H37" i="33"/>
  <c r="AB37" i="33"/>
  <c r="H15" i="33"/>
  <c r="AB15" i="33" s="1"/>
  <c r="H11" i="33"/>
  <c r="AB11" i="33" s="1"/>
  <c r="F28" i="40"/>
  <c r="AA28" i="40"/>
  <c r="AA42" i="34"/>
  <c r="S42" i="34"/>
  <c r="AC38" i="34"/>
  <c r="AA38" i="34"/>
  <c r="J11" i="33"/>
  <c r="W11" i="33" s="1"/>
  <c r="I123" i="21"/>
  <c r="J123" i="21" s="1"/>
  <c r="K123" i="21" s="1"/>
  <c r="L123" i="21" s="1"/>
  <c r="M123" i="21" s="1"/>
  <c r="J42" i="21"/>
  <c r="AC42" i="21" s="1"/>
  <c r="H42" i="21"/>
  <c r="U42" i="21" s="1"/>
  <c r="J44" i="34"/>
  <c r="AC44" i="34" s="1"/>
  <c r="F44" i="34"/>
  <c r="S44" i="34" s="1"/>
  <c r="J10" i="35"/>
  <c r="AC10" i="35" s="1"/>
  <c r="J14" i="21"/>
  <c r="W14" i="21" s="1"/>
  <c r="H14" i="21"/>
  <c r="U14" i="21" s="1"/>
  <c r="H28" i="21"/>
  <c r="AB28" i="21" s="1"/>
  <c r="F28" i="21"/>
  <c r="AA28" i="21" s="1"/>
  <c r="J28" i="21"/>
  <c r="J44" i="21"/>
  <c r="H44" i="21"/>
  <c r="U44" i="21" s="1"/>
  <c r="F44" i="21"/>
  <c r="AA44" i="21" s="1"/>
  <c r="H46" i="21"/>
  <c r="U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J13" i="33"/>
  <c r="W13" i="33" s="1"/>
  <c r="J29" i="33"/>
  <c r="H29" i="33"/>
  <c r="U29" i="33"/>
  <c r="F29" i="33"/>
  <c r="S29" i="33" s="1"/>
  <c r="F31" i="33"/>
  <c r="S31" i="33" s="1"/>
  <c r="H45" i="33"/>
  <c r="U45" i="33" s="1"/>
  <c r="J45" i="33"/>
  <c r="W45" i="33" s="1"/>
  <c r="F45" i="33"/>
  <c r="AA45" i="33" s="1"/>
  <c r="J14" i="34"/>
  <c r="W14" i="34" s="1"/>
  <c r="H30" i="34"/>
  <c r="U30" i="34" s="1"/>
  <c r="F30" i="34"/>
  <c r="S30" i="34" s="1"/>
  <c r="J30" i="34"/>
  <c r="H32" i="34"/>
  <c r="AB32" i="34" s="1"/>
  <c r="F32" i="34"/>
  <c r="J32" i="34"/>
  <c r="W32" i="34" s="1"/>
  <c r="H46" i="34"/>
  <c r="AB46" i="34" s="1"/>
  <c r="J46" i="34"/>
  <c r="AC46" i="34" s="1"/>
  <c r="J26" i="36"/>
  <c r="W26" i="36" s="1"/>
  <c r="H28" i="36"/>
  <c r="U28" i="36" s="1"/>
  <c r="H32" i="36"/>
  <c r="AB32" i="36" s="1"/>
  <c r="H11" i="36"/>
  <c r="U11" i="36" s="1"/>
  <c r="H13" i="36"/>
  <c r="AB13" i="36" s="1"/>
  <c r="J13" i="36"/>
  <c r="F13" i="36"/>
  <c r="S13" i="36" s="1"/>
  <c r="E89" i="37"/>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F14" i="33"/>
  <c r="S14" i="33" s="1"/>
  <c r="J14" i="33"/>
  <c r="W14" i="33" s="1"/>
  <c r="AB30" i="33"/>
  <c r="F30" i="33"/>
  <c r="J30" i="33"/>
  <c r="J44" i="33"/>
  <c r="W44" i="33" s="1"/>
  <c r="F44" i="33"/>
  <c r="S44" i="33" s="1"/>
  <c r="F46" i="33"/>
  <c r="AA46" i="33" s="1"/>
  <c r="H13" i="34"/>
  <c r="U13" i="34" s="1"/>
  <c r="J13" i="34"/>
  <c r="W13" i="34" s="1"/>
  <c r="F13" i="34"/>
  <c r="AA13" i="34" s="1"/>
  <c r="F29" i="34"/>
  <c r="S29" i="34" s="1"/>
  <c r="H29" i="34"/>
  <c r="AB29" i="34" s="1"/>
  <c r="J45" i="34"/>
  <c r="W45" i="34" s="1"/>
  <c r="F45" i="34"/>
  <c r="S45" i="34" s="1"/>
  <c r="F47" i="34"/>
  <c r="S47" i="34" s="1"/>
  <c r="J47" i="34"/>
  <c r="AC47" i="34"/>
  <c r="J13" i="35"/>
  <c r="AC13" i="35" s="1"/>
  <c r="H13" i="35"/>
  <c r="U13" i="35" s="1"/>
  <c r="J25" i="35"/>
  <c r="W25" i="35" s="1"/>
  <c r="H25" i="35"/>
  <c r="AB25" i="35" s="1"/>
  <c r="J35" i="35"/>
  <c r="AC35" i="35" s="1"/>
  <c r="F35" i="35"/>
  <c r="AA35" i="35"/>
  <c r="H35" i="35"/>
  <c r="J25" i="36"/>
  <c r="W25" i="36"/>
  <c r="F25" i="36"/>
  <c r="S25" i="36" s="1"/>
  <c r="H25" i="36"/>
  <c r="AB25" i="36" s="1"/>
  <c r="F13" i="37"/>
  <c r="S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U30" i="40" s="1"/>
  <c r="F33" i="40"/>
  <c r="AA33" i="40" s="1"/>
  <c r="H33" i="40"/>
  <c r="U33" i="40" s="1"/>
  <c r="J35" i="40"/>
  <c r="AC35" i="40" s="1"/>
  <c r="J37" i="40"/>
  <c r="AC37" i="40"/>
  <c r="H13" i="40"/>
  <c r="U13" i="40" s="1"/>
  <c r="J13" i="40"/>
  <c r="W13" i="40" s="1"/>
  <c r="F13" i="40"/>
  <c r="AA13" i="40" s="1"/>
  <c r="F14" i="37"/>
  <c r="AA14" i="37" s="1"/>
  <c r="F13" i="39"/>
  <c r="AA13" i="39" s="1"/>
  <c r="J14" i="40"/>
  <c r="W14" i="40" s="1"/>
  <c r="J14" i="37"/>
  <c r="J27" i="37"/>
  <c r="AC27" i="37" s="1"/>
  <c r="AA14" i="33"/>
  <c r="J36" i="37"/>
  <c r="AC36" i="37" s="1"/>
  <c r="J10" i="36"/>
  <c r="AC10" i="36" s="1"/>
  <c r="F17" i="21"/>
  <c r="AA17" i="21" s="1"/>
  <c r="H17" i="21"/>
  <c r="AB17" i="21" s="1"/>
  <c r="F15" i="21"/>
  <c r="S15" i="21" s="1"/>
  <c r="J41" i="39"/>
  <c r="W41" i="39" s="1"/>
  <c r="W44" i="39"/>
  <c r="G544" i="3"/>
  <c r="G536" i="3"/>
  <c r="G535" i="3"/>
  <c r="G532" i="3"/>
  <c r="G527" i="3"/>
  <c r="G523" i="3"/>
  <c r="G518" i="3"/>
  <c r="G510" i="3"/>
  <c r="G508" i="3"/>
  <c r="G504" i="3"/>
  <c r="G500" i="3"/>
  <c r="G496" i="3"/>
  <c r="G580" i="3"/>
  <c r="G576" i="3"/>
  <c r="G572" i="3"/>
  <c r="G564" i="3"/>
  <c r="G560" i="3"/>
  <c r="G550" i="3"/>
  <c r="BL576" i="3"/>
  <c r="BL560" i="3"/>
  <c r="BL542" i="3"/>
  <c r="BL530" i="3"/>
  <c r="BL516" i="3"/>
  <c r="BL502" i="3"/>
  <c r="BL498" i="3"/>
  <c r="BL578" i="3"/>
  <c r="BL566" i="3"/>
  <c r="BL552" i="3"/>
  <c r="BL536" i="3"/>
  <c r="G533" i="3"/>
  <c r="G529" i="3"/>
  <c r="BL528" i="3"/>
  <c r="G525" i="3"/>
  <c r="BL524" i="3"/>
  <c r="BL518" i="3"/>
  <c r="BL504" i="3"/>
  <c r="G493" i="3"/>
  <c r="BA566" i="3"/>
  <c r="BA560" i="3"/>
  <c r="AZ560" i="3" s="1"/>
  <c r="BA554" i="3"/>
  <c r="BA546" i="3"/>
  <c r="BA540" i="3"/>
  <c r="BA530" i="3"/>
  <c r="AZ530" i="3" s="1"/>
  <c r="BA518" i="3"/>
  <c r="BA510" i="3"/>
  <c r="BA504" i="3"/>
  <c r="BA498" i="3"/>
  <c r="AZ498" i="3" s="1"/>
  <c r="BA573" i="3"/>
  <c r="BA565" i="3"/>
  <c r="BA559" i="3"/>
  <c r="BA549" i="3"/>
  <c r="BA543" i="3"/>
  <c r="BA531" i="3"/>
  <c r="BA529" i="3"/>
  <c r="BA523" i="3"/>
  <c r="BA507" i="3"/>
  <c r="BA499" i="3"/>
  <c r="BA495" i="3"/>
  <c r="BA493" i="3"/>
  <c r="G581" i="3"/>
  <c r="G579" i="3"/>
  <c r="G575" i="3"/>
  <c r="G573" i="3"/>
  <c r="G571" i="3"/>
  <c r="G569" i="3"/>
  <c r="G567" i="3"/>
  <c r="G561" i="3"/>
  <c r="AC557" i="3"/>
  <c r="G557" i="3" s="1"/>
  <c r="BQ557" i="3"/>
  <c r="BQ583" i="3"/>
  <c r="BQ581" i="3"/>
  <c r="BL581" i="3" s="1"/>
  <c r="BQ579" i="3"/>
  <c r="BQ577" i="3"/>
  <c r="BQ575" i="3"/>
  <c r="BL575" i="3" s="1"/>
  <c r="BQ573" i="3"/>
  <c r="BQ571" i="3"/>
  <c r="BL571" i="3"/>
  <c r="BQ569" i="3"/>
  <c r="BQ567" i="3"/>
  <c r="BQ565" i="3"/>
  <c r="BL565" i="3" s="1"/>
  <c r="BQ563" i="3"/>
  <c r="BL563" i="3" s="1"/>
  <c r="BQ561" i="3"/>
  <c r="BQ559" i="3"/>
  <c r="BL559" i="3" s="1"/>
  <c r="G559" i="3"/>
  <c r="G555" i="3"/>
  <c r="G553" i="3"/>
  <c r="G545" i="3"/>
  <c r="G543" i="3"/>
  <c r="G541" i="3"/>
  <c r="G539" i="3"/>
  <c r="BQ555" i="3"/>
  <c r="BQ553" i="3"/>
  <c r="BL553" i="3" s="1"/>
  <c r="BQ551" i="3"/>
  <c r="BL551" i="3" s="1"/>
  <c r="BQ549" i="3"/>
  <c r="BQ547" i="3"/>
  <c r="BL547" i="3" s="1"/>
  <c r="BQ545" i="3"/>
  <c r="BQ543" i="3"/>
  <c r="BL543" i="3" s="1"/>
  <c r="BQ541" i="3"/>
  <c r="BQ539" i="3"/>
  <c r="BQ537" i="3"/>
  <c r="BL537" i="3" s="1"/>
  <c r="BQ535" i="3"/>
  <c r="BQ533" i="3"/>
  <c r="BL533" i="3"/>
  <c r="BQ531" i="3"/>
  <c r="BQ529" i="3"/>
  <c r="BQ527" i="3"/>
  <c r="BQ525" i="3"/>
  <c r="BQ523" i="3"/>
  <c r="BA521" i="3"/>
  <c r="AC521" i="3"/>
  <c r="G521" i="3" s="1"/>
  <c r="BQ521" i="3"/>
  <c r="BL521" i="3" s="1"/>
  <c r="G519" i="3"/>
  <c r="G513" i="3"/>
  <c r="G511" i="3"/>
  <c r="BQ519" i="3"/>
  <c r="BQ517" i="3"/>
  <c r="BQ515" i="3"/>
  <c r="BL515" i="3" s="1"/>
  <c r="BQ513" i="3"/>
  <c r="BQ511" i="3"/>
  <c r="BL511" i="3" s="1"/>
  <c r="BA509" i="3"/>
  <c r="AC509" i="3"/>
  <c r="BQ509" i="3"/>
  <c r="BL508" i="3"/>
  <c r="G507" i="3"/>
  <c r="G505" i="3"/>
  <c r="G499" i="3"/>
  <c r="G497" i="3"/>
  <c r="G495" i="3"/>
  <c r="BQ507" i="3"/>
  <c r="BQ505" i="3"/>
  <c r="BL505" i="3" s="1"/>
  <c r="BQ503" i="3"/>
  <c r="BL503" i="3" s="1"/>
  <c r="BQ501" i="3"/>
  <c r="BL501" i="3"/>
  <c r="BQ499" i="3"/>
  <c r="BL499" i="3" s="1"/>
  <c r="BQ497" i="3"/>
  <c r="BQ495" i="3"/>
  <c r="BL495" i="3" s="1"/>
  <c r="BQ493" i="3"/>
  <c r="S505" i="31"/>
  <c r="S501" i="31"/>
  <c r="O27" i="31"/>
  <c r="O28" i="31"/>
  <c r="O26" i="31"/>
  <c r="M27" i="31"/>
  <c r="M28" i="31"/>
  <c r="M26" i="31"/>
  <c r="I26" i="31"/>
  <c r="I25" i="31"/>
  <c r="K26" i="31"/>
  <c r="I27" i="31"/>
  <c r="K27" i="31"/>
  <c r="I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S36" i="37" s="1"/>
  <c r="AA36" i="37"/>
  <c r="F37" i="37"/>
  <c r="AA37" i="37" s="1"/>
  <c r="F31" i="40"/>
  <c r="AA31" i="40" s="1"/>
  <c r="H31" i="40"/>
  <c r="U31" i="40" s="1"/>
  <c r="J36" i="40"/>
  <c r="W36" i="40" s="1"/>
  <c r="H19" i="37"/>
  <c r="AB19" i="37" s="1"/>
  <c r="H42" i="33"/>
  <c r="AB42" i="33" s="1"/>
  <c r="J43" i="33"/>
  <c r="AC43" i="33" s="1"/>
  <c r="U26" i="37"/>
  <c r="W47" i="34"/>
  <c r="AC45" i="33"/>
  <c r="U11" i="33"/>
  <c r="U19" i="21"/>
  <c r="AB38" i="21"/>
  <c r="F43" i="33"/>
  <c r="S43" i="33" s="1"/>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AC15" i="37" s="1"/>
  <c r="AT6" i="3"/>
  <c r="H19" i="40"/>
  <c r="U19" i="40" s="1"/>
  <c r="F88" i="40"/>
  <c r="G88" i="40" s="1"/>
  <c r="F19" i="40"/>
  <c r="S19" i="40" s="1"/>
  <c r="AC13" i="40"/>
  <c r="AB33" i="40"/>
  <c r="W23" i="39"/>
  <c r="AC43" i="39"/>
  <c r="W43" i="39"/>
  <c r="AB44" i="39"/>
  <c r="U44" i="39"/>
  <c r="H37" i="39"/>
  <c r="AB37" i="39" s="1"/>
  <c r="H25" i="39"/>
  <c r="AB25" i="39" s="1"/>
  <c r="J25" i="39"/>
  <c r="W25" i="39" s="1"/>
  <c r="F25" i="39"/>
  <c r="AA25" i="39" s="1"/>
  <c r="F15" i="39"/>
  <c r="AA15" i="39" s="1"/>
  <c r="H15" i="39"/>
  <c r="U15" i="39" s="1"/>
  <c r="J15" i="39"/>
  <c r="W15" i="39" s="1"/>
  <c r="H41" i="39"/>
  <c r="AB41" i="39" s="1"/>
  <c r="U40"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BA341" i="3"/>
  <c r="BL341" i="3"/>
  <c r="AZ341" i="3" s="1"/>
  <c r="BA343" i="3"/>
  <c r="BA345" i="3"/>
  <c r="BL355" i="3"/>
  <c r="AZ355" i="3" s="1"/>
  <c r="G356" i="3"/>
  <c r="BL357" i="3"/>
  <c r="BA359" i="3"/>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AZ351" i="3" s="1"/>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M5" i="3"/>
  <c r="BF5" i="3"/>
  <c r="G548" i="3"/>
  <c r="G538" i="3"/>
  <c r="G520" i="3"/>
  <c r="G502" i="3"/>
  <c r="BI5" i="3"/>
  <c r="BC5" i="3"/>
  <c r="G17" i="3"/>
  <c r="BA17" i="3"/>
  <c r="BA15" i="3"/>
  <c r="BR5" i="3"/>
  <c r="G509" i="3"/>
  <c r="BL493" i="3"/>
  <c r="U36" i="40"/>
  <c r="F83" i="43"/>
  <c r="H85" i="43" s="1"/>
  <c r="G85" i="43" s="1"/>
  <c r="M85" i="43" s="1"/>
  <c r="N85" i="43" s="1"/>
  <c r="F50" i="43"/>
  <c r="H54" i="43" s="1"/>
  <c r="F72" i="43"/>
  <c r="H75" i="43" s="1"/>
  <c r="U17" i="39"/>
  <c r="S14" i="35"/>
  <c r="U35" i="21"/>
  <c r="AC35" i="21"/>
  <c r="U12" i="40"/>
  <c r="AA12" i="40"/>
  <c r="J37" i="33"/>
  <c r="W37"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W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K6" i="1"/>
  <c r="AP6" i="1" s="1"/>
  <c r="AB34" i="36"/>
  <c r="U34" i="36"/>
  <c r="AB33" i="36"/>
  <c r="U33" i="36"/>
  <c r="AC12" i="39"/>
  <c r="W12" i="39"/>
  <c r="W12" i="33"/>
  <c r="AC12" i="33"/>
  <c r="AA32" i="36"/>
  <c r="S32" i="36"/>
  <c r="BL14" i="3"/>
  <c r="U30" i="33"/>
  <c r="S19" i="39"/>
  <c r="F12" i="33"/>
  <c r="S12" i="33" s="1"/>
  <c r="H12" i="39"/>
  <c r="U12" i="39" s="1"/>
  <c r="AB12" i="39"/>
  <c r="F39" i="40"/>
  <c r="AA39" i="40" s="1"/>
  <c r="BA14" i="3"/>
  <c r="B12" i="1"/>
  <c r="E12" i="1" s="1"/>
  <c r="B10" i="1"/>
  <c r="E10" i="1" s="1"/>
  <c r="K12" i="1"/>
  <c r="M12" i="1" s="1"/>
  <c r="S13" i="1"/>
  <c r="AR13" i="1" s="1"/>
  <c r="R13" i="1"/>
  <c r="B41" i="1"/>
  <c r="F48" i="9" s="1"/>
  <c r="O52" i="9" s="1"/>
  <c r="S35" i="40"/>
  <c r="U35" i="40"/>
  <c r="AC36" i="40"/>
  <c r="S23" i="40"/>
  <c r="AC17" i="40"/>
  <c r="AC15" i="40"/>
  <c r="AB27" i="40"/>
  <c r="S30" i="40"/>
  <c r="S28" i="40"/>
  <c r="AA27" i="40"/>
  <c r="U21" i="40"/>
  <c r="U37" i="39"/>
  <c r="S43" i="39"/>
  <c r="U35" i="39"/>
  <c r="F32" i="39"/>
  <c r="AA32" i="39" s="1"/>
  <c r="F106" i="39"/>
  <c r="G106" i="39" s="1"/>
  <c r="H106" i="39" s="1"/>
  <c r="I106" i="39" s="1"/>
  <c r="J106" i="39" s="1"/>
  <c r="K106" i="39" s="1"/>
  <c r="L106" i="39" s="1"/>
  <c r="M106" i="39" s="1"/>
  <c r="AB27" i="39"/>
  <c r="J21" i="39"/>
  <c r="W21" i="39" s="1"/>
  <c r="F21" i="39"/>
  <c r="AA21" i="39" s="1"/>
  <c r="H21" i="39"/>
  <c r="W19" i="39"/>
  <c r="U19" i="39"/>
  <c r="S17" i="39"/>
  <c r="S15" i="39"/>
  <c r="AC13" i="39"/>
  <c r="S23" i="36"/>
  <c r="U13" i="36"/>
  <c r="U26" i="36"/>
  <c r="S33" i="36"/>
  <c r="AA26" i="36"/>
  <c r="AA34" i="36"/>
  <c r="W14" i="36"/>
  <c r="U22" i="36"/>
  <c r="S16" i="36"/>
  <c r="AA25" i="36"/>
  <c r="U24" i="36"/>
  <c r="AB20" i="36"/>
  <c r="U16" i="36"/>
  <c r="S14" i="36"/>
  <c r="W24" i="35"/>
  <c r="AB13" i="35"/>
  <c r="U28" i="35"/>
  <c r="AB27" i="35"/>
  <c r="U32" i="35"/>
  <c r="AA33" i="35"/>
  <c r="AC30" i="35"/>
  <c r="S32" i="35"/>
  <c r="AA36" i="35"/>
  <c r="S28" i="35"/>
  <c r="U22" i="35"/>
  <c r="U14" i="35"/>
  <c r="AC9" i="35"/>
  <c r="W9" i="35"/>
  <c r="F9" i="35"/>
  <c r="S9" i="35" s="1"/>
  <c r="H9" i="35"/>
  <c r="U9" i="35" s="1"/>
  <c r="AC29" i="37"/>
  <c r="U29" i="37"/>
  <c r="AB31" i="37"/>
  <c r="W30" i="37"/>
  <c r="AA38" i="37"/>
  <c r="AC35" i="37"/>
  <c r="W39" i="37"/>
  <c r="S30" i="37"/>
  <c r="J17" i="37"/>
  <c r="W17" i="37" s="1"/>
  <c r="F17" i="37"/>
  <c r="AA17" i="37" s="1"/>
  <c r="AB17" i="37"/>
  <c r="F75" i="37"/>
  <c r="G75" i="37" s="1"/>
  <c r="F19" i="37"/>
  <c r="S19" i="37" s="1"/>
  <c r="F79" i="37"/>
  <c r="G79" i="37" s="1"/>
  <c r="F23" i="37"/>
  <c r="S23" i="37" s="1"/>
  <c r="H10" i="37"/>
  <c r="AB10" i="37" s="1"/>
  <c r="F63" i="37"/>
  <c r="G63" i="37" s="1"/>
  <c r="H63" i="37" s="1"/>
  <c r="I63" i="37" s="1"/>
  <c r="J63" i="37" s="1"/>
  <c r="K63" i="37" s="1"/>
  <c r="L63" i="37" s="1"/>
  <c r="M63" i="37" s="1"/>
  <c r="F11" i="37"/>
  <c r="S11" i="37" s="1"/>
  <c r="AA33" i="34"/>
  <c r="W41" i="34"/>
  <c r="AC42" i="34"/>
  <c r="U39" i="34"/>
  <c r="U28" i="34"/>
  <c r="AA29" i="34"/>
  <c r="U15" i="34"/>
  <c r="S13" i="34"/>
  <c r="H10" i="34"/>
  <c r="AB10" i="34" s="1"/>
  <c r="F11" i="34"/>
  <c r="S11" i="34" s="1"/>
  <c r="W42" i="33"/>
  <c r="S32" i="33"/>
  <c r="AB29" i="33"/>
  <c r="W38" i="33"/>
  <c r="H41" i="33"/>
  <c r="F121" i="33"/>
  <c r="G121" i="33" s="1"/>
  <c r="H121" i="33" s="1"/>
  <c r="I121" i="33" s="1"/>
  <c r="J121" i="33" s="1"/>
  <c r="K121" i="33" s="1"/>
  <c r="L121" i="33" s="1"/>
  <c r="M121" i="33" s="1"/>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U27" i="33" s="1"/>
  <c r="F87" i="33"/>
  <c r="G87" i="33" s="1"/>
  <c r="H87" i="33" s="1"/>
  <c r="H25" i="33"/>
  <c r="F25" i="33"/>
  <c r="AA25" i="33" s="1"/>
  <c r="J23" i="33"/>
  <c r="AC23" i="33" s="1"/>
  <c r="F85" i="33"/>
  <c r="G85" i="33" s="1"/>
  <c r="H23" i="33"/>
  <c r="AB23" i="33" s="1"/>
  <c r="F81" i="33"/>
  <c r="G81" i="33" s="1"/>
  <c r="F19" i="33"/>
  <c r="S19" i="33" s="1"/>
  <c r="W19" i="33"/>
  <c r="J17" i="33"/>
  <c r="W17" i="33" s="1"/>
  <c r="W15" i="33"/>
  <c r="J10" i="33"/>
  <c r="W10" i="33" s="1"/>
  <c r="H10" i="33"/>
  <c r="U10" i="33" s="1"/>
  <c r="AB14" i="33"/>
  <c r="W36" i="21"/>
  <c r="AA43" i="21"/>
  <c r="S39" i="21"/>
  <c r="AA38" i="21"/>
  <c r="AA36" i="21"/>
  <c r="AC40" i="21"/>
  <c r="J15" i="21"/>
  <c r="AC15" i="21" s="1"/>
  <c r="F77" i="21"/>
  <c r="G77" i="21" s="1"/>
  <c r="F23" i="21"/>
  <c r="AA23" i="21" s="1"/>
  <c r="E85" i="21"/>
  <c r="AA14" i="21"/>
  <c r="D120" i="9"/>
  <c r="D121" i="9" s="1"/>
  <c r="D7" i="52" s="1"/>
  <c r="F34" i="67"/>
  <c r="F62" i="67" s="1"/>
  <c r="M20" i="67"/>
  <c r="F34" i="15"/>
  <c r="F62" i="15" s="1"/>
  <c r="BA13" i="3"/>
  <c r="BL17" i="3"/>
  <c r="AZ17" i="3" s="1"/>
  <c r="BL13" i="3"/>
  <c r="J56" i="9"/>
  <c r="J57" i="9" s="1"/>
  <c r="J59" i="9" s="1"/>
  <c r="J61" i="9" s="1"/>
  <c r="A24" i="51"/>
  <c r="B18" i="72" s="1"/>
  <c r="E32" i="6"/>
  <c r="G1" i="68"/>
  <c r="K1" i="12"/>
  <c r="E19" i="68"/>
  <c r="E1" i="73"/>
  <c r="C6" i="43"/>
  <c r="B19" i="53"/>
  <c r="B37" i="72" s="1"/>
  <c r="C7" i="40"/>
  <c r="C63" i="40" s="1"/>
  <c r="A4" i="51"/>
  <c r="B6" i="72" s="1"/>
  <c r="L20" i="6"/>
  <c r="B6" i="1"/>
  <c r="E6" i="1" s="1"/>
  <c r="K11" i="1"/>
  <c r="M11" i="1" s="1"/>
  <c r="O11" i="1" s="1"/>
  <c r="B9" i="1"/>
  <c r="E9" i="1" s="1"/>
  <c r="K7" i="1"/>
  <c r="M7" i="1" s="1"/>
  <c r="O7" i="1" s="1"/>
  <c r="P7" i="1" s="1"/>
  <c r="G1" i="15"/>
  <c r="W23" i="40"/>
  <c r="AB31" i="40"/>
  <c r="S37" i="40"/>
  <c r="AB28" i="40"/>
  <c r="W28" i="40"/>
  <c r="W27" i="40"/>
  <c r="W37" i="40"/>
  <c r="S33" i="40"/>
  <c r="U11" i="40"/>
  <c r="S31" i="40"/>
  <c r="AB13" i="40"/>
  <c r="U15" i="40"/>
  <c r="U8" i="40"/>
  <c r="S8" i="40"/>
  <c r="AC41" i="39"/>
  <c r="U42" i="39"/>
  <c r="AC25" i="39"/>
  <c r="S14" i="39"/>
  <c r="AA14" i="39"/>
  <c r="AB43" i="39"/>
  <c r="AB11" i="39"/>
  <c r="U11" i="39"/>
  <c r="AA27" i="39"/>
  <c r="S27" i="39"/>
  <c r="W17" i="39"/>
  <c r="AC17" i="39"/>
  <c r="AA45" i="39"/>
  <c r="AB39" i="39"/>
  <c r="W34" i="39"/>
  <c r="U38" i="39"/>
  <c r="S8" i="39"/>
  <c r="AC25" i="36"/>
  <c r="AC20" i="36"/>
  <c r="U25" i="36"/>
  <c r="AB28" i="36"/>
  <c r="AA13" i="36"/>
  <c r="W22" i="36"/>
  <c r="U25" i="35"/>
  <c r="S24" i="35"/>
  <c r="S35" i="35"/>
  <c r="W35" i="35"/>
  <c r="AA16" i="35"/>
  <c r="S28" i="37"/>
  <c r="U36" i="37"/>
  <c r="S40" i="37"/>
  <c r="U38" i="37"/>
  <c r="AB37" i="37"/>
  <c r="AC34" i="37"/>
  <c r="AA31" i="37"/>
  <c r="AA29" i="37"/>
  <c r="U8" i="37"/>
  <c r="AB40" i="34"/>
  <c r="AB33" i="34"/>
  <c r="AA30" i="34"/>
  <c r="AB47" i="34"/>
  <c r="W33" i="34"/>
  <c r="AC14" i="34"/>
  <c r="AC32" i="34"/>
  <c r="AC29" i="34"/>
  <c r="W29" i="34"/>
  <c r="W46" i="34"/>
  <c r="S32" i="34"/>
  <c r="AA32" i="34"/>
  <c r="U38" i="34"/>
  <c r="AC40" i="34"/>
  <c r="AA8" i="34"/>
  <c r="S8" i="34"/>
  <c r="U32" i="34"/>
  <c r="AC35" i="34"/>
  <c r="W35" i="34"/>
  <c r="AB28" i="33"/>
  <c r="U38" i="33"/>
  <c r="S33" i="33"/>
  <c r="AB34" i="33"/>
  <c r="U44" i="33"/>
  <c r="AB44" i="33"/>
  <c r="S30" i="33"/>
  <c r="AA30" i="33"/>
  <c r="AC14" i="33"/>
  <c r="AC30" i="33"/>
  <c r="W30" i="33"/>
  <c r="U15" i="33"/>
  <c r="S11" i="33"/>
  <c r="U37" i="33"/>
  <c r="AC28" i="33"/>
  <c r="S28" i="33"/>
  <c r="W9" i="33"/>
  <c r="S44" i="21"/>
  <c r="AB42" i="21"/>
  <c r="U28" i="21"/>
  <c r="I101" i="21"/>
  <c r="J101" i="21" s="1"/>
  <c r="K101" i="21" s="1"/>
  <c r="L101" i="21" s="1"/>
  <c r="M101" i="21" s="1"/>
  <c r="F33" i="21"/>
  <c r="AA33" i="21" s="1"/>
  <c r="J33" i="21"/>
  <c r="AC33" i="21" s="1"/>
  <c r="H33" i="21"/>
  <c r="AB33" i="21" s="1"/>
  <c r="F37" i="21"/>
  <c r="AA37" i="21" s="1"/>
  <c r="AA26" i="21"/>
  <c r="AB14" i="21"/>
  <c r="U40" i="21"/>
  <c r="J37" i="21"/>
  <c r="W37" i="21" s="1"/>
  <c r="H15" i="21"/>
  <c r="AB15" i="21" s="1"/>
  <c r="J17" i="21"/>
  <c r="AC17" i="21" s="1"/>
  <c r="AC19" i="21"/>
  <c r="AC14" i="21"/>
  <c r="H45" i="21"/>
  <c r="F29" i="21"/>
  <c r="AA29" i="21" s="1"/>
  <c r="F13" i="21"/>
  <c r="AA13" i="21" s="1"/>
  <c r="AC38" i="21"/>
  <c r="H32" i="21"/>
  <c r="H9" i="21"/>
  <c r="AB9" i="21" s="1"/>
  <c r="J9" i="21"/>
  <c r="J32" i="21"/>
  <c r="W32" i="21" s="1"/>
  <c r="F32" i="21"/>
  <c r="S19" i="21"/>
  <c r="S9" i="21"/>
  <c r="AA9" i="21"/>
  <c r="K141" i="21"/>
  <c r="K144" i="21"/>
  <c r="K143" i="21"/>
  <c r="AB25" i="21"/>
  <c r="AB44" i="21"/>
  <c r="W13" i="21"/>
  <c r="W42" i="21"/>
  <c r="AC45" i="21"/>
  <c r="F10" i="21"/>
  <c r="AA10" i="21" s="1"/>
  <c r="K145" i="21"/>
  <c r="W25" i="21"/>
  <c r="W31" i="21"/>
  <c r="S17" i="21"/>
  <c r="AA15" i="21"/>
  <c r="AB29" i="21"/>
  <c r="S28" i="21"/>
  <c r="AC34" i="21"/>
  <c r="AB36" i="21"/>
  <c r="C19" i="39"/>
  <c r="C15" i="40"/>
  <c r="C17" i="40"/>
  <c r="C21" i="40"/>
  <c r="B56" i="43"/>
  <c r="B67" i="43"/>
  <c r="B51" i="43"/>
  <c r="B54" i="43"/>
  <c r="B58" i="43"/>
  <c r="B62" i="43"/>
  <c r="B65" i="43"/>
  <c r="B69" i="43"/>
  <c r="D23" i="15"/>
  <c r="D22" i="15"/>
  <c r="E4" i="4"/>
  <c r="B5" i="62" s="1"/>
  <c r="B73" i="72" s="1"/>
  <c r="C4" i="4"/>
  <c r="S39" i="40"/>
  <c r="J32" i="39"/>
  <c r="AC32" i="39" s="1"/>
  <c r="H32" i="39"/>
  <c r="AB32" i="39" s="1"/>
  <c r="S32" i="39"/>
  <c r="AB21" i="39"/>
  <c r="U21" i="39"/>
  <c r="J19" i="37"/>
  <c r="W19" i="37" s="1"/>
  <c r="AA23" i="37"/>
  <c r="J23" i="37"/>
  <c r="W23" i="37" s="1"/>
  <c r="J10" i="37"/>
  <c r="W10" i="37" s="1"/>
  <c r="H11" i="37"/>
  <c r="AB11" i="37" s="1"/>
  <c r="H11" i="34"/>
  <c r="U11" i="34" s="1"/>
  <c r="J10" i="34"/>
  <c r="AC10" i="34" s="1"/>
  <c r="AB41" i="33"/>
  <c r="U41" i="33"/>
  <c r="AC35" i="33"/>
  <c r="J36" i="33"/>
  <c r="W36" i="33" s="1"/>
  <c r="H36" i="33"/>
  <c r="U36" i="33" s="1"/>
  <c r="S36" i="33"/>
  <c r="U25" i="33"/>
  <c r="AB25" i="33"/>
  <c r="I87" i="33"/>
  <c r="J87" i="33" s="1"/>
  <c r="K87" i="33" s="1"/>
  <c r="L87" i="33" s="1"/>
  <c r="M87" i="33" s="1"/>
  <c r="J25" i="33"/>
  <c r="AC25" i="33" s="1"/>
  <c r="F23" i="33"/>
  <c r="H19" i="33"/>
  <c r="AB19" i="33" s="1"/>
  <c r="H17" i="33"/>
  <c r="U17" i="33" s="1"/>
  <c r="F17" i="33"/>
  <c r="S17" i="33" s="1"/>
  <c r="J23" i="21"/>
  <c r="W23" i="21" s="1"/>
  <c r="F85" i="21"/>
  <c r="G85" i="21" s="1"/>
  <c r="H23" i="21"/>
  <c r="U23" i="21" s="1"/>
  <c r="S13" i="21"/>
  <c r="D6" i="52"/>
  <c r="AP7" i="1"/>
  <c r="W9" i="21"/>
  <c r="AC9" i="21"/>
  <c r="J11" i="37"/>
  <c r="AC11" i="37" s="1"/>
  <c r="J11" i="34"/>
  <c r="W11" i="34" s="1"/>
  <c r="W25" i="33"/>
  <c r="U19" i="33"/>
  <c r="H109" i="9"/>
  <c r="H112" i="9"/>
  <c r="D21" i="53" s="1"/>
  <c r="B39" i="72" s="1"/>
  <c r="H111" i="9"/>
  <c r="D126" i="9" s="1"/>
  <c r="AD3" i="71"/>
  <c r="J1" i="73"/>
  <c r="D24" i="71"/>
  <c r="U24" i="71" s="1"/>
  <c r="S24" i="71"/>
  <c r="T24" i="71"/>
  <c r="AB22" i="71"/>
  <c r="X20" i="71"/>
  <c r="X19" i="71"/>
  <c r="AA20" i="71"/>
  <c r="AA19" i="71"/>
  <c r="X23" i="71"/>
  <c r="Y19" i="71"/>
  <c r="Z19" i="71" s="1"/>
  <c r="AB20" i="71"/>
  <c r="AB19" i="71"/>
  <c r="Y20" i="71"/>
  <c r="Z20" i="71" s="1"/>
  <c r="X3" i="71"/>
  <c r="E10" i="76"/>
  <c r="M29" i="15"/>
  <c r="M8" i="15"/>
  <c r="F36" i="15"/>
  <c r="F5" i="73"/>
  <c r="F20" i="31"/>
  <c r="D6" i="73"/>
  <c r="E2" i="68"/>
  <c r="F38" i="15"/>
  <c r="E12" i="76"/>
  <c r="E13" i="76"/>
  <c r="F4" i="73"/>
  <c r="F7" i="73"/>
  <c r="F37" i="15"/>
  <c r="B11" i="76"/>
  <c r="C76" i="15"/>
  <c r="E2" i="69"/>
  <c r="B8" i="76"/>
  <c r="B7" i="76"/>
  <c r="AO13" i="1"/>
  <c r="E8" i="76"/>
  <c r="F7" i="15"/>
  <c r="E7" i="76"/>
  <c r="B10" i="76"/>
  <c r="J15" i="15"/>
  <c r="E9" i="76"/>
  <c r="F6" i="73"/>
  <c r="F3" i="73"/>
  <c r="E11" i="76"/>
  <c r="B12" i="76"/>
  <c r="B13" i="76"/>
  <c r="B9" i="76"/>
  <c r="F40" i="15"/>
  <c r="S25" i="35" l="1"/>
  <c r="AA25" i="35"/>
  <c r="AC26" i="33"/>
  <c r="W26" i="33"/>
  <c r="AZ570" i="3"/>
  <c r="AZ558" i="3"/>
  <c r="AZ556" i="3"/>
  <c r="AZ534" i="3"/>
  <c r="AZ525" i="3"/>
  <c r="AZ514" i="3"/>
  <c r="AZ500" i="3"/>
  <c r="AZ496" i="3"/>
  <c r="AZ584" i="3"/>
  <c r="AZ564" i="3"/>
  <c r="AZ563" i="3"/>
  <c r="AZ532" i="3"/>
  <c r="AZ522" i="3"/>
  <c r="AZ520" i="3"/>
  <c r="AA31" i="39"/>
  <c r="S31" i="39"/>
  <c r="AA27" i="33"/>
  <c r="S27" i="33"/>
  <c r="S46" i="34"/>
  <c r="AA46" i="34"/>
  <c r="AZ572" i="3"/>
  <c r="AZ526" i="3"/>
  <c r="G29" i="6"/>
  <c r="AZ497" i="3"/>
  <c r="S35" i="21"/>
  <c r="W36" i="37"/>
  <c r="S13" i="39"/>
  <c r="AA15" i="40"/>
  <c r="S22" i="35"/>
  <c r="W28" i="37"/>
  <c r="AC21" i="40"/>
  <c r="F27" i="37"/>
  <c r="F11" i="35"/>
  <c r="AB42" i="34"/>
  <c r="W28" i="35"/>
  <c r="BA366" i="3"/>
  <c r="AZ366" i="3" s="1"/>
  <c r="BA50" i="3"/>
  <c r="F63" i="71"/>
  <c r="F64" i="71" s="1"/>
  <c r="V64" i="71" s="1"/>
  <c r="U32" i="37"/>
  <c r="U25" i="39"/>
  <c r="U15" i="37"/>
  <c r="AZ505" i="3"/>
  <c r="AZ515" i="3"/>
  <c r="BL527" i="3"/>
  <c r="AZ565" i="3"/>
  <c r="BA501" i="3"/>
  <c r="AZ501" i="3" s="1"/>
  <c r="S25" i="33"/>
  <c r="AA12" i="33"/>
  <c r="C23" i="40"/>
  <c r="AA35" i="37"/>
  <c r="U23" i="37"/>
  <c r="AC20" i="35"/>
  <c r="AA47" i="34"/>
  <c r="S15" i="37"/>
  <c r="BL517" i="3"/>
  <c r="BL529" i="3"/>
  <c r="BL555" i="3"/>
  <c r="BL567" i="3"/>
  <c r="S14" i="37"/>
  <c r="J11" i="35"/>
  <c r="W11" i="35" s="1"/>
  <c r="H27" i="21"/>
  <c r="H26" i="33"/>
  <c r="J43" i="34"/>
  <c r="AC43" i="34" s="1"/>
  <c r="BA432" i="3"/>
  <c r="BL473" i="3"/>
  <c r="BA481" i="3"/>
  <c r="BA339" i="3"/>
  <c r="BL252" i="3"/>
  <c r="BL259" i="3"/>
  <c r="BL173" i="3"/>
  <c r="G37" i="3"/>
  <c r="BA98" i="3"/>
  <c r="K85" i="43"/>
  <c r="D85" i="43" s="1"/>
  <c r="U21" i="37"/>
  <c r="AZ493" i="3"/>
  <c r="AZ326" i="3"/>
  <c r="AB46" i="21"/>
  <c r="S13" i="40"/>
  <c r="S20" i="35"/>
  <c r="AB37" i="40"/>
  <c r="AC13" i="34"/>
  <c r="AC30" i="40"/>
  <c r="W37" i="37"/>
  <c r="AZ336" i="3"/>
  <c r="W15" i="37"/>
  <c r="BL519" i="3"/>
  <c r="BL531" i="3"/>
  <c r="BL569" i="3"/>
  <c r="AZ569" i="3" s="1"/>
  <c r="AA36" i="40"/>
  <c r="G417" i="3"/>
  <c r="G444" i="3"/>
  <c r="G464" i="3"/>
  <c r="G473" i="3"/>
  <c r="G491" i="3"/>
  <c r="G349" i="3"/>
  <c r="G225" i="3"/>
  <c r="G259" i="3"/>
  <c r="G35" i="3"/>
  <c r="BL44" i="3"/>
  <c r="W29" i="39"/>
  <c r="X31" i="71"/>
  <c r="B23" i="71"/>
  <c r="W27" i="39"/>
  <c r="AZ533" i="3"/>
  <c r="AZ518" i="3"/>
  <c r="F31" i="34"/>
  <c r="U29" i="39"/>
  <c r="AZ543" i="3"/>
  <c r="AA30" i="21"/>
  <c r="U39" i="33"/>
  <c r="AB30" i="34"/>
  <c r="AA40" i="34"/>
  <c r="W41" i="21"/>
  <c r="H31" i="34"/>
  <c r="H31" i="33"/>
  <c r="F46" i="21"/>
  <c r="U31" i="36"/>
  <c r="H9" i="33"/>
  <c r="BL451" i="3"/>
  <c r="BL230" i="3"/>
  <c r="G266" i="3"/>
  <c r="BL266" i="3"/>
  <c r="BA118" i="3"/>
  <c r="AZ118" i="3" s="1"/>
  <c r="BA55" i="3"/>
  <c r="BA62" i="3"/>
  <c r="BA78" i="3"/>
  <c r="W25" i="40"/>
  <c r="AB39" i="21"/>
  <c r="J27" i="33"/>
  <c r="AB16" i="35"/>
  <c r="S9" i="39"/>
  <c r="AB23" i="21"/>
  <c r="AC13" i="33"/>
  <c r="W46" i="33"/>
  <c r="S23" i="39"/>
  <c r="AA12" i="39"/>
  <c r="F43" i="34"/>
  <c r="AA43" i="34" s="1"/>
  <c r="AC11" i="39"/>
  <c r="AZ362" i="3"/>
  <c r="AZ339" i="3"/>
  <c r="AZ390" i="3"/>
  <c r="BL535" i="3"/>
  <c r="BL573" i="3"/>
  <c r="U46" i="34"/>
  <c r="W40" i="33"/>
  <c r="G570" i="3"/>
  <c r="BL402" i="3"/>
  <c r="G406" i="3"/>
  <c r="G431" i="3"/>
  <c r="BA437" i="3"/>
  <c r="BL447" i="3"/>
  <c r="G460" i="3"/>
  <c r="G471" i="3"/>
  <c r="G480" i="3"/>
  <c r="BA335" i="3"/>
  <c r="BA392" i="3"/>
  <c r="AZ392" i="3" s="1"/>
  <c r="BL395" i="3"/>
  <c r="BL212" i="3"/>
  <c r="G214" i="3"/>
  <c r="BA254" i="3"/>
  <c r="AZ254" i="3" s="1"/>
  <c r="G160" i="3"/>
  <c r="G56" i="3"/>
  <c r="G106" i="3"/>
  <c r="B68" i="43"/>
  <c r="E67" i="71"/>
  <c r="F35" i="71"/>
  <c r="E39" i="71"/>
  <c r="E40" i="71" s="1"/>
  <c r="U40" i="71" s="1"/>
  <c r="B43" i="71"/>
  <c r="B44" i="71" s="1"/>
  <c r="S44" i="71" s="1"/>
  <c r="U42" i="33"/>
  <c r="W27" i="37"/>
  <c r="BA466" i="3"/>
  <c r="BA220" i="3"/>
  <c r="BL239" i="3"/>
  <c r="BL169" i="3"/>
  <c r="BA28" i="3"/>
  <c r="U68" i="71"/>
  <c r="AC14" i="40"/>
  <c r="AB27" i="33"/>
  <c r="W43" i="21"/>
  <c r="AB40" i="37"/>
  <c r="AB45" i="39"/>
  <c r="H32" i="40"/>
  <c r="AB32" i="40" s="1"/>
  <c r="BL539" i="3"/>
  <c r="BL577" i="3"/>
  <c r="AZ577" i="3" s="1"/>
  <c r="C15" i="39"/>
  <c r="G429" i="3"/>
  <c r="BA453" i="3"/>
  <c r="BA455" i="3"/>
  <c r="AZ455" i="3" s="1"/>
  <c r="BL458" i="3"/>
  <c r="G478" i="3"/>
  <c r="BL219" i="3"/>
  <c r="G253" i="3"/>
  <c r="BL280" i="3"/>
  <c r="BA148" i="3"/>
  <c r="AZ148" i="3" s="1"/>
  <c r="BL158" i="3"/>
  <c r="BA164" i="3"/>
  <c r="AZ164" i="3" s="1"/>
  <c r="BA166" i="3"/>
  <c r="AZ166" i="3" s="1"/>
  <c r="G63" i="3"/>
  <c r="BA67" i="3"/>
  <c r="G70" i="3"/>
  <c r="G86" i="3"/>
  <c r="G111" i="3"/>
  <c r="C40" i="68"/>
  <c r="X38" i="71"/>
  <c r="AC17" i="33"/>
  <c r="AA31" i="33"/>
  <c r="AC25" i="35"/>
  <c r="W19" i="40"/>
  <c r="W32" i="33"/>
  <c r="AA19" i="37"/>
  <c r="AB35" i="37"/>
  <c r="AA39" i="39"/>
  <c r="W34" i="40"/>
  <c r="AC11" i="33"/>
  <c r="U43" i="21"/>
  <c r="AZ335" i="3"/>
  <c r="AA43" i="33"/>
  <c r="F32" i="40"/>
  <c r="BL541" i="3"/>
  <c r="AZ541" i="3" s="1"/>
  <c r="BL579" i="3"/>
  <c r="S28" i="34"/>
  <c r="J17" i="34"/>
  <c r="W17" i="34" s="1"/>
  <c r="F37" i="34"/>
  <c r="AA37" i="34" s="1"/>
  <c r="S27" i="35"/>
  <c r="BL15" i="3"/>
  <c r="AZ15" i="3" s="1"/>
  <c r="BL350" i="3"/>
  <c r="BL359" i="3"/>
  <c r="AZ359" i="3" s="1"/>
  <c r="BL278" i="3"/>
  <c r="BL115" i="3"/>
  <c r="F43" i="71"/>
  <c r="F44" i="71" s="1"/>
  <c r="V44" i="71" s="1"/>
  <c r="F6" i="1"/>
  <c r="G445" i="3"/>
  <c r="BA473" i="3"/>
  <c r="AZ473" i="3" s="1"/>
  <c r="BL474" i="3"/>
  <c r="BA331" i="3"/>
  <c r="BL210" i="3"/>
  <c r="BA257" i="3"/>
  <c r="BL181" i="3"/>
  <c r="BL100" i="3"/>
  <c r="BA106" i="3"/>
  <c r="AZ559" i="3"/>
  <c r="S17" i="37"/>
  <c r="AC26" i="21"/>
  <c r="W13" i="35"/>
  <c r="AA22" i="36"/>
  <c r="AZ14" i="3"/>
  <c r="BE5" i="3"/>
  <c r="BH5" i="3"/>
  <c r="AZ115" i="3"/>
  <c r="BL509" i="3"/>
  <c r="AZ509" i="3" s="1"/>
  <c r="BL583" i="3"/>
  <c r="J11" i="36"/>
  <c r="AC11" i="36" s="1"/>
  <c r="F13" i="33"/>
  <c r="J30" i="21"/>
  <c r="J37" i="34"/>
  <c r="AC37" i="34" s="1"/>
  <c r="BL409" i="3"/>
  <c r="BL490" i="3"/>
  <c r="G382" i="3"/>
  <c r="BA239" i="3"/>
  <c r="AZ239" i="3" s="1"/>
  <c r="BL242" i="3"/>
  <c r="BA248" i="3"/>
  <c r="G267" i="3"/>
  <c r="BA22" i="3"/>
  <c r="BL25" i="3"/>
  <c r="BL27" i="3"/>
  <c r="BL34" i="3"/>
  <c r="BA40" i="3"/>
  <c r="G68" i="3"/>
  <c r="G75" i="3"/>
  <c r="B55" i="71"/>
  <c r="B56" i="71" s="1"/>
  <c r="S56" i="71" s="1"/>
  <c r="AC17" i="37"/>
  <c r="W39" i="21"/>
  <c r="AB17" i="40"/>
  <c r="AA29" i="33"/>
  <c r="AC12" i="35"/>
  <c r="U36" i="35"/>
  <c r="AC26" i="36"/>
  <c r="AZ331" i="3"/>
  <c r="BL557" i="3"/>
  <c r="F14" i="40"/>
  <c r="AA14" i="40" s="1"/>
  <c r="AB30" i="40"/>
  <c r="J13" i="37"/>
  <c r="H46" i="33"/>
  <c r="J32" i="36"/>
  <c r="W32" i="36" s="1"/>
  <c r="H30" i="21"/>
  <c r="F26" i="33"/>
  <c r="H43" i="34"/>
  <c r="AB43" i="34" s="1"/>
  <c r="BL398" i="3"/>
  <c r="BA424" i="3"/>
  <c r="G425" i="3"/>
  <c r="BL425" i="3"/>
  <c r="G452" i="3"/>
  <c r="G472" i="3"/>
  <c r="G490" i="3"/>
  <c r="G380" i="3"/>
  <c r="G249" i="3"/>
  <c r="BL283" i="3"/>
  <c r="G285" i="3"/>
  <c r="BL122" i="3"/>
  <c r="G138" i="3"/>
  <c r="G154" i="3"/>
  <c r="G163" i="3"/>
  <c r="G172" i="3"/>
  <c r="BA194" i="3"/>
  <c r="BL195" i="3"/>
  <c r="BA201" i="3"/>
  <c r="G25" i="3"/>
  <c r="G66" i="3"/>
  <c r="BA88" i="3"/>
  <c r="Y35" i="71"/>
  <c r="Z35" i="71" s="1"/>
  <c r="E52" i="71"/>
  <c r="U52" i="71" s="1"/>
  <c r="B59" i="71"/>
  <c r="B60" i="71" s="1"/>
  <c r="S60" i="71" s="1"/>
  <c r="B34" i="71"/>
  <c r="B35" i="71" s="1"/>
  <c r="B36" i="71" s="1"/>
  <c r="S36" i="71" s="1"/>
  <c r="F51" i="71"/>
  <c r="F52" i="71" s="1"/>
  <c r="V52" i="71" s="1"/>
  <c r="E55" i="71"/>
  <c r="E56" i="71" s="1"/>
  <c r="U56" i="71" s="1"/>
  <c r="U23" i="33"/>
  <c r="S15" i="33"/>
  <c r="S17" i="40"/>
  <c r="AZ195" i="3"/>
  <c r="AZ511" i="3"/>
  <c r="BL523" i="3"/>
  <c r="AZ523" i="3" s="1"/>
  <c r="BL561" i="3"/>
  <c r="AZ561" i="3" s="1"/>
  <c r="H14" i="34"/>
  <c r="S38" i="33"/>
  <c r="G586" i="3"/>
  <c r="BA402" i="3"/>
  <c r="BL403" i="3"/>
  <c r="BA411" i="3"/>
  <c r="G432" i="3"/>
  <c r="BA438" i="3"/>
  <c r="G481" i="3"/>
  <c r="BA210" i="3"/>
  <c r="AZ210" i="3" s="1"/>
  <c r="G41" i="3"/>
  <c r="BA95" i="3"/>
  <c r="BL96" i="3"/>
  <c r="AB35" i="71"/>
  <c r="E59" i="71"/>
  <c r="E60" i="71" s="1"/>
  <c r="U60" i="71" s="1"/>
  <c r="B63" i="71"/>
  <c r="B64" i="71" s="1"/>
  <c r="S64" i="71" s="1"/>
  <c r="W29" i="36"/>
  <c r="U17" i="21"/>
  <c r="W8" i="33"/>
  <c r="U32" i="36"/>
  <c r="U29" i="34"/>
  <c r="AA35" i="33"/>
  <c r="AA13" i="37"/>
  <c r="W38" i="37"/>
  <c r="U29" i="35"/>
  <c r="H13" i="39"/>
  <c r="F45" i="21"/>
  <c r="BA400" i="3"/>
  <c r="BL430" i="3"/>
  <c r="G439" i="3"/>
  <c r="BL466" i="3"/>
  <c r="G468" i="3"/>
  <c r="BL385" i="3"/>
  <c r="BA235" i="3"/>
  <c r="BL127" i="3"/>
  <c r="AZ127" i="3" s="1"/>
  <c r="G202" i="3"/>
  <c r="G32" i="3"/>
  <c r="W30" i="36"/>
  <c r="S31" i="35"/>
  <c r="H38" i="40"/>
  <c r="G401" i="3"/>
  <c r="BA443" i="3"/>
  <c r="G446" i="3"/>
  <c r="G466" i="3"/>
  <c r="BA217" i="3"/>
  <c r="G220" i="3"/>
  <c r="BL290" i="3"/>
  <c r="G127" i="3"/>
  <c r="G134" i="3"/>
  <c r="G150" i="3"/>
  <c r="G19" i="3"/>
  <c r="G30" i="3"/>
  <c r="G46" i="3"/>
  <c r="G55" i="3"/>
  <c r="AC18" i="35"/>
  <c r="D76" i="71"/>
  <c r="F59" i="71"/>
  <c r="F60" i="71" s="1"/>
  <c r="V60" i="71" s="1"/>
  <c r="E63" i="71"/>
  <c r="E64" i="71" s="1"/>
  <c r="U64" i="71" s="1"/>
  <c r="S72" i="71"/>
  <c r="C42" i="1"/>
  <c r="C24" i="12" s="1"/>
  <c r="C7" i="39"/>
  <c r="C67" i="39" s="1"/>
  <c r="J51" i="67"/>
  <c r="C7" i="37"/>
  <c r="C52" i="37" s="1"/>
  <c r="D52" i="37" s="1"/>
  <c r="C7" i="21"/>
  <c r="AC45" i="34"/>
  <c r="AA45" i="34"/>
  <c r="AB45" i="34"/>
  <c r="U15" i="21"/>
  <c r="AZ539" i="3"/>
  <c r="AZ527" i="3"/>
  <c r="AZ553" i="3"/>
  <c r="AZ571" i="3"/>
  <c r="AZ494" i="3"/>
  <c r="AZ510" i="3"/>
  <c r="AZ552" i="3"/>
  <c r="S45" i="33"/>
  <c r="AA44" i="33"/>
  <c r="AA29" i="35"/>
  <c r="U34" i="39"/>
  <c r="AB34" i="39"/>
  <c r="AZ311" i="3"/>
  <c r="AZ342" i="3"/>
  <c r="AZ337" i="3"/>
  <c r="AC12" i="37"/>
  <c r="AZ521" i="3"/>
  <c r="AZ554" i="3"/>
  <c r="AB14" i="40"/>
  <c r="W31" i="34"/>
  <c r="AC31" i="34"/>
  <c r="AC11" i="35"/>
  <c r="AB39" i="37"/>
  <c r="U39" i="37"/>
  <c r="H31" i="21"/>
  <c r="F31" i="21"/>
  <c r="AC23" i="37"/>
  <c r="U9" i="21"/>
  <c r="W17" i="21"/>
  <c r="S23" i="21"/>
  <c r="W15" i="21"/>
  <c r="AZ310" i="3"/>
  <c r="AC44" i="21"/>
  <c r="W44" i="21"/>
  <c r="AA11" i="36"/>
  <c r="S11" i="36"/>
  <c r="AZ318" i="3"/>
  <c r="AZ377" i="3"/>
  <c r="AZ372" i="3"/>
  <c r="AZ361" i="3"/>
  <c r="AZ347" i="3"/>
  <c r="AZ344" i="3"/>
  <c r="AZ376" i="3"/>
  <c r="AZ499" i="3"/>
  <c r="AB45" i="33"/>
  <c r="AC44" i="33"/>
  <c r="W31" i="33"/>
  <c r="AC31" i="33"/>
  <c r="W28" i="21"/>
  <c r="AC28" i="21"/>
  <c r="S26" i="33"/>
  <c r="AA26" i="33"/>
  <c r="AA35" i="39"/>
  <c r="S35" i="39"/>
  <c r="AB34" i="35"/>
  <c r="U34" i="35"/>
  <c r="E90" i="34"/>
  <c r="D18" i="31"/>
  <c r="BB5" i="3"/>
  <c r="S42" i="21"/>
  <c r="AC5" i="3"/>
  <c r="AZ547" i="3"/>
  <c r="AZ504" i="3"/>
  <c r="AZ544" i="3"/>
  <c r="AZ566" i="3"/>
  <c r="AZ582" i="3"/>
  <c r="J15" i="34"/>
  <c r="AC15" i="34" s="1"/>
  <c r="F24" i="36"/>
  <c r="S40" i="39"/>
  <c r="S34" i="39"/>
  <c r="W39" i="33"/>
  <c r="W28" i="36"/>
  <c r="H12" i="33"/>
  <c r="U12" i="33" s="1"/>
  <c r="J9" i="36"/>
  <c r="J38" i="40"/>
  <c r="G582" i="3"/>
  <c r="G574" i="3"/>
  <c r="BL586" i="3"/>
  <c r="AZ586" i="3" s="1"/>
  <c r="AA40" i="21"/>
  <c r="J27" i="34"/>
  <c r="AC27" i="34" s="1"/>
  <c r="AA34" i="40"/>
  <c r="AA38" i="40"/>
  <c r="G552" i="3"/>
  <c r="A15" i="62"/>
  <c r="B61" i="72" s="1"/>
  <c r="G14" i="3"/>
  <c r="G402" i="3"/>
  <c r="BA407" i="3"/>
  <c r="BA410" i="3"/>
  <c r="BL414" i="3"/>
  <c r="BL415" i="3"/>
  <c r="BA419" i="3"/>
  <c r="BL419" i="3"/>
  <c r="BA431" i="3"/>
  <c r="G435" i="3"/>
  <c r="BA436" i="3"/>
  <c r="BA444" i="3"/>
  <c r="BA446" i="3"/>
  <c r="BA452" i="3"/>
  <c r="BA458" i="3"/>
  <c r="AZ458" i="3" s="1"/>
  <c r="BA462" i="3"/>
  <c r="BL472" i="3"/>
  <c r="BA480" i="3"/>
  <c r="BL488" i="3"/>
  <c r="BL383" i="3"/>
  <c r="AZ383" i="3" s="1"/>
  <c r="BL208" i="3"/>
  <c r="BA214" i="3"/>
  <c r="BL224" i="3"/>
  <c r="BA225" i="3"/>
  <c r="BA228" i="3"/>
  <c r="G231" i="3"/>
  <c r="BL237" i="3"/>
  <c r="G246" i="3"/>
  <c r="BA246" i="3"/>
  <c r="BA252" i="3"/>
  <c r="AZ252" i="3" s="1"/>
  <c r="G256" i="3"/>
  <c r="BA256" i="3"/>
  <c r="BL256" i="3"/>
  <c r="G260" i="3"/>
  <c r="BA265" i="3"/>
  <c r="BL267" i="3"/>
  <c r="BL272" i="3"/>
  <c r="BL273" i="3"/>
  <c r="G283" i="3"/>
  <c r="BL82" i="3"/>
  <c r="G112" i="3"/>
  <c r="BA408" i="3"/>
  <c r="BA409" i="3"/>
  <c r="AZ409" i="3" s="1"/>
  <c r="G423" i="3"/>
  <c r="BL423" i="3"/>
  <c r="G428" i="3"/>
  <c r="BA428" i="3"/>
  <c r="BA429" i="3"/>
  <c r="BA430" i="3"/>
  <c r="AZ430" i="3" s="1"/>
  <c r="G434" i="3"/>
  <c r="BA434" i="3"/>
  <c r="BL443" i="3"/>
  <c r="BA451" i="3"/>
  <c r="AZ451" i="3" s="1"/>
  <c r="G457" i="3"/>
  <c r="BL457" i="3"/>
  <c r="BL460" i="3"/>
  <c r="BL461" i="3"/>
  <c r="BA463" i="3"/>
  <c r="BL463" i="3"/>
  <c r="BL465" i="3"/>
  <c r="BA470" i="3"/>
  <c r="BL470" i="3"/>
  <c r="BA485" i="3"/>
  <c r="BL487" i="3"/>
  <c r="BL308" i="3"/>
  <c r="AZ308" i="3" s="1"/>
  <c r="BL314" i="3"/>
  <c r="AZ314" i="3" s="1"/>
  <c r="BA354" i="3"/>
  <c r="BL381" i="3"/>
  <c r="AZ381" i="3" s="1"/>
  <c r="BA385" i="3"/>
  <c r="BL211" i="3"/>
  <c r="BA212" i="3"/>
  <c r="BL216" i="3"/>
  <c r="BL227" i="3"/>
  <c r="G241" i="3"/>
  <c r="BA241" i="3"/>
  <c r="BL241" i="3"/>
  <c r="BA245" i="3"/>
  <c r="BA250" i="3"/>
  <c r="BA255" i="3"/>
  <c r="AZ255" i="3" s="1"/>
  <c r="BL264" i="3"/>
  <c r="G268" i="3"/>
  <c r="BA268" i="3"/>
  <c r="BA275" i="3"/>
  <c r="BA280" i="3"/>
  <c r="AZ280" i="3" s="1"/>
  <c r="BA283" i="3"/>
  <c r="AC18" i="36"/>
  <c r="W18" i="36"/>
  <c r="AB25" i="40"/>
  <c r="U25" i="40"/>
  <c r="C60" i="71"/>
  <c r="D59" i="71"/>
  <c r="F67" i="71"/>
  <c r="V68" i="71"/>
  <c r="Q68" i="71"/>
  <c r="S76" i="71"/>
  <c r="B75" i="71"/>
  <c r="B74" i="71" s="1"/>
  <c r="H5" i="3"/>
  <c r="G399" i="3"/>
  <c r="BL399" i="3"/>
  <c r="BL406" i="3"/>
  <c r="G411" i="3"/>
  <c r="BL412" i="3"/>
  <c r="BA417" i="3"/>
  <c r="G420" i="3"/>
  <c r="G421" i="3"/>
  <c r="BL421" i="3"/>
  <c r="BL422" i="3"/>
  <c r="BL427" i="3"/>
  <c r="BL433" i="3"/>
  <c r="G436" i="3"/>
  <c r="BL440" i="3"/>
  <c r="G442" i="3"/>
  <c r="G443" i="3"/>
  <c r="BA448" i="3"/>
  <c r="BA450" i="3"/>
  <c r="BA456" i="3"/>
  <c r="G459" i="3"/>
  <c r="G463" i="3"/>
  <c r="G470" i="3"/>
  <c r="G477" i="3"/>
  <c r="BL484" i="3"/>
  <c r="BA487" i="3"/>
  <c r="BA489" i="3"/>
  <c r="BL489" i="3"/>
  <c r="G492" i="3"/>
  <c r="BA303" i="3"/>
  <c r="AZ303" i="3" s="1"/>
  <c r="BA307" i="3"/>
  <c r="AZ307" i="3" s="1"/>
  <c r="BA319" i="3"/>
  <c r="AZ319" i="3" s="1"/>
  <c r="G343" i="3"/>
  <c r="G347" i="3"/>
  <c r="BA348" i="3"/>
  <c r="BA350" i="3"/>
  <c r="AZ350" i="3" s="1"/>
  <c r="BL367" i="3"/>
  <c r="BL375" i="3"/>
  <c r="AZ375" i="3" s="1"/>
  <c r="BL386" i="3"/>
  <c r="G392" i="3"/>
  <c r="G396" i="3"/>
  <c r="BA397" i="3"/>
  <c r="BL397" i="3"/>
  <c r="BL214" i="3"/>
  <c r="G216" i="3"/>
  <c r="BL222" i="3"/>
  <c r="BL225" i="3"/>
  <c r="AZ225" i="3" s="1"/>
  <c r="BL226" i="3"/>
  <c r="G227" i="3"/>
  <c r="G234" i="3"/>
  <c r="BA240" i="3"/>
  <c r="G243" i="3"/>
  <c r="BA244" i="3"/>
  <c r="BL244" i="3"/>
  <c r="G247" i="3"/>
  <c r="G251" i="3"/>
  <c r="G257" i="3"/>
  <c r="G258" i="3"/>
  <c r="BA258" i="3"/>
  <c r="BL262" i="3"/>
  <c r="BL269" i="3"/>
  <c r="G271" i="3"/>
  <c r="G276" i="3"/>
  <c r="BA288" i="3"/>
  <c r="BL291" i="3"/>
  <c r="AZ291" i="3" s="1"/>
  <c r="G292" i="3"/>
  <c r="BL299" i="3"/>
  <c r="BA122" i="3"/>
  <c r="AZ122" i="3" s="1"/>
  <c r="BA125" i="3"/>
  <c r="G73" i="3"/>
  <c r="AA18" i="36"/>
  <c r="S18" i="36"/>
  <c r="B27" i="71"/>
  <c r="B26" i="71" s="1"/>
  <c r="S28" i="71"/>
  <c r="X36" i="71"/>
  <c r="X34" i="71"/>
  <c r="S68" i="71"/>
  <c r="B67" i="71"/>
  <c r="N68" i="71"/>
  <c r="BA293" i="3"/>
  <c r="G295" i="3"/>
  <c r="BA134" i="3"/>
  <c r="AZ134" i="3" s="1"/>
  <c r="BL135" i="3"/>
  <c r="AZ135" i="3" s="1"/>
  <c r="BL139" i="3"/>
  <c r="AZ139" i="3" s="1"/>
  <c r="BA145" i="3"/>
  <c r="BA153" i="3"/>
  <c r="BA157" i="3"/>
  <c r="G206" i="3"/>
  <c r="Y26" i="71"/>
  <c r="Z26" i="71" s="1"/>
  <c r="Y27" i="71"/>
  <c r="Z27" i="71" s="1"/>
  <c r="AA3" i="71"/>
  <c r="E30" i="71"/>
  <c r="E31" i="71" s="1"/>
  <c r="E32" i="71" s="1"/>
  <c r="U32" i="71" s="1"/>
  <c r="V72" i="71"/>
  <c r="F71" i="71"/>
  <c r="F70" i="71" s="1"/>
  <c r="T80" i="71"/>
  <c r="D80" i="71"/>
  <c r="BA301" i="3"/>
  <c r="BA120" i="3"/>
  <c r="AZ120" i="3" s="1"/>
  <c r="G123" i="3"/>
  <c r="BA124" i="3"/>
  <c r="AZ124" i="3" s="1"/>
  <c r="G128" i="3"/>
  <c r="G158" i="3"/>
  <c r="G167" i="3"/>
  <c r="BL171" i="3"/>
  <c r="AZ171" i="3" s="1"/>
  <c r="G178" i="3"/>
  <c r="BA178" i="3"/>
  <c r="BL189" i="3"/>
  <c r="BL190" i="3"/>
  <c r="G191" i="3"/>
  <c r="BA192" i="3"/>
  <c r="AZ192" i="3" s="1"/>
  <c r="G195" i="3"/>
  <c r="BL198" i="3"/>
  <c r="BL199" i="3"/>
  <c r="AZ199" i="3" s="1"/>
  <c r="BA200" i="3"/>
  <c r="AZ200" i="3" s="1"/>
  <c r="BL207" i="3"/>
  <c r="BL18" i="3"/>
  <c r="BL19" i="3"/>
  <c r="BA20" i="3"/>
  <c r="G31" i="3"/>
  <c r="BA32" i="3"/>
  <c r="BA43" i="3"/>
  <c r="BL52" i="3"/>
  <c r="BA54" i="3"/>
  <c r="BL56" i="3"/>
  <c r="BA58" i="3"/>
  <c r="BL59" i="3"/>
  <c r="BL60" i="3"/>
  <c r="BA61" i="3"/>
  <c r="BA92" i="3"/>
  <c r="G95" i="3"/>
  <c r="BL99" i="3"/>
  <c r="BA105" i="3"/>
  <c r="G7" i="34"/>
  <c r="I7" i="34"/>
  <c r="E7" i="34"/>
  <c r="AA34" i="71"/>
  <c r="C5" i="68"/>
  <c r="BA168" i="3"/>
  <c r="AZ168" i="3" s="1"/>
  <c r="BA169" i="3"/>
  <c r="AZ169" i="3" s="1"/>
  <c r="BA177" i="3"/>
  <c r="BL197" i="3"/>
  <c r="BL205" i="3"/>
  <c r="G23" i="3"/>
  <c r="BA30" i="3"/>
  <c r="BA31" i="3"/>
  <c r="G38" i="3"/>
  <c r="G42" i="3"/>
  <c r="G45" i="3"/>
  <c r="G51" i="3"/>
  <c r="G52" i="3"/>
  <c r="BA52" i="3"/>
  <c r="BL72" i="3"/>
  <c r="G74" i="3"/>
  <c r="BA77" i="3"/>
  <c r="G79" i="3"/>
  <c r="G80" i="3"/>
  <c r="BA80" i="3"/>
  <c r="G84" i="3"/>
  <c r="BL84" i="3"/>
  <c r="BL91" i="3"/>
  <c r="G93" i="3"/>
  <c r="BA94" i="3"/>
  <c r="G99" i="3"/>
  <c r="BL103" i="3"/>
  <c r="BA104" i="3"/>
  <c r="G107" i="3"/>
  <c r="BL110" i="3"/>
  <c r="BL111" i="3"/>
  <c r="AC21" i="21"/>
  <c r="S25" i="40"/>
  <c r="AA18" i="35"/>
  <c r="P27" i="6"/>
  <c r="C75" i="71"/>
  <c r="D68" i="71"/>
  <c r="X25" i="71"/>
  <c r="F36" i="71"/>
  <c r="V36" i="71" s="1"/>
  <c r="AB34" i="71"/>
  <c r="AA35" i="71"/>
  <c r="Y37" i="71"/>
  <c r="Z37" i="71" s="1"/>
  <c r="C43" i="71"/>
  <c r="C63" i="71"/>
  <c r="F79" i="71"/>
  <c r="F78" i="71" s="1"/>
  <c r="BA278" i="3"/>
  <c r="AZ278" i="3" s="1"/>
  <c r="G281" i="3"/>
  <c r="G287" i="3"/>
  <c r="G288" i="3"/>
  <c r="G297" i="3"/>
  <c r="G126" i="3"/>
  <c r="BA126" i="3"/>
  <c r="G130" i="3"/>
  <c r="BL133" i="3"/>
  <c r="G135" i="3"/>
  <c r="G136" i="3"/>
  <c r="G144" i="3"/>
  <c r="BA144" i="3"/>
  <c r="AZ144" i="3" s="1"/>
  <c r="BL146" i="3"/>
  <c r="G147" i="3"/>
  <c r="BA149" i="3"/>
  <c r="BL154" i="3"/>
  <c r="BA156" i="3"/>
  <c r="AZ156" i="3" s="1"/>
  <c r="BA162" i="3"/>
  <c r="BL163" i="3"/>
  <c r="AZ163" i="3" s="1"/>
  <c r="G170" i="3"/>
  <c r="BL175" i="3"/>
  <c r="AZ175" i="3" s="1"/>
  <c r="BA176" i="3"/>
  <c r="AZ176" i="3" s="1"/>
  <c r="G179" i="3"/>
  <c r="G184" i="3"/>
  <c r="BA184" i="3"/>
  <c r="AZ184" i="3" s="1"/>
  <c r="BL187" i="3"/>
  <c r="AZ187" i="3" s="1"/>
  <c r="G188" i="3"/>
  <c r="BA189" i="3"/>
  <c r="BA202" i="3"/>
  <c r="BA207" i="3"/>
  <c r="G21" i="3"/>
  <c r="BL35" i="3"/>
  <c r="G36" i="3"/>
  <c r="G40" i="3"/>
  <c r="BA47" i="3"/>
  <c r="BL47" i="3"/>
  <c r="G49" i="3"/>
  <c r="G54" i="3"/>
  <c r="G62" i="3"/>
  <c r="BL65" i="3"/>
  <c r="BL66" i="3"/>
  <c r="BA68" i="3"/>
  <c r="BL70" i="3"/>
  <c r="BL71" i="3"/>
  <c r="G78" i="3"/>
  <c r="BL86" i="3"/>
  <c r="G87" i="3"/>
  <c r="BA89" i="3"/>
  <c r="G98" i="3"/>
  <c r="G102" i="3"/>
  <c r="BA103" i="3"/>
  <c r="G110" i="3"/>
  <c r="AC21" i="33"/>
  <c r="T68" i="71"/>
  <c r="C31" i="71"/>
  <c r="D31" i="71" s="1"/>
  <c r="AA38" i="71"/>
  <c r="C23" i="71"/>
  <c r="B22" i="71"/>
  <c r="B21" i="71" s="1"/>
  <c r="B20" i="71" s="1"/>
  <c r="J25" i="34"/>
  <c r="AC25" i="34" s="1"/>
  <c r="U25" i="34"/>
  <c r="AA25" i="34"/>
  <c r="C18" i="9"/>
  <c r="D18" i="9" s="1"/>
  <c r="W44" i="34"/>
  <c r="AA44" i="34"/>
  <c r="S36" i="34"/>
  <c r="AB36" i="34"/>
  <c r="W36" i="34"/>
  <c r="W43" i="34"/>
  <c r="S43" i="34"/>
  <c r="U43" i="34"/>
  <c r="AB35" i="34"/>
  <c r="U34" i="34"/>
  <c r="AA23" i="34"/>
  <c r="AA19" i="34"/>
  <c r="W19" i="34"/>
  <c r="AB23" i="34"/>
  <c r="AC23" i="34"/>
  <c r="U19" i="34"/>
  <c r="F17" i="34"/>
  <c r="AA17" i="34" s="1"/>
  <c r="H17" i="34"/>
  <c r="U17" i="34" s="1"/>
  <c r="AC17" i="34"/>
  <c r="AB8" i="34"/>
  <c r="F32" i="67"/>
  <c r="F60" i="67" s="1"/>
  <c r="F28" i="67"/>
  <c r="F28" i="15"/>
  <c r="C28" i="15" s="1"/>
  <c r="C21" i="68"/>
  <c r="E19" i="11"/>
  <c r="G22" i="11"/>
  <c r="G26" i="12"/>
  <c r="G22" i="68"/>
  <c r="G22" i="69"/>
  <c r="G1" i="67"/>
  <c r="G13" i="3"/>
  <c r="F29" i="6"/>
  <c r="C7" i="36"/>
  <c r="C46" i="36" s="1"/>
  <c r="D46" i="36" s="1"/>
  <c r="E46" i="36" s="1"/>
  <c r="F46" i="36" s="1"/>
  <c r="G46" i="36" s="1"/>
  <c r="H46" i="36" s="1"/>
  <c r="I46" i="36" s="1"/>
  <c r="G23" i="43"/>
  <c r="C23" i="43" s="1"/>
  <c r="C7" i="33"/>
  <c r="M47" i="9"/>
  <c r="C7" i="35"/>
  <c r="C48" i="35" s="1"/>
  <c r="D48" i="35" s="1"/>
  <c r="AC23" i="21"/>
  <c r="AA32" i="21"/>
  <c r="S32" i="21"/>
  <c r="AB32" i="21"/>
  <c r="U32" i="21"/>
  <c r="U45" i="21"/>
  <c r="AB45" i="21"/>
  <c r="AC27" i="21"/>
  <c r="W27" i="21"/>
  <c r="AA25" i="37"/>
  <c r="S25" i="37"/>
  <c r="AC9" i="34"/>
  <c r="W9" i="34"/>
  <c r="U12" i="34"/>
  <c r="AB12" i="34"/>
  <c r="U32" i="39"/>
  <c r="U13" i="21"/>
  <c r="AB13" i="21"/>
  <c r="W29" i="21"/>
  <c r="AC29" i="21"/>
  <c r="AA23" i="35"/>
  <c r="S23" i="35"/>
  <c r="AB36" i="33"/>
  <c r="W32" i="39"/>
  <c r="S21" i="39"/>
  <c r="F54" i="9"/>
  <c r="F32" i="15"/>
  <c r="F60" i="15" s="1"/>
  <c r="F52" i="9"/>
  <c r="F30" i="68"/>
  <c r="F48" i="68" s="1"/>
  <c r="AC34" i="33"/>
  <c r="AZ391" i="3"/>
  <c r="AZ364" i="3"/>
  <c r="AZ329" i="3"/>
  <c r="AZ304" i="3"/>
  <c r="AZ306" i="3"/>
  <c r="AZ535" i="3"/>
  <c r="AZ557" i="3"/>
  <c r="AZ513" i="3"/>
  <c r="AZ575" i="3"/>
  <c r="AZ528" i="3"/>
  <c r="AZ574" i="3"/>
  <c r="AZ540" i="3"/>
  <c r="AZ502" i="3"/>
  <c r="W33" i="33"/>
  <c r="G587" i="3"/>
  <c r="B101" i="43"/>
  <c r="B79" i="43"/>
  <c r="AC8" i="34"/>
  <c r="W8" i="34"/>
  <c r="H23" i="36"/>
  <c r="J23" i="36"/>
  <c r="J25" i="37"/>
  <c r="H31" i="39"/>
  <c r="J31" i="39"/>
  <c r="M18" i="15"/>
  <c r="M18" i="67"/>
  <c r="F30" i="11"/>
  <c r="C48" i="11" s="1"/>
  <c r="AA19" i="33"/>
  <c r="AC37" i="33"/>
  <c r="S20" i="36"/>
  <c r="AA17" i="33"/>
  <c r="S37" i="21"/>
  <c r="D68" i="9"/>
  <c r="F30" i="69"/>
  <c r="F48" i="69" s="1"/>
  <c r="F31" i="12"/>
  <c r="U19" i="37"/>
  <c r="W32" i="37"/>
  <c r="U24" i="35"/>
  <c r="AB20" i="35"/>
  <c r="U41" i="39"/>
  <c r="U32" i="40"/>
  <c r="AB41" i="34"/>
  <c r="S37" i="37"/>
  <c r="AB14" i="36"/>
  <c r="U14" i="39"/>
  <c r="AB19" i="40"/>
  <c r="AA19" i="40"/>
  <c r="AA32" i="37"/>
  <c r="U13" i="37"/>
  <c r="AZ357" i="3"/>
  <c r="AZ322" i="3"/>
  <c r="AZ313" i="3"/>
  <c r="AZ394" i="3"/>
  <c r="S14" i="40"/>
  <c r="AA25" i="21"/>
  <c r="AZ519" i="3"/>
  <c r="AZ531" i="3"/>
  <c r="AZ573" i="3"/>
  <c r="AZ583" i="3"/>
  <c r="AZ568" i="3"/>
  <c r="AZ576" i="3"/>
  <c r="U36" i="39"/>
  <c r="AA14" i="34"/>
  <c r="F27" i="21"/>
  <c r="S38" i="39"/>
  <c r="W22" i="35"/>
  <c r="W31" i="37"/>
  <c r="J45" i="39"/>
  <c r="W45" i="39" s="1"/>
  <c r="BL585" i="3"/>
  <c r="AZ585" i="3" s="1"/>
  <c r="F9" i="33"/>
  <c r="AA9" i="33" s="1"/>
  <c r="AB33" i="33"/>
  <c r="U33" i="33"/>
  <c r="H25" i="37"/>
  <c r="AC40" i="39"/>
  <c r="W40" i="39"/>
  <c r="AC8" i="40"/>
  <c r="W8" i="40"/>
  <c r="G558" i="3"/>
  <c r="AZ579" i="3"/>
  <c r="AA35" i="34"/>
  <c r="S35" i="34"/>
  <c r="J12" i="34"/>
  <c r="F12" i="34"/>
  <c r="S12" i="34" s="1"/>
  <c r="J39" i="40"/>
  <c r="H39" i="40"/>
  <c r="AC39" i="34"/>
  <c r="AA34" i="33"/>
  <c r="AZ387" i="3"/>
  <c r="AZ338" i="3"/>
  <c r="AZ371" i="3"/>
  <c r="AZ305" i="3"/>
  <c r="AZ360" i="3"/>
  <c r="AZ529" i="3"/>
  <c r="AZ537" i="3"/>
  <c r="AZ546" i="3"/>
  <c r="BL587" i="3"/>
  <c r="AZ587" i="3" s="1"/>
  <c r="F9" i="34"/>
  <c r="AA9" i="34" s="1"/>
  <c r="H9" i="34"/>
  <c r="U12" i="35"/>
  <c r="AB12" i="35"/>
  <c r="J23" i="35"/>
  <c r="H23" i="35"/>
  <c r="J37" i="39"/>
  <c r="F37" i="39"/>
  <c r="G556" i="3"/>
  <c r="BA551" i="3"/>
  <c r="AZ551" i="3" s="1"/>
  <c r="BA550" i="3"/>
  <c r="BL548" i="3"/>
  <c r="AZ548" i="3" s="1"/>
  <c r="AZ462" i="3"/>
  <c r="AZ402" i="3"/>
  <c r="AZ406" i="3"/>
  <c r="AZ443" i="3"/>
  <c r="G551" i="3"/>
  <c r="BL550" i="3"/>
  <c r="G542"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AZ426" i="3" s="1"/>
  <c r="BA427" i="3"/>
  <c r="AZ427" i="3" s="1"/>
  <c r="BA433" i="3"/>
  <c r="AZ433" i="3" s="1"/>
  <c r="BA435" i="3"/>
  <c r="BL437" i="3"/>
  <c r="AZ437" i="3" s="1"/>
  <c r="G440" i="3"/>
  <c r="BL441" i="3"/>
  <c r="BL442" i="3"/>
  <c r="BL444" i="3"/>
  <c r="AZ444" i="3" s="1"/>
  <c r="G447" i="3"/>
  <c r="BL448" i="3"/>
  <c r="G451" i="3"/>
  <c r="BA454" i="3"/>
  <c r="BA457" i="3"/>
  <c r="AZ457" i="3" s="1"/>
  <c r="BA459" i="3"/>
  <c r="BA460" i="3"/>
  <c r="AZ460" i="3" s="1"/>
  <c r="BA461" i="3"/>
  <c r="AZ461" i="3" s="1"/>
  <c r="BL464" i="3"/>
  <c r="BL467" i="3"/>
  <c r="BL468" i="3"/>
  <c r="BL471" i="3"/>
  <c r="BL475" i="3"/>
  <c r="BA477" i="3"/>
  <c r="BA478" i="3"/>
  <c r="AZ487" i="3"/>
  <c r="BL16" i="3"/>
  <c r="AZ16" i="3" s="1"/>
  <c r="BA401" i="3"/>
  <c r="BA403" i="3"/>
  <c r="AZ403" i="3" s="1"/>
  <c r="BA404" i="3"/>
  <c r="BA405" i="3"/>
  <c r="G409" i="3"/>
  <c r="BL410" i="3"/>
  <c r="G412" i="3"/>
  <c r="G418" i="3"/>
  <c r="G419" i="3"/>
  <c r="BA422" i="3"/>
  <c r="AZ422" i="3" s="1"/>
  <c r="G430" i="3"/>
  <c r="BL431" i="3"/>
  <c r="BL434" i="3"/>
  <c r="G437" i="3"/>
  <c r="BL438" i="3"/>
  <c r="BL439" i="3"/>
  <c r="BA441" i="3"/>
  <c r="AZ441" i="3" s="1"/>
  <c r="BL445" i="3"/>
  <c r="BL446" i="3"/>
  <c r="BL449" i="3"/>
  <c r="BL450" i="3"/>
  <c r="BL452" i="3"/>
  <c r="AZ452" i="3" s="1"/>
  <c r="G455" i="3"/>
  <c r="BL456" i="3"/>
  <c r="AZ456" i="3" s="1"/>
  <c r="BA464" i="3"/>
  <c r="BA467" i="3"/>
  <c r="AZ467" i="3" s="1"/>
  <c r="BA468" i="3"/>
  <c r="AZ468" i="3" s="1"/>
  <c r="BL479" i="3"/>
  <c r="BL480" i="3"/>
  <c r="BA483" i="3"/>
  <c r="BL483" i="3"/>
  <c r="BA486" i="3"/>
  <c r="BA491" i="3"/>
  <c r="BL316" i="3"/>
  <c r="BL324" i="3"/>
  <c r="AZ324" i="3" s="1"/>
  <c r="BL328" i="3"/>
  <c r="AZ328" i="3" s="1"/>
  <c r="G398" i="3"/>
  <c r="BL400" i="3"/>
  <c r="AZ400" i="3" s="1"/>
  <c r="BL408" i="3"/>
  <c r="AZ408" i="3" s="1"/>
  <c r="BL411" i="3"/>
  <c r="AZ411" i="3" s="1"/>
  <c r="BL413" i="3"/>
  <c r="AZ413" i="3" s="1"/>
  <c r="G415" i="3"/>
  <c r="BL417" i="3"/>
  <c r="AZ417" i="3" s="1"/>
  <c r="BL418" i="3"/>
  <c r="BL420" i="3"/>
  <c r="AZ420" i="3" s="1"/>
  <c r="G422" i="3"/>
  <c r="BL424" i="3"/>
  <c r="G426" i="3"/>
  <c r="G427" i="3"/>
  <c r="BL428" i="3"/>
  <c r="BL429" i="3"/>
  <c r="AZ429" i="3" s="1"/>
  <c r="BL432" i="3"/>
  <c r="AZ432" i="3" s="1"/>
  <c r="BL435" i="3"/>
  <c r="BL436" i="3"/>
  <c r="AZ436" i="3" s="1"/>
  <c r="BA439" i="3"/>
  <c r="AZ439" i="3" s="1"/>
  <c r="BA440" i="3"/>
  <c r="AZ440" i="3" s="1"/>
  <c r="BA442" i="3"/>
  <c r="AZ442" i="3" s="1"/>
  <c r="BA445" i="3"/>
  <c r="AZ445" i="3" s="1"/>
  <c r="BA447" i="3"/>
  <c r="AZ447" i="3" s="1"/>
  <c r="BA449" i="3"/>
  <c r="BL453" i="3"/>
  <c r="AZ453" i="3" s="1"/>
  <c r="BL454" i="3"/>
  <c r="G458" i="3"/>
  <c r="BL459" i="3"/>
  <c r="G461" i="3"/>
  <c r="G462" i="3"/>
  <c r="BA465" i="3"/>
  <c r="AZ465" i="3" s="1"/>
  <c r="BL469" i="3"/>
  <c r="AZ469" i="3" s="1"/>
  <c r="BL476" i="3"/>
  <c r="AZ476" i="3" s="1"/>
  <c r="BL477" i="3"/>
  <c r="BL478" i="3"/>
  <c r="G479" i="3"/>
  <c r="BA482" i="3"/>
  <c r="BA484" i="3"/>
  <c r="AZ484" i="3" s="1"/>
  <c r="BA488" i="3"/>
  <c r="AZ488" i="3" s="1"/>
  <c r="BL340" i="3"/>
  <c r="AZ340" i="3" s="1"/>
  <c r="BA277" i="3"/>
  <c r="BL277" i="3"/>
  <c r="BA282" i="3"/>
  <c r="BL282" i="3"/>
  <c r="BA284" i="3"/>
  <c r="AZ284" i="3" s="1"/>
  <c r="BA116" i="3"/>
  <c r="AZ116" i="3" s="1"/>
  <c r="BA121" i="3"/>
  <c r="BL121" i="3"/>
  <c r="BA129" i="3"/>
  <c r="BA13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BA271" i="3"/>
  <c r="BL271" i="3"/>
  <c r="BA274" i="3"/>
  <c r="BL274" i="3"/>
  <c r="BA276" i="3"/>
  <c r="BA279" i="3"/>
  <c r="BA281" i="3"/>
  <c r="G286" i="3"/>
  <c r="BL286" i="3"/>
  <c r="AZ286" i="3" s="1"/>
  <c r="G289" i="3"/>
  <c r="G290" i="3"/>
  <c r="G291" i="3"/>
  <c r="BL292" i="3"/>
  <c r="AZ126" i="3"/>
  <c r="BA132" i="3"/>
  <c r="AZ132" i="3" s="1"/>
  <c r="BL491" i="3"/>
  <c r="BL492" i="3"/>
  <c r="G307" i="3"/>
  <c r="BA315" i="3"/>
  <c r="AZ315" i="3" s="1"/>
  <c r="BA333" i="3"/>
  <c r="BL346" i="3"/>
  <c r="AZ346" i="3" s="1"/>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BL255" i="3"/>
  <c r="BL257" i="3"/>
  <c r="AZ257" i="3" s="1"/>
  <c r="BL258" i="3"/>
  <c r="BA262" i="3"/>
  <c r="AZ262" i="3" s="1"/>
  <c r="BL265" i="3"/>
  <c r="AZ265" i="3" s="1"/>
  <c r="BA273" i="3"/>
  <c r="AZ273" i="3" s="1"/>
  <c r="BA296" i="3"/>
  <c r="BL113" i="3"/>
  <c r="BA332" i="3"/>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BL298" i="3"/>
  <c r="BL125" i="3"/>
  <c r="AZ125" i="3" s="1"/>
  <c r="BL126" i="3"/>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AZ18" i="3" s="1"/>
  <c r="BL21" i="3"/>
  <c r="G29" i="3"/>
  <c r="BL29" i="3"/>
  <c r="BA33" i="3"/>
  <c r="BA36" i="3"/>
  <c r="BL38" i="3"/>
  <c r="BA39" i="3"/>
  <c r="BA41" i="3"/>
  <c r="BA42" i="3"/>
  <c r="BL45" i="3"/>
  <c r="BA48" i="3"/>
  <c r="AZ48" i="3" s="1"/>
  <c r="BA49" i="3"/>
  <c r="BL57" i="3"/>
  <c r="BL67" i="3"/>
  <c r="AZ67" i="3" s="1"/>
  <c r="BA70" i="3"/>
  <c r="AZ70" i="3" s="1"/>
  <c r="BL74" i="3"/>
  <c r="BL79" i="3"/>
  <c r="BL93" i="3"/>
  <c r="BA109" i="3"/>
  <c r="D50" i="71"/>
  <c r="C51" i="71"/>
  <c r="V24" i="71"/>
  <c r="E23" i="71"/>
  <c r="E22" i="71" s="1"/>
  <c r="E21" i="71" s="1"/>
  <c r="E20" i="71" s="1"/>
  <c r="E19" i="71" s="1"/>
  <c r="E18" i="71" s="1"/>
  <c r="E17" i="71" s="1"/>
  <c r="E16" i="71" s="1"/>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BA38" i="3"/>
  <c r="BL40" i="3"/>
  <c r="AZ40" i="3" s="1"/>
  <c r="BL41" i="3"/>
  <c r="AZ52" i="3"/>
  <c r="BA53" i="3"/>
  <c r="D34" i="71"/>
  <c r="C35" i="71"/>
  <c r="F66" i="71"/>
  <c r="Q66" i="71" s="1"/>
  <c r="Q67" i="71"/>
  <c r="AZ103" i="3"/>
  <c r="C55" i="71"/>
  <c r="D54" i="71"/>
  <c r="D67" i="71"/>
  <c r="C66" i="71"/>
  <c r="O67" i="71"/>
  <c r="BL293" i="3"/>
  <c r="AZ293" i="3" s="1"/>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BL165" i="3"/>
  <c r="G166" i="3"/>
  <c r="BL170" i="3"/>
  <c r="G171" i="3"/>
  <c r="BA173" i="3"/>
  <c r="AZ173" i="3" s="1"/>
  <c r="BA174" i="3"/>
  <c r="BL179" i="3"/>
  <c r="AZ179" i="3" s="1"/>
  <c r="G180" i="3"/>
  <c r="BA181" i="3"/>
  <c r="AZ181" i="3" s="1"/>
  <c r="BA182" i="3"/>
  <c r="BL185" i="3"/>
  <c r="AZ185" i="3" s="1"/>
  <c r="G186" i="3"/>
  <c r="G187" i="3"/>
  <c r="BL193" i="3"/>
  <c r="AZ193" i="3" s="1"/>
  <c r="G194" i="3"/>
  <c r="BL194" i="3"/>
  <c r="AZ194" i="3" s="1"/>
  <c r="BA198" i="3"/>
  <c r="AZ198" i="3" s="1"/>
  <c r="G199" i="3"/>
  <c r="G204" i="3"/>
  <c r="G205" i="3"/>
  <c r="BL206" i="3"/>
  <c r="BA19" i="3"/>
  <c r="AZ19" i="3" s="1"/>
  <c r="G22" i="3"/>
  <c r="G27" i="3"/>
  <c r="BA27" i="3"/>
  <c r="AZ27" i="3" s="1"/>
  <c r="BL30" i="3"/>
  <c r="BL31" i="3"/>
  <c r="AZ31" i="3" s="1"/>
  <c r="G47" i="3"/>
  <c r="BL48" i="3"/>
  <c r="BA51" i="3"/>
  <c r="BL62" i="3"/>
  <c r="AZ62" i="3" s="1"/>
  <c r="BL63" i="3"/>
  <c r="BA65" i="3"/>
  <c r="BL69" i="3"/>
  <c r="BA72" i="3"/>
  <c r="AZ72" i="3" s="1"/>
  <c r="BA73" i="3"/>
  <c r="C44" i="71"/>
  <c r="D43" i="71"/>
  <c r="C64" i="71"/>
  <c r="D64" i="71" s="1"/>
  <c r="D63" i="71"/>
  <c r="BL54" i="3"/>
  <c r="BL55" i="3"/>
  <c r="AZ55" i="3" s="1"/>
  <c r="G57" i="3"/>
  <c r="G58" i="3"/>
  <c r="BA59" i="3"/>
  <c r="AZ59" i="3" s="1"/>
  <c r="G61" i="3"/>
  <c r="BL61" i="3"/>
  <c r="AZ61" i="3" s="1"/>
  <c r="G64" i="3"/>
  <c r="BA64" i="3"/>
  <c r="AZ64" i="3" s="1"/>
  <c r="G67" i="3"/>
  <c r="BL68" i="3"/>
  <c r="BA69" i="3"/>
  <c r="G72" i="3"/>
  <c r="BL73" i="3"/>
  <c r="AZ73" i="3" s="1"/>
  <c r="BA74" i="3"/>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28" i="71"/>
  <c r="AB27" i="71"/>
  <c r="E75" i="71"/>
  <c r="E74" i="71" s="1"/>
  <c r="AB25" i="71"/>
  <c r="X26" i="71"/>
  <c r="Y25" i="71"/>
  <c r="Z25" i="71" s="1"/>
  <c r="Y29" i="71"/>
  <c r="Z29" i="71" s="1"/>
  <c r="AB32" i="71"/>
  <c r="X33" i="71"/>
  <c r="AA27" i="71"/>
  <c r="AB26" i="71"/>
  <c r="C83" i="71"/>
  <c r="C79" i="71"/>
  <c r="C71" i="71"/>
  <c r="O68" i="71"/>
  <c r="D46" i="71"/>
  <c r="C39" i="71"/>
  <c r="Y28" i="71"/>
  <c r="Z28" i="71" s="1"/>
  <c r="C28" i="71"/>
  <c r="X35" i="71"/>
  <c r="AA37" i="71"/>
  <c r="Y30" i="71"/>
  <c r="Z30" i="71" s="1"/>
  <c r="X28" i="71"/>
  <c r="X32" i="71"/>
  <c r="F38" i="71"/>
  <c r="F39" i="71" s="1"/>
  <c r="F40" i="71" s="1"/>
  <c r="V40" i="71" s="1"/>
  <c r="F75" i="71"/>
  <c r="F74" i="71" s="1"/>
  <c r="B79" i="71"/>
  <c r="B78" i="71" s="1"/>
  <c r="G33" i="3"/>
  <c r="G34" i="3"/>
  <c r="BA37" i="3"/>
  <c r="G39" i="3"/>
  <c r="BL39" i="3"/>
  <c r="G43" i="3"/>
  <c r="G44" i="3"/>
  <c r="BA45" i="3"/>
  <c r="BA46" i="3"/>
  <c r="BL49" i="3"/>
  <c r="BL50" i="3"/>
  <c r="AZ50" i="3" s="1"/>
  <c r="BL51" i="3"/>
  <c r="G53" i="3"/>
  <c r="BL53" i="3"/>
  <c r="BA56" i="3"/>
  <c r="BA57" i="3"/>
  <c r="BL58" i="3"/>
  <c r="AZ58" i="3" s="1"/>
  <c r="G60" i="3"/>
  <c r="BA60" i="3"/>
  <c r="AZ60" i="3" s="1"/>
  <c r="BA63" i="3"/>
  <c r="AZ63" i="3" s="1"/>
  <c r="BA66" i="3"/>
  <c r="AZ66" i="3" s="1"/>
  <c r="BA71" i="3"/>
  <c r="AZ71" i="3" s="1"/>
  <c r="G76" i="3"/>
  <c r="BL77" i="3"/>
  <c r="AZ77" i="3" s="1"/>
  <c r="BA79" i="3"/>
  <c r="G82" i="3"/>
  <c r="G83" i="3"/>
  <c r="BA84" i="3"/>
  <c r="BL88" i="3"/>
  <c r="AZ88" i="3" s="1"/>
  <c r="G90" i="3"/>
  <c r="BL90" i="3"/>
  <c r="BL92" i="3"/>
  <c r="G101" i="3"/>
  <c r="BA101" i="3"/>
  <c r="AZ101" i="3" s="1"/>
  <c r="G108" i="3"/>
  <c r="G109" i="3"/>
  <c r="BL112" i="3"/>
  <c r="AB21" i="33"/>
  <c r="S21" i="34"/>
  <c r="B88" i="43"/>
  <c r="BL75" i="3"/>
  <c r="BL81" i="3"/>
  <c r="BA82" i="3"/>
  <c r="AZ82" i="3" s="1"/>
  <c r="BL83" i="3"/>
  <c r="BA90" i="3"/>
  <c r="BL94" i="3"/>
  <c r="BA100" i="3"/>
  <c r="AZ100" i="3" s="1"/>
  <c r="BA102" i="3"/>
  <c r="AZ102" i="3" s="1"/>
  <c r="BL105" i="3"/>
  <c r="AZ105" i="3" s="1"/>
  <c r="BL107" i="3"/>
  <c r="BA111" i="3"/>
  <c r="AZ111" i="3" s="1"/>
  <c r="K13" i="1"/>
  <c r="M13" i="1" s="1"/>
  <c r="O13" i="1" s="1"/>
  <c r="P13" i="1" s="1"/>
  <c r="AC21" i="37"/>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70" i="3"/>
  <c r="W35" i="39"/>
  <c r="F27" i="34"/>
  <c r="C21" i="39"/>
  <c r="U9" i="36"/>
  <c r="U14" i="37"/>
  <c r="H12" i="21"/>
  <c r="G526" i="3"/>
  <c r="AZ424" i="3"/>
  <c r="AZ434"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31" i="3"/>
  <c r="BA472" i="3"/>
  <c r="AZ472" i="3" s="1"/>
  <c r="G476" i="3"/>
  <c r="AZ477" i="3"/>
  <c r="BA479" i="3"/>
  <c r="AZ479" i="3" s="1"/>
  <c r="BA490" i="3"/>
  <c r="AZ490" i="3" s="1"/>
  <c r="BL312" i="3"/>
  <c r="AZ312" i="3" s="1"/>
  <c r="G313" i="3"/>
  <c r="BA316" i="3"/>
  <c r="BA317" i="3"/>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G230" i="3"/>
  <c r="BA232" i="3"/>
  <c r="AZ232" i="3" s="1"/>
  <c r="BA234" i="3"/>
  <c r="G248" i="3"/>
  <c r="AZ258" i="3"/>
  <c r="AZ260" i="3"/>
  <c r="BL268" i="3"/>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G240" i="3"/>
  <c r="G242" i="3"/>
  <c r="G245" i="3"/>
  <c r="BL246" i="3"/>
  <c r="AZ246" i="3" s="1"/>
  <c r="BL253" i="3"/>
  <c r="AZ253" i="3" s="1"/>
  <c r="BA261" i="3"/>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G301" i="3"/>
  <c r="G114" i="3"/>
  <c r="BL114" i="3"/>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AZ30" i="3"/>
  <c r="BL36"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BL22" i="3"/>
  <c r="AZ22" i="3" s="1"/>
  <c r="BL33" i="3"/>
  <c r="AZ33" i="3" s="1"/>
  <c r="BL43" i="3"/>
  <c r="AZ43" i="3" s="1"/>
  <c r="BL46" i="3"/>
  <c r="AZ46" i="3" s="1"/>
  <c r="AZ54" i="3"/>
  <c r="AZ90" i="3"/>
  <c r="AZ92" i="3"/>
  <c r="BL78" i="3"/>
  <c r="AZ78" i="3" s="1"/>
  <c r="BA83" i="3"/>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5"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G90" i="43" s="1"/>
  <c r="O23" i="43"/>
  <c r="I18" i="43"/>
  <c r="E17" i="43" s="1"/>
  <c r="C17" i="43" s="1"/>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Q71" i="15"/>
  <c r="I1" i="73"/>
  <c r="B39" i="1" s="1"/>
  <c r="M7" i="15"/>
  <c r="F50" i="15"/>
  <c r="F66" i="15"/>
  <c r="F64" i="15"/>
  <c r="F65" i="15"/>
  <c r="B13" i="70"/>
  <c r="F68" i="15"/>
  <c r="C36" i="68"/>
  <c r="D9" i="68"/>
  <c r="D4" i="73"/>
  <c r="F38" i="67"/>
  <c r="F9" i="15"/>
  <c r="M29" i="67"/>
  <c r="F26" i="67"/>
  <c r="M23" i="67"/>
  <c r="F9" i="67"/>
  <c r="M9" i="67"/>
  <c r="F8" i="15"/>
  <c r="C76" i="67"/>
  <c r="F13" i="67"/>
  <c r="F8" i="67"/>
  <c r="F7" i="67"/>
  <c r="F36" i="67"/>
  <c r="M8" i="67"/>
  <c r="F37" i="67"/>
  <c r="L48" i="15"/>
  <c r="M22" i="67"/>
  <c r="L47" i="15"/>
  <c r="M28" i="67"/>
  <c r="F42" i="15"/>
  <c r="F42" i="67"/>
  <c r="F43" i="15"/>
  <c r="M6" i="67"/>
  <c r="F16" i="67"/>
  <c r="M26" i="67"/>
  <c r="M23" i="15"/>
  <c r="J15" i="67"/>
  <c r="M9" i="15"/>
  <c r="F13" i="15"/>
  <c r="F16" i="15"/>
  <c r="F6" i="67"/>
  <c r="D5" i="73"/>
  <c r="M24" i="15"/>
  <c r="F43" i="67"/>
  <c r="F6" i="15"/>
  <c r="D9" i="69"/>
  <c r="L48" i="67"/>
  <c r="M24" i="67"/>
  <c r="M6" i="15"/>
  <c r="M28" i="15"/>
  <c r="L47" i="67"/>
  <c r="M26" i="15"/>
  <c r="C36" i="69"/>
  <c r="D3" i="73"/>
  <c r="F40" i="67"/>
  <c r="M22" i="15"/>
  <c r="F26" i="15"/>
  <c r="D7" i="73"/>
  <c r="M88" i="43" l="1"/>
  <c r="N88" i="43" s="1"/>
  <c r="K88" i="43"/>
  <c r="J88" i="43" s="1"/>
  <c r="D88" i="43" s="1"/>
  <c r="M86" i="43"/>
  <c r="N86" i="43" s="1"/>
  <c r="K86" i="43"/>
  <c r="E28" i="6"/>
  <c r="K14" i="1" s="1"/>
  <c r="AZ87" i="3"/>
  <c r="AZ268" i="3"/>
  <c r="AZ45" i="3"/>
  <c r="AZ189" i="3"/>
  <c r="S37" i="34"/>
  <c r="AB14" i="34"/>
  <c r="U14" i="34"/>
  <c r="P67" i="71"/>
  <c r="E66" i="71"/>
  <c r="AB9" i="33"/>
  <c r="U9" i="33"/>
  <c r="AZ396" i="3"/>
  <c r="S46" i="21"/>
  <c r="AA46" i="21"/>
  <c r="AC30" i="21"/>
  <c r="W30" i="21"/>
  <c r="W27" i="33"/>
  <c r="AC27" i="33"/>
  <c r="AZ292" i="3"/>
  <c r="AZ133" i="3"/>
  <c r="AA45" i="21"/>
  <c r="S45" i="21"/>
  <c r="U30" i="21"/>
  <c r="AB30" i="21"/>
  <c r="S13" i="33"/>
  <c r="AA13" i="33"/>
  <c r="M90" i="43"/>
  <c r="N90" i="43" s="1"/>
  <c r="K90" i="43"/>
  <c r="U13" i="39"/>
  <c r="AB13" i="39"/>
  <c r="AZ114" i="3"/>
  <c r="AZ57" i="3"/>
  <c r="AZ74" i="3"/>
  <c r="AB46" i="33"/>
  <c r="U46" i="33"/>
  <c r="AZ485" i="3"/>
  <c r="AZ418" i="3"/>
  <c r="AZ47" i="3"/>
  <c r="AZ397" i="3"/>
  <c r="AB38" i="40"/>
  <c r="U38" i="40"/>
  <c r="W13" i="37"/>
  <c r="AC13" i="37"/>
  <c r="AZ317" i="3"/>
  <c r="AZ94" i="3"/>
  <c r="AZ236" i="3"/>
  <c r="AZ428" i="3"/>
  <c r="W15" i="34"/>
  <c r="S32" i="40"/>
  <c r="AA32" i="40"/>
  <c r="S11" i="35"/>
  <c r="AA11" i="35"/>
  <c r="F15" i="71"/>
  <c r="F14" i="71" s="1"/>
  <c r="F13" i="71" s="1"/>
  <c r="F12" i="71" s="1"/>
  <c r="F11" i="71" s="1"/>
  <c r="F10" i="71" s="1"/>
  <c r="F9" i="71" s="1"/>
  <c r="F8" i="71" s="1"/>
  <c r="F7" i="71" s="1"/>
  <c r="F6" i="71" s="1"/>
  <c r="F5" i="71" s="1"/>
  <c r="M23" i="43"/>
  <c r="AZ296" i="3"/>
  <c r="AZ261" i="3"/>
  <c r="AZ448" i="3"/>
  <c r="AZ466" i="3"/>
  <c r="AA27" i="37"/>
  <c r="S27" i="37"/>
  <c r="M83" i="43"/>
  <c r="N83" i="43" s="1"/>
  <c r="K83" i="43"/>
  <c r="AZ85" i="3"/>
  <c r="AZ84" i="3"/>
  <c r="C32" i="71"/>
  <c r="AB26" i="33"/>
  <c r="U26" i="33"/>
  <c r="AZ214" i="3"/>
  <c r="AB27" i="21"/>
  <c r="U27" i="21"/>
  <c r="M89" i="43"/>
  <c r="N89" i="43" s="1"/>
  <c r="K89" i="43"/>
  <c r="AZ206" i="3"/>
  <c r="AZ65" i="3"/>
  <c r="AZ269" i="3"/>
  <c r="AZ353" i="3"/>
  <c r="AZ478" i="3"/>
  <c r="AZ283" i="3"/>
  <c r="K84" i="43"/>
  <c r="M84" i="43"/>
  <c r="N84" i="43" s="1"/>
  <c r="M87" i="43"/>
  <c r="N87" i="43" s="1"/>
  <c r="K87" i="43"/>
  <c r="S9" i="33"/>
  <c r="AZ162" i="3"/>
  <c r="AZ480" i="3"/>
  <c r="S31" i="34"/>
  <c r="AA31" i="34"/>
  <c r="P26" i="43"/>
  <c r="A1" i="79"/>
  <c r="W27" i="34"/>
  <c r="F31" i="15"/>
  <c r="C6" i="15"/>
  <c r="L58" i="15"/>
  <c r="Q60" i="15" s="1"/>
  <c r="L59" i="15"/>
  <c r="Q61" i="15" s="1"/>
  <c r="M59" i="15"/>
  <c r="N59" i="15"/>
  <c r="F71" i="15"/>
  <c r="J53" i="15"/>
  <c r="L56" i="15" s="1"/>
  <c r="I54" i="15"/>
  <c r="J57" i="15"/>
  <c r="J55" i="15" s="1"/>
  <c r="J58" i="15" s="1"/>
  <c r="Q50" i="15" s="1"/>
  <c r="C27" i="15"/>
  <c r="F51" i="15"/>
  <c r="C49" i="15" s="1"/>
  <c r="N67" i="71"/>
  <c r="B66" i="71"/>
  <c r="D60" i="71"/>
  <c r="T60" i="71"/>
  <c r="AC9" i="36"/>
  <c r="W9" i="36"/>
  <c r="AB31" i="21"/>
  <c r="U31" i="21"/>
  <c r="AZ182" i="3"/>
  <c r="AZ21" i="3"/>
  <c r="AZ251" i="3"/>
  <c r="AZ274" i="3"/>
  <c r="AZ223" i="3"/>
  <c r="AZ277" i="3"/>
  <c r="C31" i="12"/>
  <c r="B19" i="71"/>
  <c r="B18" i="71" s="1"/>
  <c r="B17" i="71" s="1"/>
  <c r="B16" i="71" s="1"/>
  <c r="S20" i="71"/>
  <c r="D75" i="71"/>
  <c r="C74" i="71"/>
  <c r="D74" i="71" s="1"/>
  <c r="AZ244" i="3"/>
  <c r="J6" i="15"/>
  <c r="J18" i="15" s="1"/>
  <c r="T64" i="71"/>
  <c r="AZ83" i="3"/>
  <c r="AZ113" i="3"/>
  <c r="AZ213" i="3"/>
  <c r="AZ316" i="3"/>
  <c r="V20" i="71"/>
  <c r="AZ229" i="3"/>
  <c r="AZ218" i="3"/>
  <c r="AZ263" i="3"/>
  <c r="AZ471" i="3"/>
  <c r="AZ405" i="3"/>
  <c r="W25" i="34"/>
  <c r="D23" i="71"/>
  <c r="C22" i="71"/>
  <c r="AZ256" i="3"/>
  <c r="AA24" i="36"/>
  <c r="S24" i="36"/>
  <c r="Q31" i="31"/>
  <c r="Q35" i="31"/>
  <c r="Q39" i="31"/>
  <c r="Q43" i="31"/>
  <c r="Q47" i="31"/>
  <c r="Q51" i="31"/>
  <c r="Q55" i="31"/>
  <c r="Q59" i="31"/>
  <c r="Q63" i="31"/>
  <c r="Q67" i="31"/>
  <c r="Q71" i="31"/>
  <c r="Q75" i="31"/>
  <c r="Q79" i="31"/>
  <c r="Q83" i="31"/>
  <c r="Q87" i="31"/>
  <c r="Q91" i="31"/>
  <c r="Q95" i="31"/>
  <c r="Q99" i="31"/>
  <c r="Q103" i="31"/>
  <c r="Q107" i="31"/>
  <c r="Q111" i="31"/>
  <c r="Q115" i="31"/>
  <c r="Q119" i="31"/>
  <c r="Q123" i="31"/>
  <c r="Q127" i="31"/>
  <c r="Q131" i="31"/>
  <c r="Q135" i="31"/>
  <c r="Q32" i="31"/>
  <c r="Q36" i="31"/>
  <c r="Q40" i="31"/>
  <c r="Q44" i="31"/>
  <c r="Q48" i="31"/>
  <c r="Q52" i="31"/>
  <c r="Q56" i="31"/>
  <c r="Q60" i="31"/>
  <c r="Q64" i="31"/>
  <c r="Q68" i="31"/>
  <c r="Q72" i="31"/>
  <c r="Q76" i="31"/>
  <c r="Q80" i="31"/>
  <c r="Q84" i="31"/>
  <c r="Q88" i="31"/>
  <c r="Q92" i="31"/>
  <c r="Q96" i="31"/>
  <c r="Q100" i="31"/>
  <c r="Q104" i="31"/>
  <c r="Q108" i="31"/>
  <c r="Q112" i="31"/>
  <c r="Q116" i="31"/>
  <c r="Q120" i="31"/>
  <c r="Q124" i="31"/>
  <c r="Q128" i="31"/>
  <c r="Q37" i="31"/>
  <c r="Q45" i="31"/>
  <c r="Q53" i="31"/>
  <c r="Q61" i="31"/>
  <c r="Q69" i="31"/>
  <c r="Q77" i="31"/>
  <c r="Q85" i="31"/>
  <c r="Q93" i="31"/>
  <c r="Q101" i="31"/>
  <c r="Q109" i="31"/>
  <c r="Q117" i="31"/>
  <c r="Q125" i="31"/>
  <c r="Q132" i="31"/>
  <c r="Q137" i="31"/>
  <c r="Q141" i="31"/>
  <c r="Q145" i="31"/>
  <c r="Q149" i="31"/>
  <c r="Q153" i="31"/>
  <c r="Q157" i="31"/>
  <c r="Q161" i="31"/>
  <c r="Q165" i="31"/>
  <c r="Q169" i="31"/>
  <c r="Q173" i="31"/>
  <c r="Q177" i="31"/>
  <c r="Q181" i="31"/>
  <c r="Q185" i="31"/>
  <c r="Q189" i="31"/>
  <c r="Q193" i="31"/>
  <c r="Q197" i="31"/>
  <c r="Q201" i="31"/>
  <c r="Q205" i="31"/>
  <c r="Q209" i="31"/>
  <c r="Q213" i="31"/>
  <c r="Q217" i="31"/>
  <c r="Q221" i="31"/>
  <c r="Q225" i="31"/>
  <c r="Q229" i="31"/>
  <c r="Q233" i="31"/>
  <c r="Q237" i="31"/>
  <c r="Q241" i="31"/>
  <c r="Q245" i="31"/>
  <c r="Q249" i="31"/>
  <c r="Q253" i="31"/>
  <c r="Q257" i="31"/>
  <c r="Q261" i="31"/>
  <c r="Q265" i="31"/>
  <c r="Q269" i="31"/>
  <c r="Q273" i="31"/>
  <c r="Q277" i="31"/>
  <c r="Q281" i="31"/>
  <c r="Q285" i="31"/>
  <c r="Q289" i="31"/>
  <c r="Q293" i="31"/>
  <c r="Q297" i="31"/>
  <c r="Q301" i="31"/>
  <c r="Q305" i="31"/>
  <c r="Q309" i="31"/>
  <c r="Q313" i="31"/>
  <c r="Q317" i="31"/>
  <c r="Q321" i="31"/>
  <c r="Q325" i="31"/>
  <c r="Q329" i="31"/>
  <c r="Q333" i="31"/>
  <c r="Q337" i="31"/>
  <c r="Q341" i="31"/>
  <c r="Q345" i="31"/>
  <c r="Q349" i="31"/>
  <c r="Q353" i="31"/>
  <c r="Q357" i="31"/>
  <c r="Q361" i="31"/>
  <c r="Q365" i="31"/>
  <c r="Q369" i="31"/>
  <c r="Q373" i="31"/>
  <c r="Q377" i="31"/>
  <c r="Q381" i="31"/>
  <c r="Q385" i="31"/>
  <c r="Q389" i="31"/>
  <c r="Q393" i="31"/>
  <c r="Q397" i="31"/>
  <c r="Q401" i="31"/>
  <c r="Q405" i="31"/>
  <c r="Q409" i="31"/>
  <c r="Q413" i="31"/>
  <c r="Q417" i="31"/>
  <c r="Q30" i="31"/>
  <c r="Q38" i="31"/>
  <c r="Q46" i="31"/>
  <c r="Q54" i="31"/>
  <c r="Q62" i="31"/>
  <c r="Q70" i="31"/>
  <c r="Q78" i="31"/>
  <c r="Q86" i="31"/>
  <c r="Q94" i="31"/>
  <c r="Q102" i="31"/>
  <c r="Q110" i="31"/>
  <c r="Q118" i="31"/>
  <c r="Q126" i="31"/>
  <c r="Q133" i="31"/>
  <c r="Q138" i="31"/>
  <c r="Q142" i="31"/>
  <c r="Q146"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2" i="31"/>
  <c r="Q486" i="31"/>
  <c r="Q490" i="31"/>
  <c r="Q494" i="31"/>
  <c r="Q498" i="31"/>
  <c r="Q502" i="31"/>
  <c r="Q506" i="31"/>
  <c r="Q510" i="31"/>
  <c r="Q514" i="31"/>
  <c r="Q518" i="31"/>
  <c r="Q522" i="31"/>
  <c r="Q33" i="31"/>
  <c r="Q41" i="31"/>
  <c r="Q49" i="31"/>
  <c r="Q57" i="31"/>
  <c r="Q65" i="31"/>
  <c r="Q73" i="31"/>
  <c r="Q81" i="31"/>
  <c r="Q89" i="31"/>
  <c r="Q97" i="31"/>
  <c r="Q105" i="31"/>
  <c r="Q113" i="31"/>
  <c r="Q121" i="31"/>
  <c r="Q129" i="31"/>
  <c r="Q134" i="31"/>
  <c r="Q139" i="31"/>
  <c r="Q143" i="31"/>
  <c r="Q147" i="31"/>
  <c r="Q151" i="31"/>
  <c r="Q155" i="31"/>
  <c r="Q159" i="31"/>
  <c r="Q163" i="31"/>
  <c r="Q167" i="31"/>
  <c r="Q171" i="31"/>
  <c r="Q175" i="31"/>
  <c r="Q179" i="31"/>
  <c r="Q183" i="31"/>
  <c r="Q187" i="31"/>
  <c r="Q191" i="31"/>
  <c r="Q195" i="31"/>
  <c r="Q199" i="31"/>
  <c r="Q203" i="31"/>
  <c r="Q207" i="31"/>
  <c r="Q211" i="31"/>
  <c r="Q215" i="31"/>
  <c r="Q219" i="31"/>
  <c r="Q223" i="31"/>
  <c r="Q227" i="31"/>
  <c r="Q231" i="31"/>
  <c r="Q235" i="31"/>
  <c r="Q239" i="31"/>
  <c r="Q243" i="31"/>
  <c r="Q247" i="31"/>
  <c r="Q251" i="31"/>
  <c r="Q255" i="31"/>
  <c r="Q259" i="31"/>
  <c r="Q263" i="31"/>
  <c r="Q267" i="31"/>
  <c r="Q271" i="31"/>
  <c r="Q275" i="31"/>
  <c r="Q279" i="31"/>
  <c r="Q283" i="31"/>
  <c r="Q287" i="31"/>
  <c r="Q291" i="31"/>
  <c r="Q295" i="31"/>
  <c r="Q299" i="31"/>
  <c r="Q303" i="31"/>
  <c r="Q307" i="31"/>
  <c r="Q311" i="31"/>
  <c r="Q315" i="31"/>
  <c r="Q319" i="31"/>
  <c r="Q323" i="31"/>
  <c r="Q327" i="31"/>
  <c r="Q331" i="31"/>
  <c r="Q335" i="31"/>
  <c r="Q339" i="31"/>
  <c r="Q343" i="31"/>
  <c r="Q347" i="31"/>
  <c r="Q351" i="31"/>
  <c r="Q355" i="31"/>
  <c r="Q359" i="31"/>
  <c r="Q363" i="31"/>
  <c r="Q367" i="31"/>
  <c r="Q371" i="31"/>
  <c r="Q375" i="31"/>
  <c r="Q379" i="31"/>
  <c r="Q383" i="31"/>
  <c r="Q387" i="31"/>
  <c r="Q391" i="31"/>
  <c r="Q395" i="31"/>
  <c r="Q399" i="31"/>
  <c r="Q403" i="31"/>
  <c r="Q407" i="31"/>
  <c r="Q411" i="31"/>
  <c r="Q415" i="31"/>
  <c r="Q419" i="31"/>
  <c r="Q423" i="31"/>
  <c r="Q427" i="31"/>
  <c r="Q431" i="31"/>
  <c r="Q435" i="31"/>
  <c r="Q439" i="31"/>
  <c r="Q443" i="31"/>
  <c r="Q447" i="31"/>
  <c r="Q451" i="31"/>
  <c r="Q455" i="31"/>
  <c r="Q459" i="31"/>
  <c r="Q463" i="31"/>
  <c r="Q467" i="31"/>
  <c r="Q471" i="31"/>
  <c r="Q475" i="31"/>
  <c r="Q479" i="31"/>
  <c r="Q483" i="31"/>
  <c r="Q487" i="31"/>
  <c r="Q491" i="31"/>
  <c r="Q495" i="31"/>
  <c r="Q499" i="31"/>
  <c r="Q503" i="31"/>
  <c r="Q34" i="31"/>
  <c r="Q66" i="31"/>
  <c r="Q98" i="31"/>
  <c r="Q130" i="31"/>
  <c r="Q148" i="31"/>
  <c r="Q164" i="31"/>
  <c r="Q180" i="31"/>
  <c r="Q196" i="31"/>
  <c r="Q212" i="31"/>
  <c r="Q228" i="31"/>
  <c r="Q244" i="31"/>
  <c r="Q260" i="31"/>
  <c r="Q276" i="31"/>
  <c r="Q292" i="31"/>
  <c r="Q308" i="31"/>
  <c r="Q324" i="31"/>
  <c r="Q340" i="31"/>
  <c r="Q356" i="31"/>
  <c r="Q372" i="31"/>
  <c r="Q388" i="31"/>
  <c r="Q404" i="31"/>
  <c r="Q420" i="31"/>
  <c r="Q428" i="31"/>
  <c r="Q436" i="31"/>
  <c r="Q444" i="31"/>
  <c r="Q452" i="31"/>
  <c r="Q460" i="31"/>
  <c r="Q468" i="31"/>
  <c r="Q476" i="31"/>
  <c r="Q484" i="31"/>
  <c r="Q492" i="31"/>
  <c r="Q500" i="31"/>
  <c r="Q507" i="31"/>
  <c r="Q512" i="31"/>
  <c r="Q517" i="31"/>
  <c r="Q523" i="31"/>
  <c r="Q42" i="31"/>
  <c r="Q74" i="31"/>
  <c r="Q106" i="31"/>
  <c r="Q136" i="31"/>
  <c r="Q152" i="31"/>
  <c r="Q168" i="31"/>
  <c r="Q184" i="31"/>
  <c r="Q200" i="31"/>
  <c r="Q216" i="31"/>
  <c r="Q232" i="31"/>
  <c r="Q248" i="31"/>
  <c r="Q264" i="31"/>
  <c r="Q280" i="31"/>
  <c r="Q296" i="31"/>
  <c r="Q312" i="31"/>
  <c r="Q328" i="31"/>
  <c r="Q344" i="31"/>
  <c r="Q360" i="31"/>
  <c r="Q376" i="31"/>
  <c r="Q392" i="31"/>
  <c r="Q408" i="31"/>
  <c r="Q421" i="31"/>
  <c r="Q429" i="31"/>
  <c r="Q437" i="31"/>
  <c r="Q445" i="31"/>
  <c r="Q453" i="31"/>
  <c r="Q461" i="31"/>
  <c r="Q469" i="31"/>
  <c r="Q477" i="31"/>
  <c r="Q485" i="31"/>
  <c r="Q493" i="31"/>
  <c r="Q501" i="31"/>
  <c r="Q508" i="31"/>
  <c r="Q513" i="31"/>
  <c r="Q519" i="31"/>
  <c r="Q524" i="31"/>
  <c r="Q50" i="31"/>
  <c r="Q82" i="31"/>
  <c r="Q114" i="31"/>
  <c r="Q140" i="31"/>
  <c r="Q156" i="31"/>
  <c r="Q172" i="31"/>
  <c r="Q188" i="31"/>
  <c r="Q204" i="31"/>
  <c r="Q220" i="31"/>
  <c r="Q236" i="31"/>
  <c r="Q252" i="31"/>
  <c r="Q268" i="31"/>
  <c r="Q284" i="31"/>
  <c r="Q300" i="31"/>
  <c r="Q316" i="31"/>
  <c r="Q332" i="31"/>
  <c r="Q348" i="31"/>
  <c r="Q364" i="31"/>
  <c r="Q380" i="31"/>
  <c r="Q396" i="31"/>
  <c r="Q412" i="31"/>
  <c r="Q424" i="31"/>
  <c r="Q432" i="31"/>
  <c r="Q440" i="31"/>
  <c r="Q448" i="31"/>
  <c r="Q456" i="31"/>
  <c r="Q464" i="31"/>
  <c r="Q472" i="31"/>
  <c r="Q480" i="31"/>
  <c r="Q488" i="31"/>
  <c r="Q496" i="31"/>
  <c r="Q504" i="31"/>
  <c r="Q509" i="31"/>
  <c r="Q515" i="31"/>
  <c r="Q520" i="31"/>
  <c r="Q25" i="31"/>
  <c r="Q58" i="31"/>
  <c r="Q90" i="31"/>
  <c r="Q122" i="31"/>
  <c r="Q144" i="31"/>
  <c r="Q160" i="31"/>
  <c r="Q176" i="31"/>
  <c r="Q192" i="31"/>
  <c r="Q208" i="31"/>
  <c r="Q224" i="31"/>
  <c r="Q240" i="31"/>
  <c r="Q256" i="31"/>
  <c r="Q272" i="31"/>
  <c r="Q288" i="31"/>
  <c r="Q304" i="31"/>
  <c r="Q320" i="31"/>
  <c r="Q336" i="31"/>
  <c r="Q352" i="31"/>
  <c r="Q368" i="31"/>
  <c r="Q384" i="31"/>
  <c r="Q400" i="31"/>
  <c r="Q416" i="31"/>
  <c r="Q425" i="31"/>
  <c r="Q433" i="31"/>
  <c r="Q441" i="31"/>
  <c r="Q449" i="31"/>
  <c r="Q457" i="31"/>
  <c r="Q465" i="31"/>
  <c r="Q473" i="31"/>
  <c r="Q481" i="31"/>
  <c r="Q489" i="31"/>
  <c r="Q497" i="31"/>
  <c r="Q505" i="31"/>
  <c r="Q511" i="31"/>
  <c r="Q516" i="31"/>
  <c r="Q521" i="31"/>
  <c r="J7" i="36"/>
  <c r="W7" i="36" s="1"/>
  <c r="E59" i="40"/>
  <c r="AZ36" i="3"/>
  <c r="AZ300" i="3"/>
  <c r="AZ129" i="3"/>
  <c r="AZ209" i="3"/>
  <c r="AZ234" i="3"/>
  <c r="AZ79" i="3"/>
  <c r="AZ294" i="3"/>
  <c r="AZ483" i="3"/>
  <c r="AZ241" i="3"/>
  <c r="AZ419" i="3"/>
  <c r="AC38" i="40"/>
  <c r="W38" i="40"/>
  <c r="F90" i="34"/>
  <c r="G90" i="34" s="1"/>
  <c r="H90" i="34" s="1"/>
  <c r="I90" i="34" s="1"/>
  <c r="J90" i="34" s="1"/>
  <c r="K90" i="34" s="1"/>
  <c r="L90" i="34" s="1"/>
  <c r="M90" i="34" s="1"/>
  <c r="E18" i="31"/>
  <c r="H27" i="34"/>
  <c r="AA31" i="21"/>
  <c r="S31" i="21"/>
  <c r="S17" i="34"/>
  <c r="AB17" i="34"/>
  <c r="C30" i="68"/>
  <c r="C48" i="68"/>
  <c r="C30" i="11"/>
  <c r="Q16" i="1"/>
  <c r="F64" i="67"/>
  <c r="C27" i="67"/>
  <c r="F68" i="67"/>
  <c r="F66" i="67"/>
  <c r="F50" i="67"/>
  <c r="M7" i="67"/>
  <c r="J6" i="67" s="1"/>
  <c r="J18" i="67" s="1"/>
  <c r="F51" i="67"/>
  <c r="N59" i="67"/>
  <c r="L59" i="67"/>
  <c r="Q61" i="67" s="1"/>
  <c r="M59" i="67"/>
  <c r="F71" i="67"/>
  <c r="J26" i="43"/>
  <c r="K16" i="1"/>
  <c r="P6" i="1"/>
  <c r="C13" i="12" s="1"/>
  <c r="N94" i="46"/>
  <c r="N370" i="46"/>
  <c r="F26" i="43"/>
  <c r="E26" i="43"/>
  <c r="H26" i="43"/>
  <c r="H16" i="1"/>
  <c r="F65" i="67"/>
  <c r="F31" i="67"/>
  <c r="C6" i="67"/>
  <c r="C32" i="67" s="1"/>
  <c r="Q71" i="67"/>
  <c r="L56" i="67"/>
  <c r="L58" i="67"/>
  <c r="Q60" i="67" s="1"/>
  <c r="I54" i="67"/>
  <c r="J53" i="67"/>
  <c r="Q52" i="67" s="1"/>
  <c r="J57" i="67"/>
  <c r="J55" i="67" s="1"/>
  <c r="J58" i="67" s="1"/>
  <c r="Q50" i="67" s="1"/>
  <c r="G16" i="1"/>
  <c r="F10" i="39" s="1"/>
  <c r="S10" i="39" s="1"/>
  <c r="T28" i="71"/>
  <c r="D28" i="71"/>
  <c r="U28" i="71" s="1"/>
  <c r="C27" i="71"/>
  <c r="C52" i="71"/>
  <c r="D51" i="71"/>
  <c r="AZ39" i="3"/>
  <c r="AA37" i="39"/>
  <c r="S37" i="39"/>
  <c r="AB39" i="40"/>
  <c r="U39" i="40"/>
  <c r="AC31" i="39"/>
  <c r="W31" i="39"/>
  <c r="U23" i="36"/>
  <c r="AB23" i="36"/>
  <c r="C70" i="71"/>
  <c r="D70" i="71" s="1"/>
  <c r="D71" i="71"/>
  <c r="AZ51" i="3"/>
  <c r="C56" i="71"/>
  <c r="D55" i="71"/>
  <c r="AZ53" i="3"/>
  <c r="AZ150" i="3"/>
  <c r="AZ38" i="3"/>
  <c r="AZ249" i="3"/>
  <c r="AZ243" i="3"/>
  <c r="AZ368" i="3"/>
  <c r="AZ404" i="3"/>
  <c r="AZ454" i="3"/>
  <c r="AZ550" i="3"/>
  <c r="W37" i="39"/>
  <c r="AC37" i="39"/>
  <c r="W39" i="40"/>
  <c r="AC39" i="40"/>
  <c r="AB25" i="37"/>
  <c r="U25" i="37"/>
  <c r="AB31" i="39"/>
  <c r="U31" i="39"/>
  <c r="C40" i="71"/>
  <c r="D39" i="71"/>
  <c r="D79" i="71"/>
  <c r="C78" i="71"/>
  <c r="D78" i="71" s="1"/>
  <c r="D44" i="71"/>
  <c r="T44" i="71"/>
  <c r="AZ137" i="3"/>
  <c r="AZ297" i="3"/>
  <c r="O65" i="71"/>
  <c r="D66" i="71"/>
  <c r="O66" i="71"/>
  <c r="C36" i="71"/>
  <c r="D35" i="71"/>
  <c r="AZ29" i="3"/>
  <c r="T32" i="71"/>
  <c r="D32" i="71"/>
  <c r="AZ332" i="3"/>
  <c r="AZ271" i="3"/>
  <c r="AZ238" i="3"/>
  <c r="AZ121" i="3"/>
  <c r="AZ282" i="3"/>
  <c r="AZ435" i="3"/>
  <c r="U23" i="35"/>
  <c r="AB23" i="35"/>
  <c r="AB9" i="34"/>
  <c r="U9" i="34"/>
  <c r="AA27" i="21"/>
  <c r="S27" i="21"/>
  <c r="AC25" i="37"/>
  <c r="W25" i="37"/>
  <c r="G5" i="3"/>
  <c r="B3" i="3" s="1"/>
  <c r="E255" i="3" s="1"/>
  <c r="D83" i="71"/>
  <c r="C82" i="71"/>
  <c r="D82" i="71" s="1"/>
  <c r="AZ75" i="3"/>
  <c r="AZ69" i="3"/>
  <c r="AZ302" i="3"/>
  <c r="AZ49" i="3"/>
  <c r="AZ41" i="3"/>
  <c r="AZ247" i="3"/>
  <c r="AZ491" i="3"/>
  <c r="AZ464" i="3"/>
  <c r="AZ401" i="3"/>
  <c r="AZ459" i="3"/>
  <c r="AC23" i="35"/>
  <c r="W23" i="35"/>
  <c r="W12" i="34"/>
  <c r="AC12" i="34"/>
  <c r="AC23" i="36"/>
  <c r="W23" i="36"/>
  <c r="J7" i="37"/>
  <c r="AC7" i="37" s="1"/>
  <c r="K1" i="73"/>
  <c r="E177" i="3"/>
  <c r="E55" i="3"/>
  <c r="E555" i="3"/>
  <c r="E337" i="3"/>
  <c r="E400" i="3"/>
  <c r="E557" i="3"/>
  <c r="AI6" i="3"/>
  <c r="E385"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AB7" i="36"/>
  <c r="T36" i="36" s="1"/>
  <c r="G36" i="36" s="1"/>
  <c r="F7" i="33"/>
  <c r="E58" i="21"/>
  <c r="AC7" i="36"/>
  <c r="V36" i="36" s="1"/>
  <c r="I36" i="36" s="1"/>
  <c r="F7" i="37"/>
  <c r="M17" i="15"/>
  <c r="P28" i="43"/>
  <c r="B66" i="40" s="1"/>
  <c r="P25" i="43"/>
  <c r="P29" i="43"/>
  <c r="P27" i="43"/>
  <c r="B70" i="39" s="1"/>
  <c r="M11" i="67"/>
  <c r="J10" i="67" s="1"/>
  <c r="F11" i="15"/>
  <c r="M11" i="15"/>
  <c r="J10" i="15" s="1"/>
  <c r="F11" i="67"/>
  <c r="C32" i="15"/>
  <c r="AE11" i="1"/>
  <c r="AE9" i="1"/>
  <c r="AE7" i="1"/>
  <c r="AE8" i="1"/>
  <c r="AE12" i="1"/>
  <c r="AE10" i="1"/>
  <c r="G1" i="73"/>
  <c r="C16" i="67"/>
  <c r="F27" i="69"/>
  <c r="C16" i="15"/>
  <c r="E139" i="3" l="1"/>
  <c r="E119" i="3"/>
  <c r="E182" i="3"/>
  <c r="E216" i="3"/>
  <c r="E282" i="3"/>
  <c r="E327" i="3"/>
  <c r="E204" i="3"/>
  <c r="E200" i="3"/>
  <c r="E70" i="3"/>
  <c r="E538" i="3"/>
  <c r="E334" i="3"/>
  <c r="P65" i="71"/>
  <c r="P66" i="71"/>
  <c r="D89" i="43"/>
  <c r="J89" i="43"/>
  <c r="E161" i="3"/>
  <c r="E153" i="3"/>
  <c r="AZ5" i="3"/>
  <c r="AY6" i="3" s="1"/>
  <c r="E563" i="3"/>
  <c r="E362" i="3"/>
  <c r="E476" i="3"/>
  <c r="E257" i="3"/>
  <c r="E248" i="3"/>
  <c r="E69" i="3"/>
  <c r="E214" i="3"/>
  <c r="E414" i="3"/>
  <c r="E438" i="3"/>
  <c r="E523" i="3"/>
  <c r="E369" i="3"/>
  <c r="E387" i="3"/>
  <c r="E468" i="3"/>
  <c r="E269" i="3"/>
  <c r="E66" i="3"/>
  <c r="E44" i="3"/>
  <c r="E131" i="3"/>
  <c r="AB6" i="3"/>
  <c r="E577" i="3"/>
  <c r="E31" i="3"/>
  <c r="E47" i="3"/>
  <c r="D87" i="43"/>
  <c r="J87" i="43"/>
  <c r="E94" i="3"/>
  <c r="E219" i="3"/>
  <c r="E311" i="3"/>
  <c r="K6" i="3"/>
  <c r="E433" i="3"/>
  <c r="E65" i="3"/>
  <c r="E384" i="3"/>
  <c r="E201" i="3"/>
  <c r="E277" i="3"/>
  <c r="E450" i="3"/>
  <c r="E552" i="3"/>
  <c r="E135" i="3"/>
  <c r="E509" i="3"/>
  <c r="E77" i="3"/>
  <c r="E193" i="3"/>
  <c r="E170" i="3"/>
  <c r="D84" i="43"/>
  <c r="J84" i="43"/>
  <c r="D86" i="43"/>
  <c r="J86" i="43"/>
  <c r="E322" i="3"/>
  <c r="E347" i="3"/>
  <c r="E511" i="3"/>
  <c r="L6" i="3"/>
  <c r="J83" i="43"/>
  <c r="D83" i="43"/>
  <c r="E242" i="3"/>
  <c r="E109" i="3"/>
  <c r="E301" i="3"/>
  <c r="E518" i="3"/>
  <c r="E78" i="3"/>
  <c r="E378" i="3"/>
  <c r="E275" i="3"/>
  <c r="E572" i="3"/>
  <c r="E180" i="3"/>
  <c r="E117" i="3"/>
  <c r="E456" i="3"/>
  <c r="D90" i="43"/>
  <c r="J90" i="43"/>
  <c r="E118" i="3"/>
  <c r="E487" i="3"/>
  <c r="E296" i="3"/>
  <c r="E100" i="3"/>
  <c r="E423" i="3"/>
  <c r="E445" i="3"/>
  <c r="E189" i="3"/>
  <c r="M6" i="3"/>
  <c r="E431" i="3"/>
  <c r="E268" i="3"/>
  <c r="E377" i="3"/>
  <c r="E489" i="3"/>
  <c r="E485" i="3"/>
  <c r="E89" i="3"/>
  <c r="E171" i="3"/>
  <c r="E406" i="3"/>
  <c r="AK6" i="3"/>
  <c r="E399" i="3"/>
  <c r="E183" i="3"/>
  <c r="E561" i="3"/>
  <c r="E508" i="3"/>
  <c r="E162" i="3"/>
  <c r="E478" i="3"/>
  <c r="E318" i="3"/>
  <c r="E527" i="3"/>
  <c r="E85" i="3"/>
  <c r="E230" i="3"/>
  <c r="E581" i="3"/>
  <c r="E280" i="3"/>
  <c r="E272" i="3"/>
  <c r="E122" i="3"/>
  <c r="E284" i="3"/>
  <c r="E62" i="3"/>
  <c r="E401" i="3"/>
  <c r="E96" i="3"/>
  <c r="E142" i="3"/>
  <c r="E240" i="3"/>
  <c r="E483" i="3"/>
  <c r="E132" i="3"/>
  <c r="X6" i="3"/>
  <c r="E191" i="3"/>
  <c r="E172" i="3"/>
  <c r="E215" i="3"/>
  <c r="E514" i="3"/>
  <c r="E579" i="3"/>
  <c r="E526" i="3"/>
  <c r="E211" i="3"/>
  <c r="E531" i="3"/>
  <c r="AO6" i="3"/>
  <c r="E227" i="3"/>
  <c r="E454" i="3"/>
  <c r="E472" i="3"/>
  <c r="E545" i="3"/>
  <c r="E350" i="3"/>
  <c r="E261" i="3"/>
  <c r="AR6" i="3"/>
  <c r="E530" i="3"/>
  <c r="E27" i="3"/>
  <c r="E107" i="3"/>
  <c r="E111" i="3"/>
  <c r="E458" i="3"/>
  <c r="E253" i="3"/>
  <c r="E151" i="3"/>
  <c r="E252" i="3"/>
  <c r="E213" i="3"/>
  <c r="E411" i="3"/>
  <c r="E167" i="3"/>
  <c r="E520" i="3"/>
  <c r="AQ6" i="3"/>
  <c r="E223" i="3"/>
  <c r="E46" i="3"/>
  <c r="AA7" i="36"/>
  <c r="R36" i="36" s="1"/>
  <c r="J5" i="15"/>
  <c r="J24" i="15" s="1"/>
  <c r="Q73" i="15"/>
  <c r="C47" i="69"/>
  <c r="D45" i="69" s="1"/>
  <c r="Q74" i="15"/>
  <c r="Q52" i="15"/>
  <c r="F59" i="15"/>
  <c r="F1" i="15"/>
  <c r="AB27" i="34"/>
  <c r="T49" i="34" s="1"/>
  <c r="G49" i="34" s="1"/>
  <c r="G53" i="34" s="1"/>
  <c r="H53" i="34" s="1"/>
  <c r="U27" i="34"/>
  <c r="C21" i="71"/>
  <c r="D22" i="71"/>
  <c r="W7" i="37"/>
  <c r="Q29" i="31"/>
  <c r="Q28" i="31"/>
  <c r="Q27" i="31"/>
  <c r="Q26" i="31"/>
  <c r="N65" i="71"/>
  <c r="N66" i="71"/>
  <c r="F67" i="39"/>
  <c r="D26" i="43"/>
  <c r="C25" i="43" s="1"/>
  <c r="Q74" i="67"/>
  <c r="F45" i="69"/>
  <c r="E578" i="3"/>
  <c r="E260" i="3"/>
  <c r="E407" i="3"/>
  <c r="E229" i="3"/>
  <c r="E553" i="3"/>
  <c r="E166" i="3"/>
  <c r="E443" i="3"/>
  <c r="I6" i="3"/>
  <c r="E429" i="3"/>
  <c r="E262" i="3"/>
  <c r="E402" i="3"/>
  <c r="E169" i="3"/>
  <c r="E390" i="3"/>
  <c r="E501" i="3"/>
  <c r="E546" i="3"/>
  <c r="E145" i="3"/>
  <c r="E208" i="3"/>
  <c r="E532" i="3"/>
  <c r="E82" i="3"/>
  <c r="E87" i="3"/>
  <c r="E39" i="3"/>
  <c r="E375" i="3"/>
  <c r="E48" i="3"/>
  <c r="E312" i="3"/>
  <c r="E58" i="3"/>
  <c r="E141" i="3"/>
  <c r="E364" i="3"/>
  <c r="E392" i="3"/>
  <c r="E455" i="3"/>
  <c r="E276" i="3"/>
  <c r="E498" i="3"/>
  <c r="E16" i="3"/>
  <c r="E104" i="3"/>
  <c r="E173" i="3"/>
  <c r="E42" i="3"/>
  <c r="E292" i="3"/>
  <c r="E382" i="3"/>
  <c r="E415" i="3"/>
  <c r="V6" i="3"/>
  <c r="E569" i="3"/>
  <c r="E480" i="3"/>
  <c r="E121" i="3"/>
  <c r="P6" i="3"/>
  <c r="E274" i="3"/>
  <c r="E424" i="3"/>
  <c r="E128" i="3"/>
  <c r="E254" i="3"/>
  <c r="E298" i="3"/>
  <c r="E285" i="3"/>
  <c r="AM6" i="3"/>
  <c r="E403" i="3"/>
  <c r="E207" i="3"/>
  <c r="E471" i="3"/>
  <c r="E224" i="3"/>
  <c r="E127" i="3"/>
  <c r="E459" i="3"/>
  <c r="E374" i="3"/>
  <c r="E582" i="3"/>
  <c r="E446" i="3"/>
  <c r="E244" i="3"/>
  <c r="E155" i="3"/>
  <c r="E365" i="3"/>
  <c r="E147" i="3"/>
  <c r="E339" i="3"/>
  <c r="E473" i="3"/>
  <c r="E202" i="3"/>
  <c r="E440" i="3"/>
  <c r="E49" i="3"/>
  <c r="E420" i="3"/>
  <c r="E205" i="3"/>
  <c r="E355" i="3"/>
  <c r="E417" i="3"/>
  <c r="E74" i="3"/>
  <c r="E146" i="3"/>
  <c r="E465" i="3"/>
  <c r="E133" i="3"/>
  <c r="E181" i="3"/>
  <c r="E586" i="3"/>
  <c r="E503" i="3"/>
  <c r="E231" i="3"/>
  <c r="E143" i="3"/>
  <c r="E343" i="3"/>
  <c r="E331" i="3"/>
  <c r="E505" i="3"/>
  <c r="E271" i="3"/>
  <c r="E279" i="3"/>
  <c r="E457" i="3"/>
  <c r="E45" i="3"/>
  <c r="E583" i="3"/>
  <c r="E290" i="3"/>
  <c r="E130" i="3"/>
  <c r="E551" i="3"/>
  <c r="E239" i="3"/>
  <c r="E30" i="3"/>
  <c r="E404" i="3"/>
  <c r="E164" i="3"/>
  <c r="E256" i="3"/>
  <c r="E481" i="3"/>
  <c r="AA6" i="3"/>
  <c r="E302" i="3"/>
  <c r="E321" i="3"/>
  <c r="O6" i="3"/>
  <c r="E317" i="3"/>
  <c r="E432" i="3"/>
  <c r="E14" i="3"/>
  <c r="E537" i="3"/>
  <c r="E306" i="3"/>
  <c r="E187" i="3"/>
  <c r="Y6" i="3"/>
  <c r="E373" i="3"/>
  <c r="E149" i="3"/>
  <c r="E57" i="3"/>
  <c r="E250" i="3"/>
  <c r="E398" i="3"/>
  <c r="E218" i="3"/>
  <c r="E123" i="3"/>
  <c r="E137" i="3"/>
  <c r="E60" i="3"/>
  <c r="E178" i="3"/>
  <c r="E543" i="3"/>
  <c r="E324" i="3"/>
  <c r="E360" i="3"/>
  <c r="E34" i="3"/>
  <c r="E67" i="3"/>
  <c r="E466" i="3"/>
  <c r="E409" i="3"/>
  <c r="E81" i="3"/>
  <c r="E287" i="3"/>
  <c r="E408" i="3"/>
  <c r="E225" i="3"/>
  <c r="E326" i="3"/>
  <c r="E486" i="3"/>
  <c r="E463" i="3"/>
  <c r="E333" i="3"/>
  <c r="E15" i="3"/>
  <c r="E234" i="3"/>
  <c r="E112" i="3"/>
  <c r="E50" i="3"/>
  <c r="E524" i="3"/>
  <c r="E90" i="3"/>
  <c r="E24" i="3"/>
  <c r="E421" i="3"/>
  <c r="E209" i="3"/>
  <c r="E464" i="3"/>
  <c r="E584" i="3"/>
  <c r="E163" i="3"/>
  <c r="E488" i="3"/>
  <c r="E504" i="3"/>
  <c r="E352" i="3"/>
  <c r="E474" i="3"/>
  <c r="E475" i="3"/>
  <c r="E397" i="3"/>
  <c r="E548" i="3"/>
  <c r="E92" i="3"/>
  <c r="E319" i="3"/>
  <c r="E574" i="3"/>
  <c r="E506" i="3"/>
  <c r="E565" i="3"/>
  <c r="E303" i="3"/>
  <c r="E156" i="3"/>
  <c r="Q6" i="3"/>
  <c r="E496" i="3"/>
  <c r="E580" i="3"/>
  <c r="E448" i="3"/>
  <c r="E444" i="3"/>
  <c r="E295" i="3"/>
  <c r="E366" i="3"/>
  <c r="E516" i="3"/>
  <c r="E358" i="3"/>
  <c r="E294" i="3"/>
  <c r="E395" i="3"/>
  <c r="E61" i="3"/>
  <c r="E336" i="3"/>
  <c r="E314" i="3"/>
  <c r="E519" i="3"/>
  <c r="E571" i="3"/>
  <c r="E150" i="3"/>
  <c r="E567" i="3"/>
  <c r="E515" i="3"/>
  <c r="AS6" i="3"/>
  <c r="E186" i="3"/>
  <c r="E175" i="3"/>
  <c r="E388" i="3"/>
  <c r="E270" i="3"/>
  <c r="E380" i="3"/>
  <c r="E528" i="3"/>
  <c r="E91" i="3"/>
  <c r="E124" i="3"/>
  <c r="E568" i="3"/>
  <c r="E228" i="3"/>
  <c r="E560" i="3"/>
  <c r="E587" i="3"/>
  <c r="E106" i="3"/>
  <c r="E315" i="3"/>
  <c r="E368" i="3"/>
  <c r="Z6" i="3"/>
  <c r="E345" i="3"/>
  <c r="E28" i="3"/>
  <c r="E273" i="3"/>
  <c r="E217" i="3"/>
  <c r="AJ6" i="3"/>
  <c r="E247" i="3"/>
  <c r="E570" i="3"/>
  <c r="E335" i="3"/>
  <c r="E278" i="3"/>
  <c r="E535" i="3"/>
  <c r="E263" i="3"/>
  <c r="E246" i="3"/>
  <c r="E148" i="3"/>
  <c r="M17" i="67"/>
  <c r="F27" i="68"/>
  <c r="F45" i="68" s="1"/>
  <c r="F28" i="12"/>
  <c r="C29" i="12" s="1"/>
  <c r="D28" i="12" s="1"/>
  <c r="F27" i="11"/>
  <c r="C29" i="11" s="1"/>
  <c r="D27" i="11" s="1"/>
  <c r="C49" i="67"/>
  <c r="C29" i="69"/>
  <c r="D27" i="69" s="1"/>
  <c r="J5" i="67"/>
  <c r="J24" i="67" s="1"/>
  <c r="F59" i="67"/>
  <c r="AA10" i="39"/>
  <c r="H10" i="39"/>
  <c r="U10" i="39" s="1"/>
  <c r="F10" i="40"/>
  <c r="S10" i="40" s="1"/>
  <c r="H10" i="40"/>
  <c r="AB10" i="40" s="1"/>
  <c r="J10" i="40"/>
  <c r="AC10" i="40" s="1"/>
  <c r="J10" i="39"/>
  <c r="W10" i="39" s="1"/>
  <c r="E212" i="3"/>
  <c r="E575" i="3"/>
  <c r="E152" i="3"/>
  <c r="E249" i="3"/>
  <c r="E198" i="3"/>
  <c r="E102" i="3"/>
  <c r="E534" i="3"/>
  <c r="E13" i="3"/>
  <c r="E428" i="3"/>
  <c r="E370" i="3"/>
  <c r="E393" i="3"/>
  <c r="AH6" i="3"/>
  <c r="E108" i="3"/>
  <c r="E346" i="3"/>
  <c r="E43"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434" i="3"/>
  <c r="E330" i="3"/>
  <c r="E344" i="3"/>
  <c r="E203" i="3"/>
  <c r="E32" i="3"/>
  <c r="E57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Q73" i="67"/>
  <c r="E490" i="3"/>
  <c r="E427" i="3"/>
  <c r="E105" i="3"/>
  <c r="E83" i="3"/>
  <c r="E232" i="3"/>
  <c r="E220" i="3"/>
  <c r="E243" i="3"/>
  <c r="E26" i="3"/>
  <c r="E497" i="3"/>
  <c r="E469" i="3"/>
  <c r="E525" i="3"/>
  <c r="E22" i="3"/>
  <c r="E206" i="3"/>
  <c r="E18" i="3"/>
  <c r="E513" i="3"/>
  <c r="E33" i="3"/>
  <c r="E267" i="3"/>
  <c r="E544" i="3"/>
  <c r="E479" i="3"/>
  <c r="E449" i="3"/>
  <c r="E3" i="6"/>
  <c r="E510" i="3"/>
  <c r="E536" i="3"/>
  <c r="E442" i="3"/>
  <c r="E554" i="3"/>
  <c r="E95" i="3"/>
  <c r="E389" i="3"/>
  <c r="E64" i="3"/>
  <c r="E310" i="3"/>
  <c r="E233" i="3"/>
  <c r="E309" i="3"/>
  <c r="AL6" i="3"/>
  <c r="E235" i="3"/>
  <c r="E251"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40" i="3"/>
  <c r="J6" i="3"/>
  <c r="E422" i="3"/>
  <c r="E493" i="3"/>
  <c r="E188" i="3"/>
  <c r="E158" i="3"/>
  <c r="E342" i="3"/>
  <c r="E412" i="3"/>
  <c r="E115" i="3"/>
  <c r="E452" i="3"/>
  <c r="E451" i="3"/>
  <c r="E405" i="3"/>
  <c r="E140" i="3"/>
  <c r="E113" i="3"/>
  <c r="E383" i="3"/>
  <c r="E281" i="3"/>
  <c r="E63" i="3"/>
  <c r="E492" i="3"/>
  <c r="E484" i="3"/>
  <c r="E241" i="3"/>
  <c r="E517" i="3"/>
  <c r="E499" i="3"/>
  <c r="F1" i="67"/>
  <c r="D56" i="71"/>
  <c r="T56" i="71"/>
  <c r="AF6" i="3"/>
  <c r="E86" i="3"/>
  <c r="E174" i="3"/>
  <c r="E482" i="3"/>
  <c r="E391" i="3"/>
  <c r="E494" i="3"/>
  <c r="E283" i="3"/>
  <c r="E68" i="3"/>
  <c r="E184" i="3"/>
  <c r="E84" i="3"/>
  <c r="E371" i="3"/>
  <c r="E160" i="3"/>
  <c r="E467" i="3"/>
  <c r="E59" i="3"/>
  <c r="E349" i="3"/>
  <c r="E258" i="3"/>
  <c r="E37" i="3"/>
  <c r="E491" i="3"/>
  <c r="AP6" i="3"/>
  <c r="E430" i="3"/>
  <c r="E502" i="3"/>
  <c r="E286" i="3"/>
  <c r="E539" i="3"/>
  <c r="T40" i="71"/>
  <c r="D40" i="71"/>
  <c r="E522" i="3"/>
  <c r="E129" i="3"/>
  <c r="E75" i="3"/>
  <c r="E332" i="3"/>
  <c r="E21" i="3"/>
  <c r="E264" i="3"/>
  <c r="E381" i="3"/>
  <c r="E144" i="3"/>
  <c r="E23" i="3"/>
  <c r="E300" i="3"/>
  <c r="E103" i="3"/>
  <c r="E425" i="3"/>
  <c r="E76" i="3"/>
  <c r="E363" i="3"/>
  <c r="E192" i="3"/>
  <c r="E56" i="3"/>
  <c r="E435" i="3"/>
  <c r="I3" i="6"/>
  <c r="E541" i="3"/>
  <c r="R6" i="3"/>
  <c r="E199" i="3"/>
  <c r="D36" i="71"/>
  <c r="T36" i="71"/>
  <c r="T52" i="71"/>
  <c r="D52"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B14" i="74"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48" i="15" s="1"/>
  <c r="C66" i="15" s="1"/>
  <c r="C10" i="15"/>
  <c r="C5" i="15" s="1"/>
  <c r="C38" i="15" s="1"/>
  <c r="M27" i="15"/>
  <c r="M27" i="67"/>
  <c r="F41" i="15"/>
  <c r="AE6" i="1"/>
  <c r="E83" i="43" l="1"/>
  <c r="B81" i="43" s="1"/>
  <c r="C28" i="43" s="1"/>
  <c r="H6" i="3"/>
  <c r="I46" i="37"/>
  <c r="J46" i="37" s="1"/>
  <c r="G54" i="34"/>
  <c r="H54" i="34" s="1"/>
  <c r="D21" i="71"/>
  <c r="C20" i="71"/>
  <c r="R50" i="34"/>
  <c r="C50" i="34" s="1"/>
  <c r="C29" i="68"/>
  <c r="D27" i="68" s="1"/>
  <c r="C47" i="68"/>
  <c r="D45" i="68" s="1"/>
  <c r="C48" i="67"/>
  <c r="C66" i="67" s="1"/>
  <c r="C47" i="11"/>
  <c r="D45" i="11" s="1"/>
  <c r="AC6" i="3"/>
  <c r="E6" i="3" s="1"/>
  <c r="F22" i="11"/>
  <c r="C44" i="11" s="1"/>
  <c r="D41" i="11" s="1"/>
  <c r="F24" i="67"/>
  <c r="C24" i="67" s="1"/>
  <c r="F24" i="15"/>
  <c r="C24" i="15" s="1"/>
  <c r="F22" i="69"/>
  <c r="F41" i="69" s="1"/>
  <c r="F22" i="68"/>
  <c r="C23" i="68" s="1"/>
  <c r="F25" i="12"/>
  <c r="C26" i="12" s="1"/>
  <c r="D25" i="12" s="1"/>
  <c r="I53" i="34"/>
  <c r="J53" i="34" s="1"/>
  <c r="D116" i="43"/>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8"/>
  <c r="C34" i="69"/>
  <c r="F41" i="67"/>
  <c r="D10" i="69"/>
  <c r="C14" i="67"/>
  <c r="C17" i="67"/>
  <c r="C17" i="15"/>
  <c r="D30" i="6" l="1"/>
  <c r="T11" i="43"/>
  <c r="V11" i="43" s="1"/>
  <c r="T9" i="43"/>
  <c r="V9" i="43" s="1"/>
  <c r="C42" i="43"/>
  <c r="T7" i="43"/>
  <c r="V7" i="43" s="1"/>
  <c r="T16" i="43"/>
  <c r="V16" i="43" s="1"/>
  <c r="T14" i="43"/>
  <c r="V14" i="43" s="1"/>
  <c r="T12" i="43"/>
  <c r="V12" i="43" s="1"/>
  <c r="T10" i="43"/>
  <c r="V10" i="43" s="1"/>
  <c r="T8" i="43"/>
  <c r="V8" i="43" s="1"/>
  <c r="T4" i="43"/>
  <c r="V4" i="43" s="1"/>
  <c r="T3" i="43"/>
  <c r="V3" i="43" s="1"/>
  <c r="C39" i="43"/>
  <c r="T2" i="43"/>
  <c r="V2" i="43" s="1"/>
  <c r="T6" i="43"/>
  <c r="V6" i="43" s="1"/>
  <c r="C38" i="43"/>
  <c r="T5" i="43"/>
  <c r="V5" i="43" s="1"/>
  <c r="C40" i="43"/>
  <c r="T15" i="43"/>
  <c r="V15" i="43" s="1"/>
  <c r="C37" i="43"/>
  <c r="T13" i="43"/>
  <c r="V13" i="43" s="1"/>
  <c r="C41" i="43"/>
  <c r="C33" i="43"/>
  <c r="C49" i="34"/>
  <c r="C19" i="71"/>
  <c r="T20" i="71"/>
  <c r="D20" i="71"/>
  <c r="U20" i="71" s="1"/>
  <c r="I54" i="34"/>
  <c r="J54" i="34" s="1"/>
  <c r="E53" i="34"/>
  <c r="F53" i="34" s="1"/>
  <c r="F69" i="67"/>
  <c r="C60" i="67"/>
  <c r="C44" i="68"/>
  <c r="D41" i="68" s="1"/>
  <c r="C26" i="68"/>
  <c r="D22" i="68" s="1"/>
  <c r="F41" i="68"/>
  <c r="C25" i="11"/>
  <c r="C24" i="11"/>
  <c r="C23" i="11"/>
  <c r="C26" i="11"/>
  <c r="D22" i="11" s="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38" i="43" l="1"/>
  <c r="I38" i="43" s="1"/>
  <c r="E38" i="43"/>
  <c r="E39" i="43"/>
  <c r="G39" i="43"/>
  <c r="I39" i="43" s="1"/>
  <c r="C6" i="69"/>
  <c r="C7" i="69" s="1"/>
  <c r="C34" i="43"/>
  <c r="E34" i="43" s="1"/>
  <c r="E33" i="43"/>
  <c r="E41" i="43"/>
  <c r="G41" i="43"/>
  <c r="I41" i="43" s="1"/>
  <c r="E37" i="43"/>
  <c r="G37" i="43"/>
  <c r="I37" i="43" s="1"/>
  <c r="E42" i="43"/>
  <c r="G42" i="43"/>
  <c r="I42" i="43" s="1"/>
  <c r="E40" i="43"/>
  <c r="G40" i="43"/>
  <c r="I40" i="43" s="1"/>
  <c r="C5" i="69"/>
  <c r="C23" i="69" s="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31" i="4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B6" i="76"/>
  <c r="F35" i="15"/>
  <c r="F35" i="67"/>
  <c r="M21" i="67"/>
  <c r="M21" i="15"/>
  <c r="B2" i="76" l="1"/>
  <c r="B3" i="76" s="1"/>
  <c r="B3" i="43"/>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19" i="9"/>
  <c r="L51" i="15"/>
  <c r="D2" i="34"/>
  <c r="D12" i="71" l="1"/>
  <c r="U12" i="71" s="1"/>
  <c r="C11" i="71"/>
  <c r="T12"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
  <c r="AO8" i="1"/>
  <c r="AO12" i="1"/>
  <c r="AO6" i="1"/>
  <c r="C19" i="9"/>
  <c r="AO9" i="1"/>
  <c r="D34" i="9"/>
  <c r="AO10" i="1"/>
  <c r="AO11" i="1"/>
  <c r="AO7" i="1"/>
  <c r="D35" i="9"/>
  <c r="C10" i="71" l="1"/>
  <c r="D11" i="71"/>
  <c r="C102" i="9"/>
  <c r="C21" i="9"/>
  <c r="D22" i="9"/>
  <c r="G19"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0" i="71"/>
  <c r="C9" i="71"/>
  <c r="C103" i="9"/>
  <c r="G20" i="9"/>
  <c r="E14" i="74" s="1"/>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32" i="9"/>
  <c r="C35" i="9" s="1"/>
  <c r="C34" i="9" s="1"/>
  <c r="R24" i="31"/>
  <c r="C42" i="40"/>
  <c r="C43" i="40"/>
  <c r="E47" i="40"/>
  <c r="F47" i="40" s="1"/>
  <c r="E46" i="40"/>
  <c r="F46" i="40" s="1"/>
  <c r="I47" i="40"/>
  <c r="J47" i="40" s="1"/>
  <c r="C7" i="71" l="1"/>
  <c r="D8" i="71"/>
  <c r="R38" i="31"/>
  <c r="S38" i="31" s="1"/>
  <c r="R39" i="31"/>
  <c r="S39" i="31" s="1"/>
  <c r="R36" i="31"/>
  <c r="S36" i="31" s="1"/>
  <c r="R37" i="31"/>
  <c r="S37" i="31" s="1"/>
  <c r="R28" i="31"/>
  <c r="S28" i="31" s="1"/>
  <c r="R32" i="31"/>
  <c r="S32" i="31" s="1"/>
  <c r="R29" i="31"/>
  <c r="S29" i="31" s="1"/>
  <c r="R33" i="31"/>
  <c r="S33" i="31" s="1"/>
  <c r="R26" i="31"/>
  <c r="S26" i="31" s="1"/>
  <c r="R30" i="31"/>
  <c r="S30" i="31" s="1"/>
  <c r="R34" i="31"/>
  <c r="S34" i="31" s="1"/>
  <c r="R27" i="31"/>
  <c r="S27" i="31" s="1"/>
  <c r="R31" i="31"/>
  <c r="S31" i="31" s="1"/>
  <c r="R35" i="31"/>
  <c r="S35" i="31" s="1"/>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S22" i="31"/>
  <c r="D6" i="71" l="1"/>
  <c r="C5" i="71"/>
  <c r="D5" i="71" s="1"/>
  <c r="M24" i="43" s="1"/>
  <c r="G14" i="74"/>
  <c r="B6" i="74" s="1"/>
  <c r="D6" i="74" s="1"/>
  <c r="F14" i="74"/>
  <c r="B5" i="74"/>
  <c r="D5" i="74" s="1"/>
  <c r="R22" i="31"/>
  <c r="B20" i="31"/>
  <c r="B21" i="31" s="1"/>
  <c r="G118" i="9"/>
  <c r="G4" i="52" s="1"/>
  <c r="B52" i="72" s="1"/>
  <c r="I118" i="9"/>
  <c r="E118" i="9" l="1"/>
  <c r="D118" i="9" s="1"/>
  <c r="H102" i="9"/>
  <c r="I4" i="52"/>
  <c r="C105" i="9"/>
  <c r="F118" i="9"/>
  <c r="H118" i="9"/>
  <c r="E4" i="52" l="1"/>
  <c r="B48" i="72" s="1"/>
  <c r="F4" i="52"/>
  <c r="B51" i="72" s="1"/>
  <c r="F119" i="9"/>
  <c r="F5" i="52" s="1"/>
  <c r="B53" i="72" s="1"/>
  <c r="H119" i="9"/>
  <c r="H5" i="52" s="1"/>
  <c r="H4" i="52"/>
  <c r="C104" i="9"/>
  <c r="H101" i="9"/>
  <c r="D7" i="53"/>
  <c r="B21" i="72" s="1"/>
  <c r="C5" i="74"/>
  <c r="D119" i="9"/>
  <c r="D5" i="52" s="1"/>
  <c r="B49" i="72" s="1"/>
  <c r="D4" i="52"/>
  <c r="B47" i="72" s="1"/>
  <c r="M48" i="9" l="1"/>
  <c r="H107" i="9"/>
  <c r="D5" i="53"/>
  <c r="D45" i="9"/>
  <c r="B20" i="72" l="1"/>
  <c r="D6" i="53"/>
  <c r="B22" i="72" s="1"/>
  <c r="C93" i="9"/>
  <c r="C86" i="9" s="1"/>
  <c r="D52" i="9"/>
  <c r="C85" i="9"/>
  <c r="D53" i="9"/>
  <c r="C64" i="9"/>
  <c r="C63" i="9" s="1"/>
  <c r="C67" i="9" s="1"/>
  <c r="C78" i="9"/>
  <c r="C73" i="9" s="1"/>
  <c r="D55" i="9"/>
  <c r="M53" i="9" s="1"/>
  <c r="C72" i="9"/>
  <c r="H108" i="9"/>
  <c r="M49" i="9"/>
  <c r="D122" i="9"/>
  <c r="D13" i="53"/>
  <c r="D15" i="53" l="1"/>
  <c r="B31" i="72" s="1"/>
  <c r="C6" i="74"/>
  <c r="C68" i="9"/>
  <c r="D54" i="9" s="1"/>
  <c r="D59" i="9"/>
  <c r="M55" i="9" s="1"/>
  <c r="L67" i="9"/>
  <c r="M67" i="9" s="1"/>
  <c r="L65" i="9"/>
  <c r="M65" i="9" s="1"/>
  <c r="L66" i="9"/>
  <c r="M66" i="9" s="1"/>
  <c r="L68" i="9"/>
  <c r="M68" i="9" s="1"/>
  <c r="L64" i="9"/>
  <c r="M64" i="9" s="1"/>
  <c r="L63" i="9"/>
  <c r="M63" i="9" s="1"/>
  <c r="D14" i="53"/>
  <c r="B32" i="72" s="1"/>
  <c r="B30" i="72"/>
  <c r="C79" i="9"/>
  <c r="D8" i="52"/>
  <c r="D123" i="9"/>
  <c r="D9" i="52" s="1"/>
  <c r="C95" i="9"/>
  <c r="M69" i="9" l="1"/>
  <c r="N69" i="9" s="1"/>
  <c r="C96" i="9"/>
  <c r="E96" i="9" s="1"/>
  <c r="E97" i="9" s="1"/>
  <c r="C80" i="9"/>
  <c r="E80" i="9" s="1"/>
  <c r="E81" i="9" s="1"/>
  <c r="C97" i="9" l="1"/>
  <c r="D58" i="9" s="1"/>
  <c r="D56" i="9" s="1"/>
  <c r="M54" i="9" s="1"/>
  <c r="N57" i="9" s="1"/>
  <c r="P57" i="9" s="1"/>
  <c r="C81" i="9"/>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<sst xmlns="http://schemas.openxmlformats.org/spreadsheetml/2006/main" count="7929" uniqueCount="3484">
  <si>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</si>
  <si>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</si>
  <si>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</si>
  <si>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</si>
  <si>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</si>
  <si>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</si>
  <si>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</si>
  <si>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</si>
  <si>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</si>
  <si>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</si>
  <si>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</si>
  <si>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</si>
  <si>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</si>
  <si>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</si>
  <si>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</si>
  <si>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</si>
  <si>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</si>
  <si>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</si>
  <si>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</si>
  <si>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</si>
  <si>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</si>
  <si>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</si>
  <si>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</si>
  <si>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</si>
  <si>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</si>
  <si>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</si>
  <si>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</si>
  <si>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</si>
  <si>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</si>
  <si>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</si>
  <si>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</si>
  <si>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</si>
  <si>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</si>
  <si>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</si>
  <si>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</si>
  <si>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</si>
  <si>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</si>
  <si>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</si>
  <si>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</si>
  <si>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</si>
  <si>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</si>
  <si>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</si>
  <si>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</si>
  <si>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</si>
  <si>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</si>
  <si>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</si>
  <si>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</si>
  <si>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</si>
  <si>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</si>
  <si>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</si>
  <si>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</si>
  <si>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</si>
  <si>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</si>
  <si>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</si>
  <si>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</si>
  <si>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</si>
  <si>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</si>
  <si>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</si>
  <si>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</si>
  <si>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</si>
  <si>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</si>
  <si>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</si>
  <si>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</si>
  <si>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</si>
  <si>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</si>
  <si>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</si>
  <si>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</si>
  <si>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</si>
  <si>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</si>
  <si>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</si>
  <si>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</si>
  <si>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</si>
  <si>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</si>
  <si>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</si>
  <si>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</si>
  <si>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</si>
  <si>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</si>
  <si>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</si>
  <si>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</si>
  <si>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</si>
  <si>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</si>
  <si>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</si>
  <si>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</si>
  <si>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</si>
  <si>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</si>
  <si>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</si>
  <si>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</si>
  <si>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</si>
  <si>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</si>
  <si>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</si>
  <si>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</si>
  <si>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</si>
  <si>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</si>
  <si>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</si>
  <si>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</si>
  <si>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</si>
  <si>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</si>
  <si>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</si>
  <si>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</si>
  <si>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</si>
  <si>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</si>
  <si>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</si>
  <si>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</si>
  <si>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</si>
  <si>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</si>
  <si>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</si>
  <si>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</si>
  <si>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</si>
  <si>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</si>
  <si>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</si>
  <si>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</si>
  <si>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</si>
  <si>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</si>
  <si>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</si>
  <si>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</si>
  <si>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</si>
  <si>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</si>
  <si>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</si>
  <si>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</si>
  <si>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</si>
  <si>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</si>
  <si>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</si>
  <si>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</si>
  <si>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</si>
  <si>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</si>
  <si>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</si>
  <si>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</si>
  <si>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</si>
  <si>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</si>
  <si>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</si>
  <si>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</si>
  <si>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</si>
  <si>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</si>
  <si>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</si>
  <si>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</si>
  <si>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</si>
  <si>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</si>
  <si>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</si>
  <si>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</si>
  <si>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</si>
  <si>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</si>
  <si>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</si>
  <si>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</si>
  <si>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</si>
  <si>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</si>
  <si>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</si>
  <si>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</si>
  <si>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</si>
  <si>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</si>
  <si>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</si>
  <si>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</si>
  <si>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</si>
  <si>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</si>
  <si>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</si>
  <si>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</si>
  <si>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</si>
  <si>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</si>
  <si>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</si>
  <si>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</si>
  <si>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</si>
  <si>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</si>
  <si>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</si>
  <si>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</si>
  <si>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</si>
  <si>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</si>
  <si>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</si>
  <si>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</si>
  <si>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</si>
  <si>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</si>
  <si>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</si>
  <si>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</si>
  <si>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</si>
  <si>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</si>
  <si>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</si>
  <si>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</si>
  <si>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</si>
  <si>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</si>
  <si>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</si>
  <si>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</si>
  <si>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</si>
  <si>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</si>
  <si>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</si>
  <si>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</si>
  <si>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</si>
  <si>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</si>
  <si>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</si>
  <si>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</si>
  <si>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</si>
  <si>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</si>
  <si>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</si>
  <si>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</si>
  <si>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</si>
  <si>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</si>
  <si>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</si>
  <si>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</si>
  <si>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</si>
  <si>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</si>
  <si>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</si>
  <si>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</si>
  <si>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</si>
  <si>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</si>
  <si>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</si>
  <si>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</si>
  <si>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</si>
  <si>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</si>
  <si>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</si>
  <si>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</si>
  <si>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</si>
  <si>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</si>
  <si>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</si>
  <si>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</si>
  <si>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</si>
  <si>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</si>
  <si>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</si>
  <si>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</si>
  <si>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</si>
  <si>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</si>
  <si>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</si>
  <si>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</si>
  <si>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</si>
  <si>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</si>
  <si>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</si>
  <si>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</si>
  <si>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</si>
  <si>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</si>
  <si>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</si>
  <si>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</si>
  <si>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</si>
  <si>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</si>
  <si>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</si>
  <si>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</si>
  <si>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</si>
  <si>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</si>
  <si>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</si>
  <si>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</si>
  <si>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</si>
  <si>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</si>
  <si>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</si>
  <si>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</si>
  <si>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</si>
  <si>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</si>
  <si>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</si>
  <si>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</si>
  <si>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</si>
  <si>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</si>
  <si>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</si>
  <si>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</si>
  <si>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</si>
  <si>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</si>
  <si>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</si>
  <si>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</si>
  <si>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</si>
  <si>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</si>
  <si>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</si>
  <si>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</si>
  <si>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</si>
  <si>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</si>
  <si>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</si>
  <si>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</si>
  <si>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</si>
  <si>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</si>
  <si>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</si>
  <si>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</si>
  <si>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</si>
  <si>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</si>
  <si>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</si>
  <si>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</si>
  <si>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</si>
  <si>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</si>
  <si>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</si>
  <si>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</si>
  <si>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</si>
  <si>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</si>
  <si>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</si>
  <si>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</si>
  <si>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</si>
  <si>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</si>
  <si>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</si>
  <si>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</si>
  <si>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</si>
  <si>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</si>
  <si>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</si>
  <si>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</si>
  <si>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</si>
  <si>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</si>
  <si>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</si>
  <si>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</si>
  <si>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</si>
  <si>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</si>
  <si>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</si>
  <si>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</si>
  <si>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</si>
  <si>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</si>
  <si>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</si>
  <si>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</si>
  <si>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</si>
  <si>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</si>
  <si>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</si>
  <si>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</si>
  <si>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</si>
  <si>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</si>
  <si>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</si>
  <si>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</si>
  <si>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</si>
  <si>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</si>
  <si>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</si>
  <si>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</si>
  <si>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</si>
  <si>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</si>
  <si>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</si>
  <si>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</si>
  <si>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</si>
  <si>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</si>
  <si>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</si>
  <si>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</si>
  <si>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</si>
  <si>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</si>
  <si>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</si>
  <si>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</si>
  <si>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</si>
  <si>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</si>
  <si>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</si>
  <si>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</si>
  <si>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</si>
  <si>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</si>
  <si>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</si>
  <si>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</si>
  <si>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</si>
  <si>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</si>
  <si>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</si>
  <si>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</si>
  <si>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</si>
  <si>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</si>
  <si>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</si>
  <si>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</si>
  <si>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</si>
  <si>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</si>
  <si>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</si>
  <si>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</si>
  <si>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</si>
  <si>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</si>
  <si>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</si>
  <si>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</si>
  <si>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</si>
  <si>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</si>
  <si>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</si>
  <si>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</si>
  <si>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</si>
  <si>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</si>
  <si>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</si>
  <si>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</si>
  <si>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</si>
  <si>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</si>
  <si>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</si>
  <si>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</si>
  <si>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</si>
  <si>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</si>
  <si>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</si>
  <si>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</si>
  <si>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</si>
  <si>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</si>
  <si>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</si>
  <si>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</si>
  <si>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</si>
  <si>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</si>
  <si>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</si>
  <si>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</si>
  <si>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</si>
  <si>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</si>
  <si>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</si>
  <si>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</si>
  <si>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</si>
  <si>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</si>
  <si>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</si>
  <si>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</si>
  <si>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</si>
  <si>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</si>
  <si>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</si>
  <si>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</si>
  <si>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</si>
  <si>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</si>
  <si>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</si>
  <si>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</si>
  <si>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</si>
  <si>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</si>
  <si>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</si>
  <si>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</si>
  <si>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</si>
  <si>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</si>
  <si>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</si>
  <si>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</si>
  <si>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</si>
  <si>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</si>
  <si>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</si>
  <si>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</si>
  <si>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</si>
  <si>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</si>
  <si>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</si>
  <si>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</si>
  <si>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</si>
  <si>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</si>
  <si>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</si>
  <si>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</si>
  <si>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</si>
  <si>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</si>
  <si>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</si>
  <si>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</si>
  <si>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</si>
  <si>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</si>
  <si>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</si>
  <si>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</si>
  <si>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</si>
  <si>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</si>
  <si>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</si>
  <si>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</si>
  <si>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</si>
  <si>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</si>
  <si>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</si>
  <si>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</si>
  <si>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</si>
  <si>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</si>
  <si>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</si>
  <si>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</si>
  <si>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</si>
  <si>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</si>
  <si>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</si>
  <si>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</si>
  <si>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</si>
  <si>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</si>
  <si>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</si>
  <si>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</si>
  <si>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</si>
  <si>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</si>
  <si>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</si>
  <si>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</si>
  <si>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</si>
  <si>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</si>
  <si>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</si>
  <si>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</si>
  <si>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</si>
  <si>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</si>
  <si>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</si>
  <si>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</si>
  <si>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</si>
  <si>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</si>
  <si>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</si>
  <si>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</si>
  <si>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</si>
  <si>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</si>
  <si>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</si>
  <si>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</si>
  <si>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</si>
  <si>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</si>
  <si>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</si>
  <si>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</si>
  <si>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</si>
  <si>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</si>
  <si>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</si>
  <si>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</si>
  <si>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</si>
  <si>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</si>
  <si>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</si>
  <si>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</si>
  <si>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</si>
  <si>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</si>
  <si>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</si>
  <si>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</si>
  <si>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</si>
  <si>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</si>
  <si>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</si>
  <si>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</si>
  <si>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</si>
  <si>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</si>
  <si>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</si>
  <si>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</si>
  <si>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</si>
  <si>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</si>
  <si>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</si>
  <si>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</si>
  <si>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</si>
  <si>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</si>
  <si>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</si>
  <si>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</si>
  <si>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</si>
  <si>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</si>
  <si>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</si>
  <si>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</si>
  <si>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</si>
  <si>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</si>
  <si>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</si>
  <si>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</si>
  <si>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</si>
  <si>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</si>
  <si>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</si>
  <si>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</si>
  <si>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</si>
  <si>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</si>
  <si>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</si>
  <si>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</si>
  <si>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</si>
  <si>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</si>
  <si>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</si>
  <si>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</si>
  <si>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</si>
  <si>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</si>
  <si>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</si>
  <si>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</si>
  <si>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</si>
  <si>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</si>
  <si>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</si>
  <si>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</si>
  <si>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</si>
  <si>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</si>
  <si>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</si>
  <si>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</si>
  <si>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</si>
  <si>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</si>
  <si>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</si>
  <si>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</si>
  <si>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</si>
  <si>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</si>
  <si>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</si>
  <si>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</si>
  <si>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</si>
  <si>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</si>
  <si>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</si>
  <si>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</si>
  <si>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</si>
  <si>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</si>
  <si>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</si>
  <si>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</si>
  <si>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</si>
  <si>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</si>
  <si>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</si>
  <si>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</si>
  <si>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</si>
  <si>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</si>
  <si>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</si>
  <si>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</si>
  <si>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</si>
  <si>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</si>
  <si>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</si>
  <si>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</si>
  <si>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</si>
  <si>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</si>
  <si>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</si>
  <si>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</si>
  <si>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</si>
  <si>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</si>
  <si>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</si>
  <si>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</si>
  <si>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</si>
  <si>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</si>
  <si>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</si>
  <si>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</si>
  <si>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</si>
  <si>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</si>
  <si>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</si>
  <si>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</si>
  <si>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</si>
  <si>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</si>
  <si>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</si>
  <si>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</si>
  <si>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</si>
  <si>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</si>
  <si>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</si>
  <si>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</si>
  <si>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</si>
  <si>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</si>
  <si>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</si>
  <si>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</si>
  <si>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</si>
  <si>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</si>
  <si>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</si>
  <si>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</si>
  <si>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</si>
  <si>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</si>
  <si>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</si>
  <si>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</si>
  <si>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</si>
  <si>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</si>
  <si>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</si>
  <si>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</si>
  <si>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</si>
  <si>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</si>
  <si>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</si>
  <si>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</si>
  <si>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</si>
  <si>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</si>
  <si>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</si>
  <si>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</si>
  <si>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</si>
  <si>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</si>
  <si>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</si>
  <si>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</si>
  <si>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</si>
  <si>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</si>
  <si>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</si>
  <si>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</si>
  <si>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</si>
  <si>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</si>
  <si>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</si>
  <si>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</si>
  <si>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</si>
  <si>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</si>
  <si>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</si>
  <si>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</si>
  <si>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</si>
  <si>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</si>
  <si>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</si>
  <si>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</si>
  <si>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</si>
  <si>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</si>
  <si>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</si>
  <si>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</si>
  <si>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</si>
  <si>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</si>
  <si>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</si>
  <si>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</si>
  <si>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</si>
  <si>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</si>
  <si>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</si>
  <si>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</si>
  <si>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</si>
  <si>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</si>
  <si>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</si>
  <si>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</si>
  <si>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</si>
  <si>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</si>
  <si>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</si>
  <si>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</si>
  <si>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</si>
  <si>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</si>
  <si>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</si>
  <si>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</si>
  <si>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</si>
  <si>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</si>
  <si>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</si>
  <si>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</si>
  <si>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</si>
  <si>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</si>
  <si>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</si>
  <si>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</si>
  <si>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</si>
  <si>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</si>
  <si>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</si>
  <si>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</si>
  <si>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</si>
  <si>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</si>
  <si>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</si>
  <si>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</si>
  <si>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</si>
  <si>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</si>
  <si>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</si>
  <si>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</si>
  <si>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</si>
  <si>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</si>
  <si>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</si>
  <si>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</si>
  <si>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</si>
  <si>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</si>
  <si>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</si>
  <si>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</si>
  <si>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</si>
  <si>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</si>
  <si>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</si>
  <si>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</si>
  <si>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</si>
  <si>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</si>
  <si>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</si>
  <si>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</si>
  <si>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</si>
  <si>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</si>
  <si>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</si>
  <si>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</si>
  <si>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</si>
  <si>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</si>
  <si>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</si>
  <si>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</si>
  <si>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</si>
  <si>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</si>
  <si>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</si>
  <si>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</si>
  <si>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</si>
  <si>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</si>
  <si>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</si>
  <si>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</si>
  <si>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</si>
  <si>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</si>
  <si>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</si>
  <si>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</si>
  <si>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</si>
  <si>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</si>
  <si>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</si>
  <si>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</si>
  <si>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</si>
  <si>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</si>
  <si>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</si>
  <si>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</si>
  <si>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</si>
  <si>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</si>
  <si>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</si>
  <si>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</si>
  <si>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</si>
  <si>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</si>
  <si>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</si>
  <si>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</si>
  <si>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</si>
  <si>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</si>
  <si>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</si>
  <si>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</si>
  <si>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</si>
  <si>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</si>
  <si>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</si>
  <si>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</si>
  <si>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</si>
  <si>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</si>
  <si>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</si>
  <si>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</si>
  <si>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</si>
  <si>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</si>
  <si>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</si>
  <si>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</si>
  <si>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</si>
  <si>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</si>
  <si>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</si>
  <si>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</si>
  <si>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</si>
  <si>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</si>
  <si>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</si>
  <si>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</si>
  <si>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</si>
  <si>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</si>
  <si>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</si>
  <si>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</si>
  <si>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</si>
  <si>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</si>
  <si>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</si>
  <si>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</si>
  <si>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</si>
  <si>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</si>
  <si>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</si>
  <si>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</si>
  <si>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</si>
  <si>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</si>
  <si>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</si>
  <si>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</si>
  <si>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</si>
  <si>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</si>
  <si>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</si>
  <si>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</si>
  <si>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</si>
  <si>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</si>
  <si>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</si>
  <si>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</si>
  <si>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</si>
  <si>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</si>
  <si>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</si>
  <si>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</si>
  <si>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</si>
  <si>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</si>
  <si>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</si>
  <si>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</si>
  <si>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</si>
  <si>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</si>
  <si>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</si>
  <si>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</si>
  <si>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</si>
  <si>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</si>
  <si>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</si>
  <si>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</si>
  <si>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</si>
  <si>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</si>
  <si>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</si>
  <si>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</si>
  <si>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</si>
  <si>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</si>
  <si>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</si>
  <si>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</si>
  <si>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</si>
  <si>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</si>
  <si>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</si>
  <si>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</si>
  <si>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</si>
  <si>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</si>
  <si>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</si>
  <si>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</si>
  <si>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</si>
  <si>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</si>
  <si>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</si>
  <si>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</si>
  <si>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</si>
  <si>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</si>
  <si>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</si>
  <si>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</si>
  <si>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</si>
  <si>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</si>
  <si>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</si>
  <si>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</si>
  <si>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</si>
  <si>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</si>
  <si>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</si>
  <si>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</si>
  <si>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</si>
  <si>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</si>
  <si>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</si>
  <si>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</si>
  <si>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</si>
  <si>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</si>
  <si>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</si>
  <si>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</si>
  <si>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</si>
  <si>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</si>
  <si>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</si>
  <si>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</si>
  <si>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</si>
  <si>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</si>
  <si>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</si>
  <si>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</si>
  <si>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</si>
  <si>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</si>
  <si>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</si>
  <si>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</si>
  <si>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</si>
  <si>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</si>
  <si>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</si>
  <si>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</si>
  <si>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</si>
  <si>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</si>
  <si>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</si>
  <si>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</si>
  <si>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</si>
  <si>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</si>
  <si>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</si>
  <si>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</si>
  <si>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</si>
  <si>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</si>
  <si>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</si>
  <si>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</si>
  <si>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</si>
  <si>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</si>
  <si>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</si>
  <si>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</si>
  <si>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</si>
  <si>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</si>
  <si>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</si>
  <si>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</si>
  <si>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</si>
  <si>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</si>
  <si>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</si>
  <si>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</si>
  <si>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</si>
  <si>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</si>
  <si>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</si>
  <si>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</si>
  <si>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</si>
  <si>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</si>
  <si>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</si>
  <si>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</si>
  <si>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</si>
  <si>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</si>
  <si>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</si>
  <si>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</si>
  <si>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</si>
  <si>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</si>
  <si>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</si>
  <si>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</si>
  <si>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</si>
  <si>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</si>
  <si>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</si>
  <si>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</si>
  <si>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</si>
  <si>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</si>
  <si>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</si>
  <si>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</si>
  <si>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</si>
  <si>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</si>
  <si>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</si>
  <si>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</si>
  <si>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</si>
  <si>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</si>
  <si>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</si>
  <si>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</si>
  <si>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</si>
  <si>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</si>
  <si>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</si>
  <si>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</si>
  <si>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</si>
  <si>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</si>
  <si>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</si>
  <si>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</si>
  <si>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</si>
  <si>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</si>
  <si>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</si>
  <si>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</si>
  <si>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</si>
  <si>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</si>
  <si>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</si>
  <si>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</si>
  <si>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</si>
  <si>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</si>
  <si>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</si>
  <si>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</si>
  <si>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</si>
  <si>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</si>
  <si>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</si>
  <si>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</si>
  <si>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</si>
  <si>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</si>
  <si>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</si>
  <si>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</si>
  <si>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</si>
  <si>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</si>
  <si>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</si>
  <si>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</si>
  <si>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</si>
  <si>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</si>
  <si>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</si>
  <si>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</si>
  <si>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</si>
  <si>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</si>
  <si>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</si>
  <si>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</si>
  <si>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</si>
  <si>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</si>
  <si>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</si>
  <si>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</si>
  <si>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</si>
  <si>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</si>
  <si>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</si>
  <si>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</si>
  <si>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</si>
  <si>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</si>
  <si>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</si>
  <si>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</si>
  <si>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</si>
  <si>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</si>
  <si>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</si>
  <si>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</si>
  <si>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</si>
  <si>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</si>
  <si>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</si>
  <si>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</si>
  <si>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</si>
  <si>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</si>
  <si>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</si>
  <si>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</si>
  <si>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</si>
  <si>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</si>
  <si>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</si>
  <si>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</si>
  <si>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</si>
  <si>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</si>
  <si>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</si>
  <si>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</si>
  <si>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</si>
  <si>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</si>
  <si>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</si>
  <si>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</si>
  <si>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</si>
  <si>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</si>
  <si>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</si>
  <si>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</si>
  <si>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</si>
  <si>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</si>
  <si>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</si>
  <si>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</si>
  <si>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</si>
  <si>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</si>
  <si>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</si>
  <si>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</si>
  <si>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</si>
  <si>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</si>
  <si>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</si>
  <si>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</si>
  <si>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</si>
  <si>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</si>
  <si>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</si>
  <si>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</si>
  <si>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</si>
  <si>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</si>
  <si>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</si>
  <si>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</si>
  <si>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</si>
  <si>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</si>
  <si>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</si>
  <si>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</si>
  <si>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</si>
  <si>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</si>
  <si>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</si>
  <si>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</si>
  <si>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</si>
  <si>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</si>
  <si>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</si>
  <si>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</si>
  <si>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</si>
  <si>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</si>
  <si>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</si>
  <si>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</si>
  <si>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</si>
  <si>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</si>
  <si>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</si>
  <si>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</si>
  <si>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</si>
  <si>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</si>
  <si>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</si>
  <si>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</si>
  <si>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</si>
  <si>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</si>
  <si>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</si>
  <si>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</si>
  <si>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</si>
  <si>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</si>
  <si>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</si>
  <si>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</si>
  <si>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</si>
  <si>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</si>
  <si>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</si>
  <si>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</si>
  <si>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</si>
  <si>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</si>
  <si>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</si>
  <si>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</si>
  <si>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</si>
  <si>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</si>
  <si>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</si>
  <si>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</si>
  <si>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</si>
  <si>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</si>
  <si>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</si>
  <si>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</si>
  <si>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</si>
  <si>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</si>
  <si>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</si>
  <si>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</si>
  <si>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</si>
  <si>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</si>
  <si>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</si>
  <si>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</si>
  <si>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</si>
  <si>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</si>
  <si>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</si>
  <si>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</si>
  <si>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</si>
  <si>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</si>
  <si>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</si>
  <si>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</si>
  <si>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</si>
  <si>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</si>
  <si>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</si>
  <si>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</si>
  <si>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</si>
  <si>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</si>
  <si>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</si>
  <si>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</si>
  <si>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</si>
  <si>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</si>
  <si>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</si>
  <si>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</si>
  <si>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</si>
  <si>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</si>
  <si>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</si>
  <si>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</si>
  <si>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</si>
  <si>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</si>
  <si>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</si>
  <si>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</si>
  <si>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</si>
  <si>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</si>
  <si>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</si>
  <si>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</si>
  <si>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</si>
  <si>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</si>
  <si>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</si>
  <si>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</si>
  <si>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</si>
  <si>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</si>
  <si>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</si>
  <si>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</si>
  <si>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</si>
  <si>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</si>
  <si>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</si>
  <si>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</si>
  <si>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</si>
  <si>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</si>
  <si>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</si>
  <si>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</si>
  <si>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</si>
  <si>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</si>
  <si>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</si>
  <si>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</si>
  <si>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</si>
  <si>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</si>
  <si>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</si>
  <si>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</si>
  <si>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</si>
  <si>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</si>
  <si>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</si>
  <si>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</si>
  <si>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</si>
  <si>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</si>
  <si>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</si>
  <si>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</si>
  <si>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</si>
  <si>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</si>
  <si>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</si>
  <si>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</si>
  <si>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</si>
  <si>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</si>
  <si>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</si>
  <si>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</si>
  <si>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</si>
  <si>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</si>
  <si>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</si>
  <si>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</si>
  <si>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</si>
  <si>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</si>
  <si>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</si>
  <si>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</si>
  <si>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</si>
  <si>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</si>
  <si>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</si>
  <si>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</si>
  <si>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</si>
  <si>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</si>
  <si>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</si>
  <si>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</si>
  <si>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</si>
  <si>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</si>
  <si>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</si>
  <si>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</si>
  <si>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</si>
  <si>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</si>
  <si>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</si>
  <si>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</si>
  <si>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</si>
  <si>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</si>
  <si>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</si>
  <si>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</si>
  <si>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</si>
  <si>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</si>
  <si>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</si>
  <si>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</si>
  <si>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</si>
  <si>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</si>
  <si>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</si>
  <si>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</si>
  <si>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</si>
  <si>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</si>
  <si>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</si>
  <si>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</si>
  <si>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</si>
  <si>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</si>
  <si>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</si>
  <si>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</si>
  <si>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</si>
  <si>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</si>
  <si>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</si>
  <si>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</si>
  <si>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</si>
  <si>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</si>
  <si>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</si>
  <si>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</si>
  <si>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</si>
  <si>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</si>
  <si>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</si>
  <si>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</si>
  <si>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</si>
  <si>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</si>
  <si>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</si>
  <si>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</si>
  <si>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</si>
  <si>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</si>
  <si>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</si>
  <si>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</si>
  <si>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</si>
  <si>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</si>
  <si>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</si>
  <si>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</si>
  <si>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</si>
  <si>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</si>
  <si>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</si>
  <si>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</si>
  <si>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</si>
  <si>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</si>
  <si>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</si>
  <si>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</si>
  <si>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</si>
  <si>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</si>
  <si>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</si>
  <si>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</si>
  <si>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</si>
  <si>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</si>
  <si>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</si>
  <si>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</si>
  <si>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</si>
  <si>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</si>
  <si>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</si>
  <si>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</si>
  <si>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</si>
  <si>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</si>
  <si>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</si>
  <si>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</si>
  <si>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</si>
  <si>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</si>
  <si>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</si>
  <si>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</si>
  <si>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</si>
  <si>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</si>
  <si>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</si>
  <si>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</si>
  <si>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</si>
  <si>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</si>
  <si>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</si>
  <si>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</si>
  <si>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</si>
  <si>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</si>
  <si>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</si>
  <si>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</si>
  <si>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</si>
  <si>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</si>
  <si>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</si>
  <si>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</si>
  <si>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</si>
  <si>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</si>
  <si>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</si>
  <si>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</si>
  <si>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</si>
  <si>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</si>
  <si>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</si>
  <si>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</si>
  <si>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</si>
  <si>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</si>
  <si>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</si>
  <si>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</si>
  <si>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</si>
  <si>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</si>
  <si>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</si>
  <si>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</si>
  <si>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</si>
  <si>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</si>
  <si>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</si>
  <si>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</si>
  <si>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</si>
  <si>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</si>
  <si>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</si>
  <si>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</si>
  <si>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</si>
  <si>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</si>
  <si>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</si>
  <si>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</si>
  <si>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</si>
  <si>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</si>
  <si>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</si>
  <si>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</si>
  <si>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</si>
  <si>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</si>
  <si>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</si>
  <si>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</si>
  <si>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</si>
  <si>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</si>
  <si>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</si>
  <si>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</si>
  <si>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</si>
  <si>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</si>
  <si>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</si>
  <si>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</si>
  <si>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</si>
  <si>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</si>
  <si>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</si>
  <si>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</si>
  <si>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</si>
  <si>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</si>
  <si>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</si>
  <si>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</si>
  <si>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</si>
  <si>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</si>
  <si>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</si>
  <si>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</si>
  <si>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</si>
  <si>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</si>
  <si>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</si>
  <si>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</si>
  <si>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</si>
  <si>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</si>
  <si>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</si>
  <si>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</si>
  <si>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</si>
  <si>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</si>
  <si>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</si>
  <si>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</si>
  <si>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</si>
  <si>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</si>
  <si>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</si>
  <si>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</si>
  <si>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</si>
  <si>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</si>
  <si>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</si>
  <si>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</si>
  <si>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</si>
  <si>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</si>
  <si>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</si>
  <si>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</si>
  <si>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</si>
  <si>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</si>
  <si>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</si>
  <si>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</si>
  <si>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</si>
  <si>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</si>
  <si>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</si>
  <si>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</si>
  <si>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</si>
  <si>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</si>
  <si>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</si>
  <si>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</si>
  <si>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</si>
  <si>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</si>
  <si>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</si>
  <si>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</si>
  <si>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</si>
  <si>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</si>
  <si>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</si>
  <si>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</si>
  <si>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</si>
  <si>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</si>
  <si>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</si>
  <si>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</si>
  <si>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</si>
  <si>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</si>
  <si>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</si>
  <si>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</si>
  <si>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</si>
  <si>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</si>
  <si>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</si>
  <si>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</si>
  <si>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</si>
  <si>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</si>
  <si>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</si>
  <si>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</si>
  <si>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</si>
  <si>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</si>
  <si>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</si>
  <si>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</si>
  <si>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</si>
  <si>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</si>
  <si>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</si>
  <si>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</si>
  <si>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</si>
  <si>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</si>
  <si>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</si>
  <si>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</si>
  <si>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</si>
  <si>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</si>
  <si>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</si>
  <si>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</si>
  <si>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</si>
  <si>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</si>
  <si>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</si>
  <si>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</si>
  <si>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</si>
  <si>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</si>
  <si>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</si>
  <si>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</si>
  <si>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</si>
  <si>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</si>
  <si>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</si>
  <si>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</si>
  <si>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</si>
  <si>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</si>
  <si>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</si>
  <si>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</si>
  <si>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</si>
  <si>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</si>
  <si>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</si>
  <si>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</si>
  <si>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</si>
  <si>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</si>
  <si>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</si>
  <si>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</si>
  <si>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</si>
  <si>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</si>
  <si>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</si>
  <si>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</si>
  <si>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</si>
  <si>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</si>
  <si>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</si>
  <si>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</si>
  <si>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</si>
  <si>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</si>
  <si>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</si>
  <si>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</si>
  <si>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</si>
  <si>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</si>
  <si>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</si>
  <si>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</si>
  <si>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</si>
  <si>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</si>
  <si>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</si>
  <si>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</si>
  <si>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</si>
  <si>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</si>
  <si>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</si>
  <si>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</si>
  <si>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</si>
  <si>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</si>
  <si>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</si>
  <si>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</si>
  <si>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</si>
  <si>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</si>
  <si>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</si>
  <si>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</si>
  <si>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</si>
  <si>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</si>
  <si>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</si>
  <si>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</si>
  <si>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</si>
  <si>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</si>
  <si>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</si>
  <si>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</si>
  <si>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</si>
  <si>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</si>
  <si>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</si>
  <si>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</si>
  <si>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</si>
  <si>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</si>
  <si>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</si>
  <si>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</si>
  <si>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</si>
  <si>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</si>
  <si>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</si>
  <si>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</si>
  <si>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</si>
  <si>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</si>
  <si>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</si>
  <si>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</si>
  <si>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</si>
  <si>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</si>
  <si>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</si>
  <si>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</si>
  <si>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</si>
  <si>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</si>
  <si>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</si>
  <si>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</si>
  <si>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</si>
  <si>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</si>
  <si>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</si>
  <si>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</si>
  <si>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</si>
  <si>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</si>
  <si>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</si>
  <si>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</si>
  <si>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</si>
  <si>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</si>
  <si>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</si>
  <si>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</si>
  <si>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</si>
  <si>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</si>
  <si>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</si>
  <si>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</si>
  <si>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</si>
  <si>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</si>
  <si>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</si>
  <si>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</si>
  <si>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</si>
  <si>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</si>
  <si>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</si>
  <si>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</si>
  <si>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</si>
  <si>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</si>
  <si>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</si>
  <si>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</si>
  <si>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</si>
  <si>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</si>
  <si>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</si>
  <si>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</si>
  <si>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</si>
  <si>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</si>
  <si>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</si>
  <si>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</si>
  <si>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</si>
  <si>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</si>
  <si>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</si>
  <si>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</si>
  <si>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</si>
  <si>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</si>
  <si>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</si>
  <si>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</si>
  <si>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</si>
  <si>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</si>
  <si>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</si>
  <si>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</si>
  <si>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</si>
  <si>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</si>
  <si>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</si>
  <si>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</si>
  <si>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</si>
  <si>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</si>
  <si>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</si>
  <si>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</si>
  <si>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</si>
  <si>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</si>
  <si>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</si>
  <si>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</si>
  <si>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</si>
  <si>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</si>
  <si>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</si>
  <si>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</si>
  <si>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</si>
  <si>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</si>
  <si>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</si>
  <si>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</si>
  <si>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</si>
  <si>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</si>
  <si>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</si>
  <si>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</si>
  <si>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</si>
  <si>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</si>
  <si>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</si>
  <si>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</si>
  <si>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</si>
  <si>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</si>
  <si>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</si>
  <si>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</si>
  <si>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</si>
  <si>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</si>
  <si>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</si>
  <si>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</si>
  <si>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</si>
  <si>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</si>
  <si>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</si>
  <si>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</si>
  <si>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</si>
  <si>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</si>
  <si>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</si>
  <si>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</si>
  <si>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</si>
  <si>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</si>
  <si>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</si>
  <si>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</si>
  <si>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</si>
  <si>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</si>
  <si>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</si>
  <si>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</si>
  <si>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</si>
  <si>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</si>
  <si>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</si>
  <si>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</si>
  <si>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</si>
  <si>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</si>
  <si>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</si>
  <si>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</si>
  <si>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</si>
  <si>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</si>
  <si>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</si>
  <si>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</si>
  <si>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</si>
  <si>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</si>
  <si>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</si>
  <si>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</si>
  <si>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</si>
  <si>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</si>
  <si>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</si>
  <si>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</si>
  <si>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</si>
  <si>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</si>
  <si>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</si>
  <si>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</si>
  <si>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</si>
  <si>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</si>
  <si>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</si>
  <si>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</si>
  <si>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</si>
  <si>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</si>
  <si>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</si>
  <si>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</si>
  <si>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</si>
  <si>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</si>
  <si>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</si>
  <si>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</si>
  <si>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</si>
  <si>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</si>
  <si>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</si>
  <si>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</si>
  <si>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</si>
  <si>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</si>
  <si>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</si>
  <si>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</si>
  <si>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</si>
  <si>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</si>
  <si>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</si>
  <si>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</si>
  <si>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</si>
  <si>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</si>
  <si>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</si>
  <si>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</si>
  <si>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</si>
  <si>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</si>
  <si>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</si>
  <si>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</si>
  <si>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</si>
  <si>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</si>
  <si>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</si>
  <si>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</si>
  <si>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</si>
  <si>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</si>
  <si>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</si>
  <si>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</si>
  <si>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</si>
  <si>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</si>
  <si>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</si>
  <si>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</si>
  <si>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</si>
  <si>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</si>
  <si>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</si>
  <si>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</si>
  <si>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</si>
  <si>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</si>
  <si>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</si>
  <si>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</si>
  <si>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</si>
  <si>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</si>
  <si>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</si>
  <si>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</si>
  <si>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</si>
  <si>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</si>
  <si>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</si>
  <si>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</si>
  <si>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</si>
  <si>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</si>
  <si>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</si>
  <si>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</si>
  <si>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</si>
  <si>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</si>
  <si>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</si>
  <si>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</si>
  <si>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</si>
  <si>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</si>
  <si>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</si>
  <si>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</si>
  <si>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</si>
  <si>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</si>
  <si>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</si>
  <si>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</si>
  <si>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</si>
  <si>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</si>
  <si>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</si>
  <si>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</si>
  <si>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</si>
  <si>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</si>
  <si>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</si>
  <si>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</si>
  <si>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</si>
  <si>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</si>
  <si>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</si>
  <si>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</si>
  <si>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</si>
  <si>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</si>
  <si>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</si>
  <si>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</si>
  <si>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</si>
  <si>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</si>
  <si>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</si>
  <si>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</si>
  <si>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</si>
  <si>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</si>
  <si>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</si>
  <si>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</si>
  <si>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</si>
  <si>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</si>
  <si>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</si>
  <si>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</si>
  <si>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</si>
  <si>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</si>
  <si>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</si>
  <si>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</si>
  <si>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</si>
  <si>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</si>
  <si>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</si>
  <si>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</si>
  <si>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</si>
  <si>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</si>
  <si>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</si>
  <si>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</si>
  <si>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</si>
  <si>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</si>
  <si>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</si>
  <si>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</si>
  <si>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</si>
  <si>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</si>
  <si>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</si>
  <si>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</si>
  <si>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</si>
  <si>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</si>
  <si>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</si>
  <si>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</si>
  <si>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</si>
  <si>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</si>
  <si>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</si>
  <si>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</si>
  <si>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</si>
  <si>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</si>
  <si>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</si>
  <si>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</si>
  <si>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</si>
  <si>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</si>
  <si>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</si>
  <si>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</si>
  <si>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</si>
  <si>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</si>
  <si>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</si>
  <si>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</si>
  <si>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</si>
  <si>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</si>
  <si>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</si>
  <si>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</si>
  <si>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</si>
  <si>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</si>
  <si>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</si>
  <si>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</si>
  <si>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</si>
  <si>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</si>
  <si>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</si>
  <si>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</si>
  <si>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</si>
  <si>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</si>
  <si>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</si>
  <si>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</si>
  <si>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</si>
  <si>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</si>
  <si>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</si>
  <si>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</si>
  <si>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</si>
  <si>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</si>
  <si>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</si>
  <si>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</si>
  <si>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</si>
  <si>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</si>
  <si>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</si>
  <si>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</si>
  <si>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</si>
  <si>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</si>
  <si>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</si>
  <si>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</si>
  <si>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</si>
  <si>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</si>
  <si>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</si>
  <si>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</si>
  <si>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</si>
  <si>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</si>
  <si>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</si>
  <si>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</si>
  <si>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</si>
  <si>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</si>
  <si>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</si>
  <si>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</si>
  <si>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</si>
  <si>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</si>
  <si>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</si>
  <si>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</si>
  <si>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</si>
  <si>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</si>
  <si>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</si>
  <si>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</si>
  <si>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</si>
  <si>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</si>
  <si>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</si>
  <si>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</si>
  <si>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</si>
  <si>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</si>
  <si>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</si>
  <si>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</si>
  <si>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</si>
  <si>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</si>
  <si>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</si>
  <si>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</si>
  <si>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</si>
  <si>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</si>
  <si>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</si>
  <si>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</si>
  <si>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</si>
  <si>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</si>
  <si>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</si>
  <si>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</si>
  <si>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</si>
  <si>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</si>
  <si>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</si>
  <si>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</si>
  <si>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</si>
  <si>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</si>
  <si>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</si>
  <si>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</si>
  <si>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</si>
  <si>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</si>
  <si>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</si>
  <si>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</si>
  <si>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</si>
  <si>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</si>
  <si>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</si>
  <si>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</si>
  <si>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</si>
  <si>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</si>
  <si>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</si>
  <si>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</si>
  <si>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</si>
  <si>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</si>
  <si>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</si>
  <si>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</si>
  <si>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</si>
  <si>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</si>
  <si>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</si>
  <si>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</si>
  <si>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</si>
  <si>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</si>
  <si>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</si>
  <si>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</si>
  <si>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</si>
  <si>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</si>
  <si>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</si>
  <si>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</si>
  <si>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</si>
  <si>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</si>
  <si>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</si>
  <si>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</si>
  <si>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</si>
  <si>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</si>
  <si>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</si>
  <si>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</si>
  <si>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</si>
  <si>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</si>
  <si>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</si>
  <si>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</si>
  <si>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</si>
  <si>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</si>
  <si>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</si>
  <si>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</si>
  <si>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</si>
  <si>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</si>
  <si>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</si>
  <si>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</si>
  <si>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</si>
  <si>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</si>
  <si>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</si>
  <si>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</si>
  <si>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</si>
  <si>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</si>
  <si>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</si>
  <si>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</si>
  <si>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</si>
  <si>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</si>
  <si>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</si>
  <si>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</si>
  <si>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</si>
  <si>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</si>
  <si>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</si>
  <si>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</si>
  <si>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</si>
  <si>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</si>
  <si>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</si>
  <si>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</si>
  <si>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</si>
  <si>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</si>
  <si>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</si>
  <si>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</si>
  <si>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</si>
  <si>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</si>
  <si>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</si>
  <si>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</si>
  <si>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</si>
  <si>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</si>
  <si>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</si>
  <si>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</si>
  <si>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</si>
  <si>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</si>
  <si>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</si>
  <si>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</si>
  <si>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</si>
  <si>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</si>
  <si>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</si>
  <si>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</si>
  <si>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</si>
  <si>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</si>
  <si>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</si>
  <si>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</si>
  <si>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</si>
  <si>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</si>
  <si>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</si>
  <si>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</si>
  <si>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</si>
  <si>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</si>
  <si>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</si>
  <si>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</si>
  <si>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</si>
  <si>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</si>
  <si>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</si>
  <si>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</si>
  <si>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</si>
  <si>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</si>
  <si>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</si>
  <si>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</si>
  <si>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</si>
  <si>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</si>
  <si>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</si>
  <si>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</si>
  <si>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</si>
  <si>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</si>
  <si>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</si>
  <si>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</si>
  <si>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</si>
  <si>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</si>
  <si>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</si>
  <si>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</si>
  <si>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</si>
  <si>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</si>
  <si>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</si>
  <si>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</si>
  <si>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</si>
  <si>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</si>
  <si>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</si>
  <si>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</si>
  <si>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</si>
  <si>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</si>
  <si>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</si>
  <si>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</si>
  <si>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</si>
  <si>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</si>
  <si>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</si>
  <si>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</si>
  <si>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</si>
  <si>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</si>
  <si>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</si>
  <si>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</si>
  <si>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</si>
  <si>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</si>
  <si>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</si>
  <si>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</si>
  <si>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</si>
  <si>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</si>
  <si>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</si>
  <si>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</si>
  <si>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</si>
  <si>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</si>
  <si>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</si>
  <si>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</si>
  <si>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</si>
  <si>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</si>
  <si>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</si>
  <si>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</si>
  <si>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</si>
  <si>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</si>
  <si>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</si>
  <si>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</si>
  <si>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</si>
  <si>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</si>
  <si>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</si>
  <si>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</si>
  <si>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</si>
  <si>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</si>
  <si>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</si>
  <si>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</si>
  <si>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</si>
  <si>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</si>
  <si>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</si>
  <si>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</si>
  <si>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</si>
  <si>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</si>
  <si>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</si>
  <si>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</si>
  <si>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</si>
  <si>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</si>
  <si>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</si>
  <si>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</si>
  <si>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</si>
  <si>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</si>
  <si>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</si>
  <si>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</si>
  <si>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</si>
  <si>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</si>
  <si>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</si>
  <si>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</si>
  <si>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</si>
  <si>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</si>
  <si>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</si>
  <si>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</si>
  <si>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</si>
  <si>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</si>
  <si>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</si>
  <si>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</si>
  <si>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</si>
  <si>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</si>
  <si>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</si>
  <si>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</si>
  <si>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</si>
  <si>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</si>
  <si>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</si>
  <si>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</si>
  <si>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</si>
  <si>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</si>
  <si>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</si>
  <si>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</si>
  <si>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</si>
  <si>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</si>
  <si>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</si>
  <si>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</si>
  <si>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</si>
  <si>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</si>
  <si>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</si>
  <si>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</si>
  <si>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</si>
  <si>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</si>
  <si>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</si>
  <si>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</si>
  <si>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</si>
  <si>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</si>
  <si>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</si>
  <si>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</si>
  <si>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</si>
  <si>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</si>
  <si>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</si>
  <si>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</si>
  <si>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</si>
  <si>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</si>
  <si>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</si>
  <si>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</si>
  <si>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</si>
  <si>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</si>
  <si>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</si>
  <si>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</si>
  <si>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</si>
  <si>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</si>
  <si>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</si>
  <si>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</si>
  <si>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</si>
  <si>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</si>
  <si>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</si>
  <si>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</si>
  <si>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</si>
  <si>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</si>
  <si>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</si>
  <si>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</si>
  <si>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</si>
  <si>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</si>
  <si>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</si>
  <si>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</si>
  <si>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</si>
  <si>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</si>
  <si>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</si>
  <si>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</si>
  <si>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</si>
  <si>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</si>
  <si>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</si>
  <si>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</si>
  <si>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</si>
  <si>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</si>
  <si>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</si>
  <si>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</si>
  <si>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</si>
  <si>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</si>
  <si>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</si>
  <si>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</si>
  <si>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</si>
  <si>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</si>
  <si>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</si>
  <si>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</si>
  <si>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</si>
  <si>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</si>
  <si>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</si>
  <si>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</si>
  <si>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</si>
  <si>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</si>
  <si>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</si>
  <si>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</si>
  <si>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</si>
  <si>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</si>
  <si>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</si>
  <si>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</si>
  <si>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</si>
  <si>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</si>
  <si>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</si>
  <si>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</si>
  <si>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</si>
  <si>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</si>
  <si>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</si>
  <si>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</si>
  <si>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</si>
  <si>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</si>
  <si>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</si>
  <si>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</si>
  <si>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</si>
  <si>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</si>
  <si>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</si>
  <si>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</si>
  <si>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</si>
  <si>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</si>
  <si>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</si>
  <si>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</si>
  <si>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</si>
  <si>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</si>
  <si>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</si>
  <si>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</si>
  <si>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</si>
  <si>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</si>
  <si>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</si>
  <si>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</si>
  <si>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</si>
  <si>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</si>
  <si>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</si>
  <si>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</si>
  <si>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</si>
  <si>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</si>
  <si>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</si>
  <si>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</si>
  <si>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</si>
  <si>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</si>
  <si>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</si>
  <si>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</si>
  <si>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</si>
  <si>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</si>
  <si>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</si>
  <si>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</si>
  <si>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</si>
  <si>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</si>
  <si>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</si>
  <si>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</si>
  <si>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</si>
  <si>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</si>
  <si>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</si>
  <si>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</si>
  <si>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</si>
  <si>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</si>
  <si>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</si>
  <si>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</si>
  <si>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</si>
  <si>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</si>
  <si>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</si>
  <si>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</si>
  <si>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</si>
  <si>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</si>
  <si>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</si>
  <si>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</si>
  <si>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</si>
  <si>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</si>
  <si>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</si>
  <si>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</si>
  <si>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</si>
  <si>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</si>
  <si>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</si>
  <si>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</si>
  <si>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</si>
  <si>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</si>
  <si>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</si>
  <si>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</si>
  <si>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</si>
  <si>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</si>
  <si>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</si>
  <si>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</si>
  <si>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</si>
  <si>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</si>
  <si>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</si>
  <si>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</si>
  <si>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</si>
  <si>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</si>
  <si>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</si>
  <si>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</si>
  <si>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</si>
  <si>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</si>
  <si>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</si>
  <si>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</si>
  <si>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</si>
  <si>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</si>
  <si>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</si>
  <si>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</si>
  <si>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</si>
  <si>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</si>
  <si>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</si>
  <si>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</si>
  <si>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</si>
  <si>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</si>
  <si>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</si>
  <si>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</si>
  <si>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</si>
  <si>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</si>
  <si>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</si>
  <si>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</si>
  <si>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</si>
  <si>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</si>
  <si>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</si>
  <si>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</si>
  <si>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</si>
  <si>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</si>
  <si>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</si>
  <si>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</si>
  <si>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</si>
  <si>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</si>
  <si>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</si>
  <si>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</si>
  <si>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</si>
  <si>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</si>
  <si>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</si>
  <si>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</si>
  <si>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</si>
  <si>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</si>
  <si>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</si>
  <si>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</si>
  <si>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</si>
  <si>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</si>
  <si>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</si>
  <si>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</si>
  <si>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</si>
  <si>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</si>
  <si>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</si>
  <si>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</si>
  <si>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</si>
  <si>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</si>
  <si>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</si>
  <si>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</si>
  <si>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</si>
  <si>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</si>
  <si>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</si>
  <si>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</si>
  <si>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</si>
  <si>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</si>
  <si>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</si>
  <si>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</si>
  <si>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</si>
  <si>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</si>
  <si>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</si>
  <si>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</si>
  <si>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</si>
  <si>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</si>
  <si>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</si>
  <si>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</si>
  <si>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</si>
  <si>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</si>
  <si>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</si>
  <si>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</si>
  <si>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</si>
  <si>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</si>
  <si>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</si>
  <si>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</si>
  <si>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</si>
  <si>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</si>
  <si>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</si>
  <si>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</si>
  <si>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</si>
  <si>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</si>
  <si>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</si>
  <si>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</si>
  <si>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</si>
  <si>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</si>
  <si>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</si>
  <si>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</si>
  <si>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</si>
  <si>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</si>
  <si>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</si>
  <si>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</si>
  <si>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</si>
  <si>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</si>
  <si>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</si>
  <si>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</si>
  <si>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</si>
  <si>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</si>
  <si>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</si>
  <si>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</si>
  <si>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</si>
  <si>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</si>
  <si>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</si>
  <si>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</si>
  <si>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</si>
  <si>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</si>
  <si>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</si>
  <si>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</si>
  <si>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</si>
  <si>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</si>
  <si>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</si>
  <si>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</si>
  <si>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</si>
  <si>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</si>
  <si>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</si>
  <si>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</si>
  <si>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</si>
  <si>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</si>
  <si>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</si>
  <si>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</si>
  <si>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</si>
  <si>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</si>
  <si>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</si>
  <si>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</si>
  <si>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</si>
  <si>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</si>
  <si>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</si>
  <si>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</si>
  <si>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</si>
  <si>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</si>
  <si>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</si>
  <si>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</si>
  <si>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</si>
  <si>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</si>
  <si>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</si>
  <si>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</si>
  <si>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</si>
  <si>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</si>
  <si>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</si>
  <si>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</si>
  <si>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</si>
  <si>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</si>
  <si>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</si>
  <si>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</si>
  <si>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</si>
  <si>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</si>
  <si>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</si>
  <si>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</si>
  <si>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</si>
  <si>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</si>
  <si>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</si>
  <si>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</si>
  <si>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</si>
  <si>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</si>
  <si>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</si>
  <si>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</si>
  <si>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</si>
  <si>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</si>
  <si>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</si>
  <si>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</si>
  <si>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</si>
  <si>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</si>
  <si>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</si>
  <si>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</si>
  <si>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</si>
  <si>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</si>
  <si>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</si>
  <si>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</si>
  <si>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</si>
  <si>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</si>
  <si>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</si>
  <si>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</si>
  <si>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</si>
  <si>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</si>
  <si>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</si>
  <si>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</si>
  <si>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</si>
  <si>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</si>
  <si>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</si>
  <si>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</si>
  <si>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</si>
  <si>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</si>
  <si>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</si>
  <si>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</si>
  <si>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</si>
  <si>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</si>
  <si>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</si>
  <si>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</si>
  <si>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</si>
  <si>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</si>
  <si>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</si>
  <si>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</si>
  <si>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</si>
  <si>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</si>
  <si>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</si>
  <si>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</si>
  <si>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</si>
  <si>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</si>
  <si>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</si>
  <si>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</si>
  <si>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</si>
  <si>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</si>
  <si>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</si>
  <si>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</si>
  <si>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</si>
  <si>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</si>
  <si>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</si>
  <si>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</si>
  <si>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</si>
  <si>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</si>
  <si>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</si>
  <si>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</si>
  <si>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</si>
  <si>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</si>
  <si>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</si>
  <si>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</si>
  <si>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</si>
  <si>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</si>
  <si>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</si>
  <si>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</si>
  <si>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</si>
  <si>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</si>
  <si>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</si>
  <si>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</si>
  <si>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</si>
  <si>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</si>
  <si>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</si>
  <si>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</si>
  <si>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</si>
  <si>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</si>
  <si>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</si>
  <si>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</si>
  <si>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</si>
  <si>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</si>
  <si>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</si>
  <si>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</si>
  <si>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</si>
  <si>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</si>
  <si>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</si>
  <si>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</si>
  <si>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</si>
  <si>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</si>
  <si>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</si>
  <si>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</si>
  <si>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</si>
  <si>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</si>
  <si>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</si>
  <si>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</si>
  <si>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</si>
  <si>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</si>
  <si>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</si>
  <si>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</si>
  <si>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</si>
  <si>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</si>
  <si>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</si>
  <si>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</si>
  <si>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</si>
  <si>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</si>
  <si>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</si>
  <si>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</si>
  <si>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</si>
  <si>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</si>
  <si>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</si>
  <si>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</si>
  <si>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</si>
  <si>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</si>
  <si>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</si>
  <si>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</si>
  <si>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</si>
  <si>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</si>
  <si>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</si>
  <si>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</si>
  <si>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</si>
  <si>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</si>
  <si>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</si>
  <si>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</si>
  <si>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</si>
  <si>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</si>
  <si>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</si>
  <si>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</si>
  <si>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</si>
  <si>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</si>
  <si>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</si>
  <si>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</si>
  <si>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</si>
  <si>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</si>
  <si>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</si>
  <si>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</si>
  <si>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</si>
  <si>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</si>
  <si>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</si>
  <si>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</si>
  <si>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</si>
  <si>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</si>
  <si>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</si>
  <si>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</si>
  <si>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</si>
  <si>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</si>
  <si>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</si>
  <si>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</si>
  <si>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</si>
  <si>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</si>
  <si>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</si>
  <si>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</si>
  <si>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</si>
  <si>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</si>
  <si>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</si>
  <si>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</si>
  <si>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</si>
  <si>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</si>
  <si>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</si>
  <si>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</si>
  <si>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</si>
  <si>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</si>
  <si>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</si>
  <si>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</si>
  <si>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</si>
  <si>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</si>
  <si>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</si>
  <si>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</si>
  <si>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</si>
  <si>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</si>
  <si>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</si>
  <si>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</si>
  <si>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</si>
  <si>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</si>
  <si>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</si>
  <si>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</si>
  <si>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</si>
  <si>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</si>
  <si>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</si>
  <si>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</si>
  <si>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</si>
  <si>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</si>
  <si>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</si>
  <si>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</si>
  <si>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</si>
  <si>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</si>
  <si>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</si>
  <si>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</si>
  <si>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</si>
  <si>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</si>
  <si>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</si>
  <si>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</si>
  <si>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</si>
  <si>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</si>
  <si>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</si>
  <si>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</si>
  <si>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</si>
  <si>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</si>
  <si>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</si>
  <si>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</si>
  <si>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</si>
  <si>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</si>
  <si>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</si>
  <si>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</si>
  <si>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</si>
  <si>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</si>
  <si>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</si>
  <si>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</si>
  <si>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</si>
  <si>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</si>
  <si>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</si>
  <si>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</si>
  <si>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</si>
  <si>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</si>
  <si>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</si>
  <si>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</si>
  <si>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</si>
  <si>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</si>
  <si>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</si>
  <si>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</si>
  <si>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</si>
  <si>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</si>
  <si>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</si>
  <si>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</si>
  <si>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</si>
  <si>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</si>
  <si>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</si>
  <si>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</si>
  <si>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</si>
  <si>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</si>
  <si>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</si>
  <si>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</si>
  <si>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</si>
  <si>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</si>
  <si>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</si>
  <si>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</si>
  <si>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</si>
  <si>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</si>
  <si>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</si>
  <si>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</si>
  <si>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</si>
  <si>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</si>
  <si>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</si>
  <si>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</si>
  <si>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</si>
  <si>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</si>
  <si>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</si>
  <si>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</si>
  <si>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</si>
  <si>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</si>
  <si>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</si>
  <si>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</si>
  <si>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</si>
  <si>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</si>
  <si>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</si>
  <si>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</si>
  <si>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</si>
  <si>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</si>
  <si>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</si>
  <si>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</si>
  <si>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</si>
  <si>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</si>
  <si>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</si>
  <si>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</si>
  <si>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</si>
  <si>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</si>
  <si>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</si>
  <si>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</si>
  <si>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</si>
  <si>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</si>
  <si>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</si>
  <si>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</si>
  <si>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</si>
  <si>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</si>
  <si>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</si>
  <si>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</si>
  <si>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</si>
  <si>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</si>
  <si>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</si>
  <si>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</si>
  <si>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</si>
  <si>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</si>
  <si>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</si>
  <si>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</si>
  <si>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</si>
  <si>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</si>
  <si>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</si>
  <si>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</si>
  <si>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</si>
  <si>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</si>
  <si>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</si>
  <si>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</si>
  <si>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</si>
  <si>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</si>
  <si>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</si>
  <si>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</si>
  <si>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</si>
  <si>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</si>
  <si>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</si>
  <si>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</si>
  <si>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</si>
  <si>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</si>
  <si>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</si>
  <si>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</si>
  <si>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</si>
  <si>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</si>
  <si>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</si>
  <si>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</si>
  <si>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</si>
  <si>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</si>
  <si>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</si>
  <si>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</si>
  <si>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</si>
  <si>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</si>
  <si>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</si>
  <si>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</si>
  <si>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</si>
  <si>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</si>
  <si>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</si>
  <si>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</si>
  <si>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</si>
  <si>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</si>
  <si>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</si>
  <si>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</si>
  <si>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</si>
  <si>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</si>
  <si>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</si>
  <si>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</si>
  <si>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</si>
  <si>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</si>
  <si>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</si>
  <si>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</si>
  <si>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</si>
  <si>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</si>
  <si>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</si>
  <si>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</si>
  <si>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</si>
  <si>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</si>
  <si>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</si>
  <si>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</si>
  <si>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</si>
  <si>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</si>
  <si>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</si>
  <si>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</si>
  <si>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</si>
  <si>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</si>
  <si>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</si>
  <si>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</si>
  <si>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</si>
  <si>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</si>
  <si>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</si>
  <si>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</si>
  <si>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</si>
  <si>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</si>
  <si>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</si>
  <si>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</si>
  <si>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</si>
  <si>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</si>
  <si>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</si>
  <si>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</si>
  <si>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</si>
  <si>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</si>
  <si>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</si>
  <si>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</si>
  <si>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</si>
  <si>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</si>
  <si>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</si>
  <si>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</si>
  <si>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</si>
  <si>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</si>
  <si>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</si>
  <si>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</si>
  <si>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</si>
  <si>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</si>
  <si>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</si>
  <si>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</si>
  <si>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</si>
  <si>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</si>
  <si>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</si>
  <si>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</si>
  <si>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</si>
  <si>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</si>
  <si>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</si>
  <si>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</si>
  <si>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</si>
  <si>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</si>
  <si>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</si>
  <si>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</si>
  <si>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</si>
  <si>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</si>
  <si>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</si>
  <si>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</si>
  <si>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</si>
  <si>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</si>
  <si>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</si>
  <si>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</si>
  <si>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</si>
  <si>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</si>
  <si>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</si>
  <si>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</si>
  <si>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</si>
  <si>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</si>
  <si>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</si>
  <si>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</si>
  <si>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</si>
  <si>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</si>
  <si>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</si>
  <si>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</si>
  <si>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</si>
  <si>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</si>
  <si>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</si>
  <si>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</si>
  <si>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</si>
  <si>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</si>
  <si>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</si>
  <si>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</si>
  <si>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</si>
  <si>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</si>
  <si>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</si>
  <si>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</si>
  <si>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</si>
  <si>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</si>
  <si>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</si>
  <si>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</si>
  <si>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</si>
  <si>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</si>
  <si>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</si>
  <si>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</si>
  <si>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</si>
  <si>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</si>
  <si>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</si>
  <si>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</si>
  <si>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</si>
  <si>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</si>
  <si>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</si>
  <si>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</si>
  <si>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</si>
  <si>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</si>
  <si>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</si>
  <si>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</si>
  <si>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</si>
  <si>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</si>
  <si>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</si>
  <si>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</si>
  <si>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</si>
  <si>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</si>
  <si>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</si>
  <si>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</si>
  <si>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</si>
  <si>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</si>
  <si>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</si>
  <si>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</si>
  <si>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</si>
  <si>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</si>
  <si>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</si>
  <si>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</si>
  <si>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</si>
  <si>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</si>
  <si>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</si>
  <si>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</si>
  <si>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</si>
  <si>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</si>
  <si>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</si>
  <si>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</si>
  <si>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</si>
  <si>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</si>
  <si>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</si>
  <si>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</si>
  <si>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</si>
  <si>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</si>
  <si>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</si>
  <si>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</si>
  <si>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</si>
  <si>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</si>
  <si>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</si>
  <si>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</si>
  <si>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</si>
  <si>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</si>
  <si>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</si>
  <si>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</si>
  <si>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</si>
  <si>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</si>
  <si>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</si>
  <si>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</si>
  <si>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</si>
  <si>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</si>
  <si>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</si>
  <si>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</si>
  <si>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</si>
  <si>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</si>
  <si>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</si>
  <si>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</si>
  <si>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</si>
  <si>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</si>
  <si>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</si>
  <si>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</si>
  <si>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</si>
  <si>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</si>
  <si>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</si>
  <si>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</si>
  <si>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</si>
  <si>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</si>
  <si>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</si>
  <si>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</si>
  <si>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</si>
  <si>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</si>
  <si>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</si>
  <si>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</si>
  <si>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</si>
  <si>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</si>
  <si>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</si>
  <si>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</si>
  <si>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</si>
  <si>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</si>
  <si>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</si>
  <si>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</si>
  <si>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</si>
  <si>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</si>
  <si>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</si>
  <si>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</si>
  <si>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</si>
  <si>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</si>
  <si>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</si>
  <si>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</si>
  <si>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</si>
  <si>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</si>
  <si>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</si>
  <si>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</si>
  <si>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</si>
  <si>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</si>
  <si>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</si>
  <si>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</si>
  <si>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</si>
  <si>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</si>
  <si>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</si>
  <si>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</si>
  <si>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</si>
  <si>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</si>
  <si>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</si>
  <si>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</si>
  <si>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</si>
  <si>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</si>
  <si>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</si>
  <si>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</si>
  <si>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</si>
  <si>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</si>
  <si>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</si>
  <si>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</si>
  <si>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</si>
  <si>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</si>
  <si>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</si>
  <si>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</si>
  <si>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</si>
  <si>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</si>
  <si>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</si>
  <si>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</si>
  <si>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</si>
  <si>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</si>
  <si>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</si>
  <si>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</si>
  <si>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</si>
  <si>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</si>
  <si>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</si>
  <si>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</si>
  <si>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</si>
  <si>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</si>
  <si>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</si>
  <si>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</si>
  <si>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</si>
  <si>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</si>
  <si>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</si>
  <si>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</si>
  <si>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</si>
  <si>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</si>
  <si>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</si>
  <si>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</si>
  <si>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</si>
  <si>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</si>
  <si>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</si>
  <si>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</si>
  <si>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</si>
  <si>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</si>
  <si>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</si>
  <si>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</si>
  <si>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</si>
  <si>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</si>
  <si>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</si>
  <si>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</si>
  <si>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</si>
  <si>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</si>
  <si>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</si>
  <si>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</si>
  <si>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</si>
  <si>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</si>
  <si>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</si>
  <si>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</si>
  <si>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</si>
  <si>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</si>
  <si>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</si>
  <si>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</si>
  <si>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</si>
  <si>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</si>
  <si>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</si>
  <si>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</si>
  <si>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</si>
  <si>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</si>
  <si>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</si>
  <si>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</si>
  <si>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</si>
  <si>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</si>
  <si>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</si>
  <si>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</si>
  <si>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</si>
  <si>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</si>
  <si>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</si>
  <si>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</si>
  <si>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</si>
  <si>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</si>
  <si>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</si>
  <si>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</si>
  <si>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</si>
  <si>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</si>
  <si>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</si>
  <si>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</si>
  <si>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</si>
  <si>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</si>
  <si>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</si>
  <si>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</si>
  <si>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</si>
  <si>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</si>
  <si>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</si>
  <si>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</si>
  <si>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</si>
  <si>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</si>
  <si>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</si>
  <si>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</si>
  <si>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</si>
  <si>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</si>
  <si>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</si>
  <si>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</si>
  <si>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</si>
  <si>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</si>
  <si>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</si>
  <si>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</si>
  <si>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</si>
  <si>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</si>
  <si>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</si>
  <si>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</si>
  <si>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</si>
  <si>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</si>
  <si>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</si>
  <si>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</si>
  <si>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</si>
  <si>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</si>
  <si>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</si>
  <si>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</si>
  <si>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</si>
  <si>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</si>
  <si>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</si>
  <si>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</si>
  <si>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</si>
  <si>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</si>
  <si>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</si>
  <si>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</si>
  <si>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</si>
  <si>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</si>
  <si>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</si>
  <si>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</si>
  <si>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</si>
  <si>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</si>
  <si>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</si>
  <si>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</si>
  <si>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</si>
  <si>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</si>
  <si>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</si>
  <si>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</si>
  <si>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</si>
  <si>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</si>
  <si>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</si>
  <si>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</si>
  <si>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</si>
  <si>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</si>
  <si>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</si>
  <si>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</si>
  <si>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</si>
  <si>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</si>
  <si>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</si>
  <si>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</si>
  <si>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</si>
  <si>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</si>
  <si>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</si>
  <si>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</si>
  <si>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</si>
  <si>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</si>
  <si>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</si>
  <si>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</si>
  <si>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</si>
  <si>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</si>
  <si>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</si>
  <si>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</si>
  <si>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</si>
  <si>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</si>
  <si>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</si>
  <si>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</si>
  <si>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</si>
  <si>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</si>
  <si>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</si>
  <si>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</si>
  <si>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</si>
  <si>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</si>
  <si>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</si>
  <si>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</si>
  <si>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</si>
  <si>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</si>
  <si>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</si>
  <si>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</si>
  <si>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</si>
  <si>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</si>
  <si>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</si>
  <si>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</si>
  <si>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</si>
  <si>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</si>
  <si>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</si>
  <si>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</si>
  <si>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</si>
  <si>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</si>
  <si>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</si>
  <si>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</si>
  <si>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</si>
  <si>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</si>
  <si>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</si>
  <si>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</si>
  <si>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</si>
  <si>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</si>
  <si>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</si>
  <si>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</si>
  <si>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</si>
  <si>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</si>
  <si>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</si>
  <si>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</si>
  <si>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</si>
  <si>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</si>
  <si>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</si>
  <si>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</si>
  <si>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</si>
  <si>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</si>
  <si>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</si>
  <si>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</si>
  <si>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</si>
  <si>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</si>
  <si>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</si>
  <si>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</si>
  <si>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</si>
  <si>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</si>
  <si>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</si>
  <si>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</si>
  <si>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</si>
  <si>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</si>
  <si>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</si>
  <si>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</si>
  <si>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</si>
  <si>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</si>
  <si>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</si>
  <si>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</si>
  <si>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</si>
  <si>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</si>
  <si>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</si>
  <si>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</si>
  <si>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</si>
  <si>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</si>
  <si>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</si>
  <si>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</si>
  <si>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</si>
  <si>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</si>
  <si>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</si>
  <si>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</si>
  <si>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</si>
  <si>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</si>
  <si>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</si>
  <si>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</si>
  <si>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</si>
  <si>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</si>
  <si>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</si>
  <si>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</si>
  <si>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</si>
  <si>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</si>
  <si>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</si>
  <si>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</si>
  <si>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</si>
  <si>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</si>
  <si>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</si>
  <si>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</si>
  <si>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</si>
  <si>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</si>
  <si>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</si>
  <si>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</si>
  <si>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</si>
  <si>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</si>
  <si>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</si>
  <si>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</si>
  <si>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</si>
  <si>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</si>
  <si>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</si>
  <si>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</si>
  <si>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</si>
  <si>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</si>
  <si>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</si>
  <si>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</si>
  <si>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</si>
  <si>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</si>
  <si>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</si>
  <si>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</si>
  <si>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</si>
  <si>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</si>
  <si>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</si>
  <si>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</si>
  <si>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</si>
  <si>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</si>
  <si>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</si>
  <si>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</si>
  <si>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</si>
  <si>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</si>
  <si>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</si>
  <si>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</si>
  <si>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</si>
  <si>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</si>
  <si>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</si>
  <si>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</si>
  <si>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</si>
  <si>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</si>
  <si>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</si>
  <si>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</si>
  <si>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</si>
  <si>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</si>
  <si>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</si>
  <si>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</si>
  <si>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</si>
  <si>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</si>
  <si>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</si>
  <si>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</si>
  <si>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</si>
  <si>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</si>
  <si>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</si>
  <si>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</si>
  <si>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</si>
  <si>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</si>
  <si>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</si>
  <si>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</si>
  <si>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</si>
  <si>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</si>
  <si>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</si>
  <si>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</si>
  <si>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</si>
  <si>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</si>
  <si>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</si>
  <si>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</si>
  <si>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</si>
  <si>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</si>
  <si>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</si>
  <si>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</si>
  <si>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</si>
  <si>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</si>
  <si>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</si>
  <si>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</si>
  <si>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</si>
  <si>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</si>
  <si>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</si>
  <si>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</si>
  <si>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</si>
  <si>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</si>
  <si>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</si>
  <si>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</si>
  <si>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</si>
  <si>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</si>
  <si>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</si>
  <si>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</si>
  <si>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</si>
  <si>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</si>
  <si>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</si>
  <si>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</si>
  <si>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</si>
  <si>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</si>
  <si>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</si>
  <si>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</si>
  <si>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</si>
  <si>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</si>
  <si>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</si>
  <si>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</si>
  <si>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</si>
  <si>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</si>
  <si>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</si>
  <si>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</si>
  <si>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</si>
  <si>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</si>
  <si>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</si>
  <si>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</si>
  <si>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</si>
  <si>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</si>
  <si>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</si>
  <si>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</si>
  <si>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</si>
  <si>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</si>
  <si>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</si>
  <si>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</si>
  <si>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</si>
  <si>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</si>
  <si>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</si>
  <si>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</si>
  <si>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</si>
  <si>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</si>
  <si>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</si>
  <si>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</si>
  <si>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</si>
  <si>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</si>
  <si>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</si>
  <si>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</si>
  <si>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</si>
  <si>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</si>
  <si>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</si>
  <si>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</si>
  <si>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</si>
  <si>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</si>
  <si>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</si>
  <si>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</si>
  <si>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</si>
  <si>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</si>
  <si>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</si>
  <si>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</si>
  <si>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</si>
  <si>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</si>
  <si>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</si>
  <si>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</si>
  <si>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</si>
  <si>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</si>
  <si>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</si>
  <si>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</si>
  <si>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</si>
  <si>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</si>
  <si>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</si>
  <si>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</si>
  <si>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</si>
  <si>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</si>
  <si>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</si>
  <si>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</si>
  <si>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</si>
  <si>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</si>
  <si>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</si>
  <si>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</si>
  <si>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</si>
  <si>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</si>
  <si>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</si>
  <si>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</si>
  <si>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</si>
  <si>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</si>
  <si>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</si>
  <si>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</si>
  <si>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</si>
  <si>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</si>
  <si>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</si>
  <si>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</si>
  <si>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</si>
  <si>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</si>
  <si>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</si>
  <si>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</si>
  <si>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</si>
  <si>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</si>
  <si>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</si>
  <si>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</si>
  <si>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</si>
  <si>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</si>
  <si>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</si>
  <si>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</si>
  <si>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</si>
  <si>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</si>
  <si>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</si>
  <si>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</si>
  <si>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</si>
  <si>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</si>
  <si>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</si>
  <si>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</si>
  <si>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</si>
  <si>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</si>
  <si>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</si>
  <si>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</si>
  <si>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</si>
  <si>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</si>
  <si>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</si>
  <si>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</si>
  <si>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</si>
  <si>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</si>
  <si>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</si>
  <si>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</si>
  <si>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</si>
  <si>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</si>
  <si>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</si>
  <si>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</si>
  <si>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</si>
  <si>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</si>
  <si>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</si>
  <si>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</si>
  <si>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</si>
  <si>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</si>
  <si>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</si>
  <si>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</si>
  <si>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</si>
  <si>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</si>
  <si>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</si>
  <si>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</si>
  <si>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</si>
  <si>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</si>
  <si>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</si>
  <si>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</si>
  <si>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</si>
  <si>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</si>
  <si>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</si>
  <si>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</si>
  <si>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</si>
  <si>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</si>
  <si>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</si>
  <si>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</si>
  <si>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</si>
  <si>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</si>
  <si>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</si>
  <si>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</si>
  <si>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</si>
  <si>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</si>
  <si>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</si>
  <si>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</si>
  <si>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</si>
  <si>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</si>
  <si>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</si>
  <si>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</si>
  <si>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</si>
  <si>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</si>
  <si>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</si>
  <si>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</si>
  <si>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</si>
  <si>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</si>
  <si>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</si>
  <si>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</si>
  <si>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</si>
  <si>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</si>
  <si>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</si>
  <si>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</si>
  <si>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</si>
  <si>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</si>
  <si>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</si>
  <si>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</si>
  <si>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</si>
  <si>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</si>
  <si>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</si>
  <si>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</si>
  <si>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</si>
  <si>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</si>
  <si>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</si>
  <si>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</si>
  <si>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</si>
  <si>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</si>
  <si>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</si>
  <si>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</si>
  <si>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</si>
  <si>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</si>
  <si>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</si>
  <si>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</si>
  <si>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</si>
  <si>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</si>
  <si>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</si>
  <si>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</si>
  <si>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</si>
  <si>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</si>
  <si>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</si>
  <si>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</si>
  <si>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</si>
  <si>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</si>
  <si>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</si>
  <si>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</si>
  <si>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</si>
  <si>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</si>
  <si>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</si>
  <si>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</si>
  <si>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</si>
  <si>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</si>
  <si>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</si>
  <si>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</si>
  <si>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</si>
  <si>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</si>
  <si>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</si>
  <si>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</si>
  <si>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</si>
  <si>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</si>
  <si>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Ⅶ-石龙开发区</t>
  </si>
  <si>
    <t>是</t>
  </si>
  <si>
    <t>地上</t>
  </si>
  <si>
    <t>办公楼</t>
  </si>
  <si>
    <t>钢混</t>
  </si>
  <si>
    <t>永定镇</t>
    <phoneticPr fontId="3" type="noConversion"/>
  </si>
  <si>
    <t>成新度</t>
  </si>
  <si>
    <t>收益法 (元)</t>
  </si>
  <si>
    <t>押一</t>
  </si>
  <si>
    <t>非生产用房</t>
  </si>
  <si>
    <t>否</t>
  </si>
  <si>
    <t>单套模式</t>
  </si>
  <si>
    <t>售价</t>
  </si>
  <si>
    <t>石龙阳光大厦</t>
    <phoneticPr fontId="3" type="noConversion"/>
  </si>
  <si>
    <t>正常</t>
  </si>
  <si>
    <t>挂牌</t>
  </si>
  <si>
    <t>挂牌</t>
    <phoneticPr fontId="31" type="noConversion"/>
  </si>
  <si>
    <t>办公（工业）</t>
  </si>
  <si>
    <t>办公（工业）</t>
    <phoneticPr fontId="31" type="noConversion"/>
  </si>
  <si>
    <t>办公</t>
    <phoneticPr fontId="31" type="noConversion"/>
  </si>
  <si>
    <t>长安天街</t>
    <phoneticPr fontId="3" type="noConversion"/>
  </si>
  <si>
    <r>
      <t>30-35</t>
    </r>
    <r>
      <rPr>
        <sz val="11"/>
        <rFont val="宋体"/>
        <family val="3"/>
        <charset val="134"/>
      </rPr>
      <t>（含）</t>
    </r>
    <phoneticPr fontId="31" type="noConversion"/>
  </si>
  <si>
    <r>
      <t>30-35</t>
    </r>
    <r>
      <rPr>
        <sz val="11"/>
        <color indexed="8"/>
        <rFont val="宋体"/>
        <family val="3"/>
        <charset val="134"/>
      </rPr>
      <t>（含）</t>
    </r>
    <phoneticPr fontId="31" type="noConversion"/>
  </si>
  <si>
    <r>
      <t>2020</t>
    </r>
    <r>
      <rPr>
        <sz val="11"/>
        <rFont val="宋体"/>
        <family val="3"/>
        <charset val="134"/>
      </rPr>
      <t>左右</t>
    </r>
    <phoneticPr fontId="31" type="noConversion"/>
  </si>
  <si>
    <r>
      <t>45-50</t>
    </r>
    <r>
      <rPr>
        <sz val="11"/>
        <rFont val="宋体"/>
        <family val="3"/>
        <charset val="134"/>
      </rPr>
      <t>（含）</t>
    </r>
    <phoneticPr fontId="31" type="noConversion"/>
  </si>
  <si>
    <r>
      <t>40-45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</si>
  <si>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</si>
  <si>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8"/>
        <rFont val="宋体"/>
        <family val="3"/>
        <charset val="134"/>
      </rPr>
      <t>（含）</t>
    </r>
    <phoneticPr fontId="31" type="noConversion"/>
  </si>
  <si>
    <t>较好</t>
  </si>
  <si>
    <t>一般</t>
  </si>
  <si>
    <t>七通</t>
  </si>
  <si>
    <t>钢混</t>
    <phoneticPr fontId="31" type="noConversion"/>
  </si>
  <si>
    <t>精装</t>
  </si>
  <si>
    <t>精装</t>
    <phoneticPr fontId="31" type="noConversion"/>
  </si>
  <si>
    <t>普装</t>
    <phoneticPr fontId="31" type="noConversion"/>
  </si>
  <si>
    <t>简装</t>
  </si>
  <si>
    <t>简装</t>
    <phoneticPr fontId="31" type="noConversion"/>
  </si>
  <si>
    <t>毛坯</t>
  </si>
  <si>
    <t>毛坯</t>
    <phoneticPr fontId="31" type="noConversion"/>
  </si>
  <si>
    <t>楼面单价</t>
  </si>
  <si>
    <t>收益比率</t>
  </si>
  <si>
    <t>高区</t>
  </si>
  <si>
    <t>高区</t>
    <phoneticPr fontId="31" type="noConversion"/>
  </si>
  <si>
    <t>中区</t>
  </si>
  <si>
    <t>中区</t>
    <phoneticPr fontId="31" type="noConversion"/>
  </si>
  <si>
    <t>低区</t>
  </si>
  <si>
    <t>低区</t>
    <phoneticPr fontId="31" type="noConversion"/>
  </si>
  <si>
    <t>主干道</t>
  </si>
  <si>
    <t>主干道</t>
    <phoneticPr fontId="31" type="noConversion"/>
  </si>
  <si>
    <t>次干道</t>
  </si>
  <si>
    <t>次干道</t>
    <phoneticPr fontId="31" type="noConversion"/>
  </si>
  <si>
    <t>郑燚</t>
  </si>
  <si>
    <t>2025-4</t>
    <phoneticPr fontId="3" type="noConversion"/>
  </si>
  <si>
    <t>2025-3</t>
    <phoneticPr fontId="3" type="noConversion"/>
  </si>
  <si>
    <t>2025-2</t>
    <phoneticPr fontId="3" type="noConversion"/>
  </si>
  <si>
    <t>2025-3</t>
    <phoneticPr fontId="3" type="noConversion"/>
  </si>
  <si>
    <t>2025-2</t>
    <phoneticPr fontId="3" type="noConversion"/>
  </si>
  <si>
    <t>2024-4</t>
    <phoneticPr fontId="3" type="noConversion"/>
  </si>
  <si>
    <t>M4科研用地</t>
  </si>
  <si>
    <t>自定义容积率</t>
  </si>
  <si>
    <t>不临65条商业街</t>
  </si>
  <si>
    <t>通路</t>
  </si>
  <si>
    <t>通电</t>
  </si>
  <si>
    <t>通讯</t>
  </si>
  <si>
    <t>通上水</t>
  </si>
  <si>
    <t>通下水</t>
  </si>
  <si>
    <t>燃气</t>
  </si>
  <si>
    <t>平整</t>
  </si>
  <si>
    <t>通热</t>
  </si>
  <si>
    <t>与级别开发程度一致</t>
  </si>
  <si>
    <t>较差</t>
  </si>
  <si>
    <t>好</t>
  </si>
  <si>
    <t>未包含在土地购买价格中</t>
  </si>
  <si>
    <t>已包含在土地取得成本中</t>
  </si>
  <si>
    <t>现状</t>
    <phoneticPr fontId="31" type="noConversion"/>
  </si>
  <si>
    <t>宿舍</t>
    <phoneticPr fontId="31" type="noConversion"/>
  </si>
  <si>
    <t>办公</t>
    <phoneticPr fontId="31" type="noConversion"/>
  </si>
  <si>
    <t>比较法-办公</t>
  </si>
  <si>
    <t>宿舍</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</si>
</sst>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28"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xdr:row>
      <xdr:rowOff>57150</xdr:rowOff>
    </xdr:from>
    <xdr:to>
      <xdr:col>18</xdr:col>
      <xdr:colOff>303236</xdr:colOff>
      <xdr:row>35</xdr:row>
      <xdr:rowOff>161183</xdr:rowOff>
    </xdr:to>
    <xdr:pic>
      <xdr:nvPicPr>
        <xdr:cNvPr id="2" name="图片 1">
          <a:extLst>
            <a:ext uri="{FF2B5EF4-FFF2-40B4-BE49-F238E27FC236}">
              <a16:creationId xmlns:a16="http://schemas.microsoft.com/office/drawing/2014/main" id="{A7E47904-10F5-56D4-3757-7D43412D265A}"/>
            </a:ext>
          </a:extLst>
        </xdr:cNvPr>
        <xdr:cNvPicPr>
          <a:picLocks noChangeAspect="1"/>
        </xdr:cNvPicPr>
      </xdr:nvPicPr>
      <xdr:blipFill>
        <a:blip xmlns:r="http://schemas.openxmlformats.org/officeDocument/2006/relationships" r:embed="rId1"/>
        <a:stretch>
          <a:fillRect/>
        </a:stretch>
      </xdr:blipFill>
      <xdr:spPr>
        <a:xfrm>
          <a:off x="133350" y="228600"/>
          <a:ext cx="12514286" cy="5933333"/>
        </a:xfrm>
        <a:prstGeom prst="rect">
          <a:avLst/>
        </a:prstGeom>
      </xdr:spPr>
    </xdr:pic>
    <xdr:clientData/>
  </xdr:twoCellAnchor>
  <xdr:twoCellAnchor editAs="oneCell">
    <xdr:from>
      <xdr:col>18</xdr:col>
      <xdr:colOff>419100</xdr:colOff>
      <xdr:row>0</xdr:row>
      <xdr:rowOff>152400</xdr:rowOff>
    </xdr:from>
    <xdr:to>
      <xdr:col>28</xdr:col>
      <xdr:colOff>446814</xdr:colOff>
      <xdr:row>36</xdr:row>
      <xdr:rowOff>18295</xdr:rowOff>
    </xdr:to>
    <xdr:pic>
      <xdr:nvPicPr>
        <xdr:cNvPr id="3" name="图片 2">
          <a:extLst>
            <a:ext uri="{FF2B5EF4-FFF2-40B4-BE49-F238E27FC236}">
              <a16:creationId xmlns:a16="http://schemas.microsoft.com/office/drawing/2014/main" id="{2485B70A-06A9-8C82-3D4F-686B4177D61C}"/>
            </a:ext>
          </a:extLst>
        </xdr:cNvPr>
        <xdr:cNvPicPr>
          <a:picLocks noChangeAspect="1"/>
        </xdr:cNvPicPr>
      </xdr:nvPicPr>
      <xdr:blipFill>
        <a:blip xmlns:r="http://schemas.openxmlformats.org/officeDocument/2006/relationships" r:embed="rId2"/>
        <a:stretch>
          <a:fillRect/>
        </a:stretch>
      </xdr:blipFill>
      <xdr:spPr>
        <a:xfrm>
          <a:off x="12763500" y="152400"/>
          <a:ext cx="6885714" cy="6038095"/>
        </a:xfrm>
        <a:prstGeom prst="rect">
          <a:avLst/>
        </a:prstGeom>
      </xdr:spPr>
    </xdr:pic>
    <xdr:clientData/>
  </xdr:twoCellAnchor>
  <xdr:twoCellAnchor editAs="oneCell">
    <xdr:from>
      <xdr:col>0</xdr:col>
      <xdr:colOff>264584</xdr:colOff>
      <xdr:row>38</xdr:row>
      <xdr:rowOff>0</xdr:rowOff>
    </xdr:from>
    <xdr:to>
      <xdr:col>18</xdr:col>
      <xdr:colOff>101131</xdr:colOff>
      <xdr:row>76</xdr:row>
      <xdr:rowOff>98667</xdr:rowOff>
    </xdr:to>
    <xdr:pic>
      <xdr:nvPicPr>
        <xdr:cNvPr id="6" name="图片 5">
          <a:extLst>
            <a:ext uri="{FF2B5EF4-FFF2-40B4-BE49-F238E27FC236}">
              <a16:creationId xmlns:a16="http://schemas.microsoft.com/office/drawing/2014/main" id="{90CAE546-DA76-E063-8304-5BFFF91DD0BA}"/>
            </a:ext>
          </a:extLst>
        </xdr:cNvPr>
        <xdr:cNvPicPr>
          <a:picLocks noChangeAspect="1"/>
        </xdr:cNvPicPr>
      </xdr:nvPicPr>
      <xdr:blipFill>
        <a:blip xmlns:r="http://schemas.openxmlformats.org/officeDocument/2006/relationships" r:embed="rId3"/>
        <a:stretch>
          <a:fillRect/>
        </a:stretch>
      </xdr:blipFill>
      <xdr:spPr>
        <a:xfrm>
          <a:off x="264584" y="6434667"/>
          <a:ext cx="12219047" cy="6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408324</xdr:colOff>
      <xdr:row>33</xdr:row>
      <xdr:rowOff>18362</xdr:rowOff>
    </xdr:to>
    <xdr:pic>
      <xdr:nvPicPr>
        <xdr:cNvPr id="2" name="图片 1">
          <a:extLst>
            <a:ext uri="{FF2B5EF4-FFF2-40B4-BE49-F238E27FC236}">
              <a16:creationId xmlns:a16="http://schemas.microsoft.com/office/drawing/2014/main" id="{FDEAD1E0-0D05-D61D-9FC3-0970727454BF}"/>
            </a:ext>
          </a:extLst>
        </xdr:cNvPr>
        <xdr:cNvPicPr>
          <a:picLocks noChangeAspect="1"/>
        </xdr:cNvPicPr>
      </xdr:nvPicPr>
      <xdr:blipFill>
        <a:blip xmlns:r="http://schemas.openxmlformats.org/officeDocument/2006/relationships" r:embed="rId1"/>
        <a:stretch>
          <a:fillRect/>
        </a:stretch>
      </xdr:blipFill>
      <xdr:spPr>
        <a:xfrm>
          <a:off x="685800" y="171450"/>
          <a:ext cx="10009524" cy="5504762"/>
        </a:xfrm>
        <a:prstGeom prst="rect">
          <a:avLst/>
        </a:prstGeom>
      </xdr:spPr>
    </xdr:pic>
    <xdr:clientData/>
  </xdr:twoCellAnchor>
  <xdr:twoCellAnchor editAs="oneCell">
    <xdr:from>
      <xdr:col>1</xdr:col>
      <xdr:colOff>0</xdr:colOff>
      <xdr:row>34</xdr:row>
      <xdr:rowOff>0</xdr:rowOff>
    </xdr:from>
    <xdr:to>
      <xdr:col>15</xdr:col>
      <xdr:colOff>274990</xdr:colOff>
      <xdr:row>44</xdr:row>
      <xdr:rowOff>171214</xdr:rowOff>
    </xdr:to>
    <xdr:pic>
      <xdr:nvPicPr>
        <xdr:cNvPr id="3" name="图片 2">
          <a:extLst>
            <a:ext uri="{FF2B5EF4-FFF2-40B4-BE49-F238E27FC236}">
              <a16:creationId xmlns:a16="http://schemas.microsoft.com/office/drawing/2014/main" id="{FF46C2F4-53F8-E833-F18B-CFF2A188DDAA}"/>
            </a:ext>
          </a:extLst>
        </xdr:cNvPr>
        <xdr:cNvPicPr>
          <a:picLocks noChangeAspect="1"/>
        </xdr:cNvPicPr>
      </xdr:nvPicPr>
      <xdr:blipFill>
        <a:blip xmlns:r="http://schemas.openxmlformats.org/officeDocument/2006/relationships" r:embed="rId2"/>
        <a:stretch>
          <a:fillRect/>
        </a:stretch>
      </xdr:blipFill>
      <xdr:spPr>
        <a:xfrm>
          <a:off x="685800" y="5829300"/>
          <a:ext cx="9876190" cy="1885714"/>
        </a:xfrm>
        <a:prstGeom prst="rect">
          <a:avLst/>
        </a:prstGeom>
      </xdr:spPr>
    </xdr:pic>
    <xdr:clientData/>
  </xdr:twoCellAnchor>
  <xdr:twoCellAnchor editAs="oneCell">
    <xdr:from>
      <xdr:col>0</xdr:col>
      <xdr:colOff>666750</xdr:colOff>
      <xdr:row>46</xdr:row>
      <xdr:rowOff>0</xdr:rowOff>
    </xdr:from>
    <xdr:to>
      <xdr:col>15</xdr:col>
      <xdr:colOff>227369</xdr:colOff>
      <xdr:row>57</xdr:row>
      <xdr:rowOff>18812</xdr:rowOff>
    </xdr:to>
    <xdr:pic>
      <xdr:nvPicPr>
        <xdr:cNvPr id="4" name="图片 3">
          <a:extLst>
            <a:ext uri="{FF2B5EF4-FFF2-40B4-BE49-F238E27FC236}">
              <a16:creationId xmlns:a16="http://schemas.microsoft.com/office/drawing/2014/main" id="{3B54F0D4-32FB-DBCB-F83B-E23A5142A9C9}"/>
            </a:ext>
          </a:extLst>
        </xdr:cNvPr>
        <xdr:cNvPicPr>
          <a:picLocks noChangeAspect="1"/>
        </xdr:cNvPicPr>
      </xdr:nvPicPr>
      <xdr:blipFill>
        <a:blip xmlns:r="http://schemas.openxmlformats.org/officeDocument/2006/relationships" r:embed="rId3"/>
        <a:stretch>
          <a:fillRect/>
        </a:stretch>
      </xdr:blipFill>
      <xdr:spPr>
        <a:xfrm>
          <a:off x="666750" y="7886700"/>
          <a:ext cx="9847619" cy="1904762"/>
        </a:xfrm>
        <a:prstGeom prst="rect">
          <a:avLst/>
        </a:prstGeom>
      </xdr:spPr>
    </xdr:pic>
    <xdr:clientData/>
  </xdr:twoCellAnchor>
  <xdr:twoCellAnchor editAs="oneCell">
    <xdr:from>
      <xdr:col>1</xdr:col>
      <xdr:colOff>0</xdr:colOff>
      <xdr:row>58</xdr:row>
      <xdr:rowOff>0</xdr:rowOff>
    </xdr:from>
    <xdr:to>
      <xdr:col>14</xdr:col>
      <xdr:colOff>36981</xdr:colOff>
      <xdr:row>106</xdr:row>
      <xdr:rowOff>113257</xdr:rowOff>
    </xdr:to>
    <xdr:pic>
      <xdr:nvPicPr>
        <xdr:cNvPr id="5" name="图片 4">
          <a:extLst>
            <a:ext uri="{FF2B5EF4-FFF2-40B4-BE49-F238E27FC236}">
              <a16:creationId xmlns:a16="http://schemas.microsoft.com/office/drawing/2014/main" id="{DCA82FA7-1114-ABF7-F721-3481A64B5AC2}"/>
            </a:ext>
          </a:extLst>
        </xdr:cNvPr>
        <xdr:cNvPicPr>
          <a:picLocks noChangeAspect="1"/>
        </xdr:cNvPicPr>
      </xdr:nvPicPr>
      <xdr:blipFill>
        <a:blip xmlns:r="http://schemas.openxmlformats.org/officeDocument/2006/relationships" r:embed="rId4"/>
        <a:stretch>
          <a:fillRect/>
        </a:stretch>
      </xdr:blipFill>
      <xdr:spPr>
        <a:xfrm>
          <a:off x="685800" y="9944100"/>
          <a:ext cx="8952381" cy="8342857"/>
        </a:xfrm>
        <a:prstGeom prst="rect">
          <a:avLst/>
        </a:prstGeom>
      </xdr:spPr>
    </xdr:pic>
    <xdr:clientData/>
  </xdr:twoCellAnchor>
  <xdr:twoCellAnchor editAs="oneCell">
    <xdr:from>
      <xdr:col>1</xdr:col>
      <xdr:colOff>76200</xdr:colOff>
      <xdr:row>107</xdr:row>
      <xdr:rowOff>9525</xdr:rowOff>
    </xdr:from>
    <xdr:to>
      <xdr:col>13</xdr:col>
      <xdr:colOff>579933</xdr:colOff>
      <xdr:row>137</xdr:row>
      <xdr:rowOff>66025</xdr:rowOff>
    </xdr:to>
    <xdr:pic>
      <xdr:nvPicPr>
        <xdr:cNvPr id="6" name="图片 5">
          <a:extLst>
            <a:ext uri="{FF2B5EF4-FFF2-40B4-BE49-F238E27FC236}">
              <a16:creationId xmlns:a16="http://schemas.microsoft.com/office/drawing/2014/main" id="{576A0DC8-8308-F00C-4EE5-0D66F7F8BAB7}"/>
            </a:ext>
          </a:extLst>
        </xdr:cNvPr>
        <xdr:cNvPicPr>
          <a:picLocks noChangeAspect="1"/>
        </xdr:cNvPicPr>
      </xdr:nvPicPr>
      <xdr:blipFill>
        <a:blip xmlns:r="http://schemas.openxmlformats.org/officeDocument/2006/relationships" r:embed="rId5"/>
        <a:stretch>
          <a:fillRect/>
        </a:stretch>
      </xdr:blipFill>
      <xdr:spPr>
        <a:xfrm>
          <a:off x="762000" y="18354675"/>
          <a:ext cx="8733333" cy="5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受贵公司委托，我公司对房地产抵押价值进行了预评估。</v>
      </c>
    </row>
    <row r="7" spans="1:2">
      <c r="A7" s="1118" t="s">
        <v>566</v>
      </c>
      <c r="B7" s="1119" t="str">
        <f>'预评函-1'!A7</f>
        <v>估价对象为房地产，为所有。根据《国有土地使用证》[]，估价对象（分摊）出让国有建设用地使用权面积为0平方米，建筑面积为134.96平方米。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估价对象为房地产,属开发建设的，该项目尚在开发建设中。根据《国有土地使用证》[]，估价对象（分摊）出让国有建设用地使用权面积为0平方米，规划建筑面积为134.96平方米。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2025年6月25日</v>
      </c>
    </row>
    <row r="13" spans="1:2">
      <c r="A13" s="1118" t="s">
        <v>529</v>
      </c>
      <c r="B13" s="1119"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173</v>
      </c>
    </row>
    <row r="21" spans="1:2">
      <c r="A21" s="1118" t="s">
        <v>537</v>
      </c>
      <c r="B21" s="1119">
        <f ca="1">'预评函-2'!D7</f>
        <v>12798</v>
      </c>
    </row>
    <row r="22" spans="1:2">
      <c r="A22" s="1118" t="s">
        <v>538</v>
      </c>
      <c r="B22" s="1119" t="str">
        <f ca="1">'预评函-2'!D6</f>
        <v>壹佰柒拾叁万元整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173</v>
      </c>
    </row>
    <row r="31" spans="1:2">
      <c r="A31" s="1118" t="s">
        <v>576</v>
      </c>
      <c r="B31" s="1119">
        <f ca="1">'预评函-2'!D15</f>
        <v>12798</v>
      </c>
    </row>
    <row r="32" spans="1:2">
      <c r="A32" s="1118" t="s">
        <v>543</v>
      </c>
      <c r="B32" s="1119" t="str">
        <f ca="1">'预评函-2'!D14</f>
        <v>壹佰柒拾叁万元整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134.96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59</v>
      </c>
    </row>
    <row r="48" spans="1:2">
      <c r="A48" s="1118" t="s">
        <v>549</v>
      </c>
      <c r="B48" s="1119">
        <f ca="1">'预评函-3'!E4</f>
        <v>4364</v>
      </c>
    </row>
    <row r="49" spans="1:2">
      <c r="A49" s="1118" t="s">
        <v>550</v>
      </c>
      <c r="B49" s="1119" t="str">
        <f ca="1">'预评函-3'!D5</f>
        <v>伍拾玖万元整</v>
      </c>
    </row>
    <row r="50" spans="1:2">
      <c r="A50" s="1118" t="s">
        <v>574</v>
      </c>
      <c r="B50" s="1119" t="str">
        <f>'预评函-3'!F2</f>
        <v>在建建筑物价值</v>
      </c>
    </row>
    <row r="51" spans="1:2">
      <c r="A51" s="1118" t="s">
        <v>551</v>
      </c>
      <c r="B51" s="1119">
        <f ca="1">'预评函-3'!F4</f>
        <v>114</v>
      </c>
    </row>
    <row r="52" spans="1:2">
      <c r="A52" s="1118" t="s">
        <v>552</v>
      </c>
      <c r="B52" s="1119">
        <f ca="1">'预评函-3'!G4</f>
        <v>8434</v>
      </c>
    </row>
    <row r="53" spans="1:2">
      <c r="A53" s="1118" t="s">
        <v>580</v>
      </c>
      <c r="B53" s="1119" t="str">
        <f ca="1">'预评函-3'!F5</f>
        <v>壹佰壹拾肆万元整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2576</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2577</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2292</v>
      </c>
      <c r="C17" s="1441"/>
    </row>
    <row r="18" spans="1:3">
      <c r="A18" s="1440" t="s">
        <v>1046</v>
      </c>
      <c r="B18" s="1440" t="s">
        <v>2432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6" t="s">
        <v>385</v>
      </c>
      <c r="C54" s="1444" t="s">
        <v>583</v>
      </c>
    </row>
    <row r="55" spans="1:4">
      <c r="A55" s="3203"/>
      <c r="B55" s="1446" t="s">
        <v>386</v>
      </c>
      <c r="C55" s="1444" t="s">
        <v>584</v>
      </c>
    </row>
    <row r="56" spans="1:4">
      <c r="A56" s="3203"/>
      <c r="B56" s="1446" t="s">
        <v>387</v>
      </c>
      <c r="C56" s="1444" t="s">
        <v>588</v>
      </c>
    </row>
    <row r="57" spans="1:4">
      <c r="A57" s="320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O32" sqref="O32"/>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04" t="s">
        <v>2579</v>
      </c>
      <c r="J2" s="3204"/>
      <c r="K2" s="3204"/>
      <c r="L2" s="3204"/>
      <c r="M2" s="3204"/>
      <c r="N2" s="3204"/>
      <c r="O2" s="3204"/>
      <c r="P2" s="3204"/>
      <c r="Q2" s="3204"/>
      <c r="R2" s="3204"/>
    </row>
    <row r="3" spans="1:18">
      <c r="A3" s="2762" t="s">
        <v>2500</v>
      </c>
      <c r="B3" s="2763">
        <f>项目基本情况!D3</f>
        <v>45833</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1.48</v>
      </c>
      <c r="D5" s="2767">
        <f>IF(ISERROR(ROUND(POWER(1+E5,A5-C5)*(POWER(1+E5,C5)-1)/(POWER(1+E5,A5)-1),3)),0,ROUND(POWER(1+E5,A5-C5)*(POWER(1+E5,C5)-1)/(POWER(1+E5,A5)-1),4))</f>
        <v>7.1199999999999999E-2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11.49</v>
      </c>
      <c r="D6" s="2767">
        <f>IF(ISERROR(ROUND(POWER(1+E6,A6-C6)*(POWER(1+E6,C6)-1)/(POWER(1+E6,A6)-1),3)),0,ROUND(POWER(1+E6,A6-C6)*(POWER(1+E6,C6)-1)/(POWER(1+E6,A6)-1),4))</f>
        <v>0.42220000000000002</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31.5</v>
      </c>
      <c r="D7" s="2767">
        <f>IF(ISERROR(ROUND(POWER(1+E7,A7-C7)*(POWER(1+E7,C7)-1)/(POWER(1+E7,A7)-1),3)),0,ROUND(POWER(1+E7,A7-C7)*(POWER(1+E7,C7)-1)/(POWER(1+E7,A7)-1),4))</f>
        <v>0.75800000000000001</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4.25" thickBot="1">
      <c r="A18" s="2772" t="s">
        <v>2515</v>
      </c>
      <c r="B18" s="2773">
        <f>ROUND(B17*F11/F12,2)</f>
        <v>5541.87</v>
      </c>
      <c r="C18" s="2773">
        <f>ROUND(F11/F12,4)</f>
        <v>1.1521999999999999</v>
      </c>
      <c r="D18" s="2774"/>
      <c r="E18" s="2774"/>
      <c r="F18" s="2775"/>
    </row>
    <row r="19" spans="1:14" ht="14.25" thickBot="1"/>
    <row r="20" spans="1:14" s="2808" customFormat="1" ht="14.2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50</v>
      </c>
      <c r="C22" s="2779">
        <v>33</v>
      </c>
      <c r="D22" s="2780">
        <v>5.5E-2</v>
      </c>
      <c r="E22" s="2777">
        <f>ROUND(POWER(1+D22,B22-C22)*(POWER(1+D22,C22)-1)/(POWER(1+D22,B22)-1),3)</f>
        <v>0.89</v>
      </c>
      <c r="F22" s="2780">
        <v>0.7</v>
      </c>
      <c r="G22" s="2778">
        <f>ROUND(100*(1-(1-E22)*F22),1)</f>
        <v>92.3</v>
      </c>
      <c r="I22" s="2799">
        <v>10</v>
      </c>
      <c r="J22" s="2799">
        <v>65.400000000000006</v>
      </c>
      <c r="K22" s="2799">
        <f>J22-J21</f>
        <v>11.200000000000003</v>
      </c>
    </row>
    <row r="23" spans="1:14">
      <c r="A23" s="2776" t="s">
        <v>2526</v>
      </c>
      <c r="B23" s="2779">
        <v>50</v>
      </c>
      <c r="C23" s="2779">
        <v>43</v>
      </c>
      <c r="D23" s="2780">
        <v>5.5E-2</v>
      </c>
      <c r="E23" s="2777">
        <f t="shared" ref="E23:E25" si="0">ROUND(POWER(1+D23,B23-C23)*(POWER(1+D23,C23)-1)/(POWER(1+D23,B23)-1),3)</f>
        <v>0.96599999999999997</v>
      </c>
      <c r="F23" s="2780">
        <f>F22</f>
        <v>0.7</v>
      </c>
      <c r="G23" s="2778">
        <f t="shared" ref="G23:G25" si="1">ROUND(100*(1-(1-E23)*F23),1)</f>
        <v>97.6</v>
      </c>
      <c r="I23" s="2799">
        <v>15</v>
      </c>
      <c r="J23" s="2799">
        <v>74.099999999999994</v>
      </c>
      <c r="K23" s="2799">
        <f t="shared" ref="K23:K30" si="2">J23-J22</f>
        <v>8.6999999999999886</v>
      </c>
      <c r="L23" s="2799" t="s">
        <v>2566</v>
      </c>
      <c r="N23" s="3152" t="s">
        <v>2567</v>
      </c>
    </row>
    <row r="24" spans="1:14">
      <c r="A24" s="2776" t="s">
        <v>2527</v>
      </c>
      <c r="B24" s="2779">
        <v>50</v>
      </c>
      <c r="C24" s="2779">
        <v>41</v>
      </c>
      <c r="D24" s="2780">
        <v>5.5E-2</v>
      </c>
      <c r="E24" s="2777">
        <f t="shared" si="0"/>
        <v>0.95399999999999996</v>
      </c>
      <c r="F24" s="2780">
        <f>F23</f>
        <v>0.7</v>
      </c>
      <c r="G24" s="2778">
        <f t="shared" si="1"/>
        <v>96.8</v>
      </c>
      <c r="I24" s="2799">
        <v>20</v>
      </c>
      <c r="J24" s="2799">
        <v>81</v>
      </c>
      <c r="K24" s="2799">
        <f t="shared" si="2"/>
        <v>6.9000000000000057</v>
      </c>
      <c r="L24" s="2799" t="s">
        <v>2565</v>
      </c>
      <c r="N24" s="3152">
        <v>10</v>
      </c>
    </row>
    <row r="25" spans="1:14">
      <c r="A25" s="2776" t="s">
        <v>2528</v>
      </c>
      <c r="B25" s="2779">
        <v>50</v>
      </c>
      <c r="C25" s="2779">
        <v>41</v>
      </c>
      <c r="D25" s="2780">
        <v>5.5E-2</v>
      </c>
      <c r="E25" s="2777">
        <f t="shared" si="0"/>
        <v>0.95399999999999996</v>
      </c>
      <c r="F25" s="2780">
        <f>F24</f>
        <v>0.7</v>
      </c>
      <c r="G25" s="2778">
        <f t="shared" si="1"/>
        <v>96.8</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4.2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3388</v>
      </c>
    </row>
    <row r="50" spans="1:4">
      <c r="A50" s="3144" t="s">
        <v>3389</v>
      </c>
      <c r="B50" s="3144" t="s">
        <v>3390</v>
      </c>
      <c r="C50" s="3144" t="s">
        <v>3391</v>
      </c>
      <c r="D50" s="3144" t="s">
        <v>3392</v>
      </c>
    </row>
    <row r="51" spans="1:4">
      <c r="A51" s="3144" t="s">
        <v>3393</v>
      </c>
      <c r="B51" s="2764">
        <f>B52+B53</f>
        <v>15000</v>
      </c>
      <c r="C51" s="3145">
        <f>D51/B51</f>
        <v>2666.6666666666665</v>
      </c>
      <c r="D51" s="2764">
        <f>D52+D53</f>
        <v>40000000</v>
      </c>
    </row>
    <row r="52" spans="1:4">
      <c r="A52" s="3146" t="s">
        <v>3394</v>
      </c>
      <c r="B52" s="3147">
        <v>10000</v>
      </c>
      <c r="C52" s="3147">
        <v>1500</v>
      </c>
      <c r="D52" s="3148">
        <f>C52*B52</f>
        <v>15000000</v>
      </c>
    </row>
    <row r="53" spans="1:4">
      <c r="A53" s="3146" t="s">
        <v>3395</v>
      </c>
      <c r="B53" s="3147">
        <v>5000</v>
      </c>
      <c r="C53" s="3147">
        <v>5000</v>
      </c>
      <c r="D53" s="3148">
        <f>C53*B53</f>
        <v>25000000</v>
      </c>
    </row>
    <row r="54" spans="1:4">
      <c r="A54" s="3144" t="s">
        <v>3396</v>
      </c>
      <c r="B54" s="2764">
        <f>B51</f>
        <v>15000</v>
      </c>
      <c r="C54" s="2770">
        <v>700</v>
      </c>
      <c r="D54" s="2764">
        <f t="shared" ref="D54:D55" si="5">C54*B54</f>
        <v>10500000</v>
      </c>
    </row>
    <row r="55" spans="1:4">
      <c r="A55" s="3144" t="s">
        <v>3397</v>
      </c>
      <c r="B55" s="2764">
        <f>B51</f>
        <v>15000</v>
      </c>
      <c r="C55" s="2770">
        <v>1500</v>
      </c>
      <c r="D55" s="2764">
        <f t="shared" si="5"/>
        <v>22500000</v>
      </c>
    </row>
    <row r="56" spans="1:4">
      <c r="A56" s="3144" t="s">
        <v>3398</v>
      </c>
      <c r="B56" s="2764">
        <f>B51</f>
        <v>15000</v>
      </c>
      <c r="C56" s="3149">
        <f>C51+C54+C55</f>
        <v>4866.6666666666661</v>
      </c>
      <c r="D56" s="2764">
        <f>D51+D54+D55</f>
        <v>73000000</v>
      </c>
    </row>
    <row r="58" spans="1:4">
      <c r="A58" s="3144" t="s">
        <v>3399</v>
      </c>
      <c r="B58" s="3150">
        <v>0.05</v>
      </c>
      <c r="C58" s="2764">
        <f>C56*(1+B58)</f>
        <v>5110</v>
      </c>
      <c r="D58" s="2764">
        <f>D56*B58</f>
        <v>3650000</v>
      </c>
    </row>
    <row r="60" spans="1:4">
      <c r="A60" s="3144" t="s">
        <v>3400</v>
      </c>
      <c r="B60" s="2770">
        <v>3500</v>
      </c>
      <c r="C60" s="2770">
        <f>C53</f>
        <v>5000</v>
      </c>
      <c r="D60" s="2764">
        <f>C60*B60</f>
        <v>17500000</v>
      </c>
    </row>
    <row r="62" spans="1:4">
      <c r="A62" s="3144" t="s">
        <v>3401</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12" t="str">
        <f>IF(B10="北京市","北京市",C10)&amp;F10&amp;IF(结果表!G1="在建","出让国有建设用地使用权及在建建筑物",IF(结果表!G1="土地","出让国有建设用地使用权",))&amp;B9&amp;"预评估"</f>
        <v>房地产抵押价值预评估</v>
      </c>
      <c r="C1" s="3213"/>
      <c r="D1" s="3213"/>
      <c r="E1" s="3213"/>
      <c r="F1" s="3213"/>
      <c r="G1" s="3213"/>
      <c r="H1" s="3213"/>
      <c r="I1" s="321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2169</v>
      </c>
      <c r="B3" s="2184"/>
      <c r="C3" s="2185" t="s">
        <v>2170</v>
      </c>
      <c r="D3" s="2184">
        <v>45833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3456</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3403</v>
      </c>
      <c r="C8" s="2200"/>
      <c r="D8" s="3215" t="s">
        <v>2176</v>
      </c>
      <c r="E8" s="2201" t="s">
        <v>3404</v>
      </c>
      <c r="F8" s="2202"/>
      <c r="G8" s="2441"/>
      <c r="H8" s="2441"/>
      <c r="I8" s="2441"/>
      <c r="J8" s="2244"/>
      <c r="K8" s="2399"/>
      <c r="L8" s="2398"/>
      <c r="M8" s="2398"/>
      <c r="N8" s="2244"/>
      <c r="O8" s="1669"/>
      <c r="P8" s="2244"/>
      <c r="Q8" s="2244"/>
      <c r="R8" s="2244"/>
    </row>
    <row r="9" spans="1:30" ht="13.5" thickBot="1">
      <c r="A9" s="2203" t="s">
        <v>2177</v>
      </c>
      <c r="B9" s="2204" t="s">
        <v>3404</v>
      </c>
      <c r="C9" s="2205"/>
      <c r="D9" s="3216"/>
      <c r="E9" s="2204"/>
      <c r="F9" s="2206"/>
      <c r="G9" s="2442"/>
      <c r="H9" s="2442"/>
      <c r="I9" s="2442"/>
      <c r="J9" s="2244"/>
      <c r="K9" s="2401"/>
      <c r="L9" s="2398"/>
      <c r="M9" s="2398"/>
      <c r="N9" s="2244"/>
      <c r="O9" s="1669"/>
      <c r="P9" s="2244"/>
      <c r="Q9" s="2244"/>
      <c r="R9" s="2244"/>
    </row>
    <row r="10" spans="1:30" ht="13.5" thickTop="1">
      <c r="A10" s="2207" t="s">
        <v>2178</v>
      </c>
      <c r="B10" s="2208"/>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2575</v>
      </c>
      <c r="J12" s="2802"/>
      <c r="K12" s="2398"/>
      <c r="L12" s="2398"/>
      <c r="M12" s="2244"/>
      <c r="N12" s="1669"/>
      <c r="O12" s="2244"/>
      <c r="P12" s="2244"/>
      <c r="Q12" s="2244"/>
      <c r="AD12" s="1617"/>
    </row>
    <row r="13" spans="1:30">
      <c r="A13" s="3121" t="s">
        <v>3331</v>
      </c>
      <c r="B13" s="2217" t="s">
        <v>2189</v>
      </c>
      <c r="C13" s="803"/>
      <c r="D13" s="803"/>
      <c r="E13" s="803"/>
      <c r="F13" s="803"/>
      <c r="G13" s="803"/>
      <c r="H13" s="803">
        <v>57452</v>
      </c>
      <c r="I13" s="803"/>
      <c r="J13" s="2802"/>
      <c r="K13" s="2398"/>
      <c r="L13" s="2398"/>
      <c r="M13" s="2244"/>
      <c r="N13" s="1669"/>
      <c r="O13" s="2244"/>
      <c r="P13" s="2244"/>
      <c r="Q13" s="2244"/>
      <c r="AD13" s="1617"/>
    </row>
    <row r="14" spans="1:30">
      <c r="A14" s="1017"/>
      <c r="B14" s="2217" t="s">
        <v>2190</v>
      </c>
      <c r="C14" s="2218"/>
      <c r="D14" s="2218"/>
      <c r="E14" s="2218"/>
      <c r="F14" s="2218"/>
      <c r="G14" s="2218"/>
      <c r="H14" s="2218">
        <v>50</v>
      </c>
      <c r="I14" s="2218"/>
      <c r="J14" s="2803"/>
      <c r="K14" s="2398"/>
      <c r="L14" s="2398"/>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31.83</v>
      </c>
      <c r="I15" s="2220" t="str">
        <f>IF(A13="出让",IF(I13="","",ROUNDDOWN(MIN((I13-$D$3)/365,I14),2)),I14)</f>
        <v/>
      </c>
      <c r="J15" s="2804"/>
      <c r="K15" s="1669"/>
      <c r="L15" s="1669"/>
      <c r="M15" s="2244"/>
      <c r="N15" s="1669"/>
      <c r="O15" s="2244"/>
      <c r="P15" s="2244"/>
      <c r="Q15" s="2244"/>
      <c r="AD15" s="1617"/>
    </row>
    <row r="16" spans="1:30">
      <c r="A16" s="2210" t="s">
        <v>2192</v>
      </c>
      <c r="B16" s="3222"/>
      <c r="C16" s="3223"/>
      <c r="D16" s="3224"/>
      <c r="E16" s="2221" t="s">
        <v>2193</v>
      </c>
      <c r="F16" s="3225"/>
      <c r="G16" s="3226"/>
      <c r="H16" s="3226"/>
      <c r="I16" s="3227"/>
      <c r="J16" s="2244"/>
      <c r="K16" s="2402"/>
      <c r="L16" s="1669"/>
      <c r="M16" s="1669"/>
      <c r="N16" s="2244"/>
      <c r="O16" s="1669"/>
      <c r="P16" s="2244"/>
      <c r="Q16" s="2244"/>
      <c r="R16" s="2244"/>
    </row>
    <row r="17" spans="1:28">
      <c r="A17" s="305" t="s">
        <v>2194</v>
      </c>
      <c r="B17" s="294" t="s">
        <v>2195</v>
      </c>
      <c r="C17" s="8">
        <f>'数据-汇总表'!E3</f>
        <v>134.96</v>
      </c>
      <c r="D17" s="1255" t="s">
        <v>2196</v>
      </c>
      <c r="E17" s="3228" t="s">
        <v>2197</v>
      </c>
      <c r="F17" s="3229"/>
      <c r="G17" s="3229"/>
      <c r="H17" s="3229"/>
      <c r="I17" s="3230"/>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31" t="s">
        <v>2201</v>
      </c>
      <c r="F18" s="3232"/>
      <c r="G18" s="3232"/>
      <c r="H18" s="3232"/>
      <c r="I18" s="3233"/>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18" t="s">
        <v>2205</v>
      </c>
      <c r="C20" s="3219"/>
      <c r="D20" s="3220" t="s">
        <v>2206</v>
      </c>
      <c r="E20" s="3221"/>
      <c r="F20" s="2429" t="s">
        <v>1056</v>
      </c>
      <c r="G20" s="2441"/>
      <c r="H20" s="2441"/>
      <c r="I20" s="2441"/>
      <c r="J20" s="2244"/>
      <c r="K20" s="321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06"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06"/>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06"/>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07"/>
      <c r="B30" s="294" t="s">
        <v>2217</v>
      </c>
      <c r="C30" s="3208"/>
      <c r="D30" s="3209"/>
      <c r="E30" s="2441"/>
      <c r="F30" s="2441"/>
      <c r="G30" s="2441"/>
      <c r="H30" s="2441"/>
      <c r="I30" s="2441"/>
      <c r="J30" s="2244"/>
      <c r="K30" s="2401"/>
      <c r="L30" s="2398"/>
      <c r="M30" s="2398"/>
      <c r="N30" s="2244"/>
      <c r="O30" s="1669"/>
      <c r="P30" s="2244"/>
      <c r="Q30" s="2244"/>
      <c r="R30" s="2244"/>
      <c r="S30" s="2244"/>
      <c r="T30" s="2244"/>
      <c r="U30" s="2244"/>
      <c r="V30" s="2244"/>
    </row>
    <row r="31" spans="1:28">
      <c r="A31" s="3210"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1"/>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1"/>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05" t="s">
        <v>2227</v>
      </c>
      <c r="T34" s="315" t="str">
        <f>NUMBERSTRING(7-K34,1)&amp;"通"</f>
        <v>七通</v>
      </c>
      <c r="U34" s="2244"/>
      <c r="V34" s="2244"/>
    </row>
    <row r="35" spans="1:30">
      <c r="A35" s="2235"/>
      <c r="B35" s="3205" t="s">
        <v>2228</v>
      </c>
      <c r="C35" s="3205"/>
      <c r="D35" s="3205"/>
      <c r="E35" s="320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2578</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t="s">
        <v>304</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t="s">
        <v>3405</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134.96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134.96</v>
      </c>
      <c r="H5" s="13">
        <f t="shared" ref="H5:AT5" si="0">SUM(H13:H656)</f>
        <v>134.96</v>
      </c>
      <c r="I5" s="13">
        <f t="shared" si="0"/>
        <v>134.96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134.96</v>
      </c>
      <c r="BA5" s="15">
        <f t="shared" si="1"/>
        <v>134.96</v>
      </c>
      <c r="BB5" s="15">
        <f t="shared" si="1"/>
        <v>134.96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3408</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办公楼</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3406</v>
      </c>
      <c r="E13" s="13">
        <f>IF($C$3="是",ROUND($A$3*G13/$B$3,2),ROUND($A$3*(G13-AT13)/$B$3,2))</f>
        <v>0</v>
      </c>
      <c r="F13" s="29"/>
      <c r="G13" s="30">
        <f>H13+AC13+AT13</f>
        <v>134.96</v>
      </c>
      <c r="H13" s="17">
        <f>SUMIF(I$12:AB$12,"总值",I13:AB13)</f>
        <v>134.96</v>
      </c>
      <c r="I13" s="1513">
        <v>134.96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134.96</v>
      </c>
      <c r="BA13" s="13">
        <f>SUM(BB13:BK13)</f>
        <v>134.96</v>
      </c>
      <c r="BB13" s="13">
        <f>IF($D13="是",I13-J13,0)</f>
        <v>134.96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3" t="s">
        <v>1131</v>
      </c>
      <c r="B2" s="3243"/>
      <c r="C2" s="3243"/>
      <c r="D2" s="748" t="s">
        <v>1107</v>
      </c>
      <c r="E2" s="1522" t="s">
        <v>1108</v>
      </c>
      <c r="F2" s="2438"/>
      <c r="G2" s="2431"/>
      <c r="H2" s="2432"/>
      <c r="I2" s="2145" t="s">
        <v>1132</v>
      </c>
      <c r="J2" s="2438"/>
      <c r="K2" s="2438"/>
      <c r="L2" s="2438"/>
      <c r="M2" s="2438"/>
      <c r="N2" s="2439"/>
      <c r="O2" s="2438"/>
      <c r="P2" s="2438"/>
    </row>
    <row r="3" spans="1:16" ht="15.75" thickBot="1">
      <c r="A3" s="3244" t="s">
        <v>1105</v>
      </c>
      <c r="B3" s="3244"/>
      <c r="C3" s="3244"/>
      <c r="D3" s="41">
        <f>'数据-基础表'!AY6</f>
        <v>0</v>
      </c>
      <c r="E3" s="41">
        <f>'数据-基础表'!AZ5</f>
        <v>134.96</v>
      </c>
      <c r="F3" s="2438"/>
      <c r="G3" s="42"/>
      <c r="H3" s="43" t="s">
        <v>1106</v>
      </c>
      <c r="I3" s="802" t="e">
        <f>ROUND('数据-基础表'!B3/'数据-基础表'!A3,2)</f>
        <v>#DIV/0!</v>
      </c>
      <c r="J3" s="2438"/>
      <c r="K3" s="2438"/>
      <c r="L3" s="2438"/>
      <c r="M3" s="2438"/>
      <c r="N3" s="2439"/>
      <c r="O3" s="2438"/>
      <c r="P3" s="2438"/>
    </row>
    <row r="4" spans="1:16" ht="15">
      <c r="A4" s="3245"/>
      <c r="B4" s="3246"/>
      <c r="C4" s="3247"/>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48" t="s">
        <v>1110</v>
      </c>
      <c r="C5" s="3248"/>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6"/>
      <c r="B6" s="3248" t="s">
        <v>1111</v>
      </c>
      <c r="C6" s="3248"/>
      <c r="D6" s="43">
        <f>ROUND($D$3*E6/$E$3,2)</f>
        <v>0</v>
      </c>
      <c r="E6" s="44">
        <f>E3-E5</f>
        <v>134.96</v>
      </c>
      <c r="F6" s="2438"/>
      <c r="G6" s="1528" t="s">
        <v>1112</v>
      </c>
      <c r="H6" s="45" t="s">
        <v>1113</v>
      </c>
      <c r="I6" s="2434" t="e">
        <f>ROUND(F31/D31,2)</f>
        <v>#DIV/0!</v>
      </c>
      <c r="J6" s="2438"/>
      <c r="K6" s="2438"/>
      <c r="L6" s="2438"/>
      <c r="M6" s="2438"/>
      <c r="N6" s="2438"/>
      <c r="O6" s="2438"/>
      <c r="P6" s="2438"/>
    </row>
    <row r="7" spans="1:16" ht="15.75" thickBot="1">
      <c r="A7" s="3240"/>
      <c r="B7" s="3241"/>
      <c r="C7" s="3242"/>
      <c r="D7" s="1523" t="s">
        <v>1107</v>
      </c>
      <c r="E7" s="1527" t="s">
        <v>1114</v>
      </c>
      <c r="F7" s="2438"/>
      <c r="G7" s="2435" t="s">
        <v>1115</v>
      </c>
      <c r="H7" s="95"/>
      <c r="I7" s="2436">
        <v>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134.96</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134.96</v>
      </c>
      <c r="F16" s="2438"/>
      <c r="G16" s="2438"/>
      <c r="H16" s="1530" t="s">
        <v>1135</v>
      </c>
      <c r="I16" s="1531"/>
      <c r="J16" s="1070"/>
      <c r="K16" s="3237" t="s">
        <v>1135</v>
      </c>
      <c r="L16" s="3238"/>
      <c r="M16" s="3238"/>
      <c r="N16" s="3238"/>
      <c r="O16" s="3238"/>
      <c r="P16" s="3239"/>
    </row>
    <row r="17" spans="1:19" ht="15">
      <c r="A17" s="1532" t="s">
        <v>1136</v>
      </c>
      <c r="B17" s="1533" t="s">
        <v>1137</v>
      </c>
      <c r="C17" s="1534" t="s">
        <v>1138</v>
      </c>
      <c r="D17" s="1535" t="s">
        <v>1126</v>
      </c>
      <c r="E17" s="1536" t="s">
        <v>1127</v>
      </c>
      <c r="F17" s="1537"/>
      <c r="G17" s="1538"/>
      <c r="H17" s="1539" t="s">
        <v>1139</v>
      </c>
      <c r="I17" s="1540" t="s">
        <v>1124</v>
      </c>
      <c r="J17" s="1070"/>
      <c r="K17" s="3234" t="s">
        <v>1140</v>
      </c>
      <c r="L17" s="3235"/>
      <c r="M17" s="3236"/>
      <c r="N17" s="3234" t="s">
        <v>1141</v>
      </c>
      <c r="O17" s="3235"/>
      <c r="P17" s="3236"/>
      <c r="R17" s="769"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5">
        <v>1302</v>
      </c>
      <c r="D19" s="43">
        <f>ROUND($D$3*E19/$E$3,2)</f>
        <v>0</v>
      </c>
      <c r="E19" s="51">
        <f t="shared" ref="E19:E26" si="1">SUM(F19:G19)</f>
        <v>134.96</v>
      </c>
      <c r="F19" s="2557">
        <f>'数据-基础表'!I13</f>
        <v>134.96</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134.96</v>
      </c>
    </row>
    <row r="20" spans="1:19">
      <c r="A20" s="1548"/>
      <c r="B20" s="45" t="s">
        <v>1153</v>
      </c>
      <c r="C20" s="3115"/>
      <c r="D20" s="43">
        <f t="shared" ref="D20:D26" si="6">ROUND($D$3*E20/$E$3,2)</f>
        <v>0</v>
      </c>
      <c r="E20" s="51">
        <f t="shared" si="1"/>
        <v>0</v>
      </c>
      <c r="F20" s="2557"/>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134.96</v>
      </c>
      <c r="F27" s="1071">
        <f>IF(SUM(F19:F26)=E8,SUM(F19:F26),"地上面积有误")</f>
        <v>134.96</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134.96</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5" t="s">
        <v>1158</v>
      </c>
      <c r="D31" s="643">
        <f>D27+D30</f>
        <v>0</v>
      </c>
      <c r="E31" s="643">
        <f>E27+E30</f>
        <v>134.96</v>
      </c>
      <c r="F31" s="644">
        <f>F27+F30</f>
        <v>134.96</v>
      </c>
      <c r="G31" s="645">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45833</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3411</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f>'数据-汇总表'!C19</f>
        <v>1302</v>
      </c>
      <c r="B6" s="1586" t="str">
        <f>IF(A6=0,"","经营性")</f>
        <v>经营性</v>
      </c>
      <c r="C6" s="1587" t="s">
        <v>3</v>
      </c>
      <c r="D6" s="805">
        <f>SUMIF(项目基本情况!C$12:I$12,C6,项目基本情况!C$14:I$14)</f>
        <v>50</v>
      </c>
      <c r="E6" s="804">
        <f>IF(B6="","",SUMIF(项目基本情况!C$12:I$12,C6,项目基本情况!C$13:I$13))</f>
        <v>57452</v>
      </c>
      <c r="F6" s="61">
        <f>SUMIF(项目基本情况!C$12:I$12,C6,项目基本情况!C$15:I$15)</f>
        <v>31.83</v>
      </c>
      <c r="G6" s="62">
        <f>IF(ISERROR(ROUND(POWER(1+H6,D6-F6)*(POWER(1+H6,F6)-1)/(POWER(1+H6,D6)-1),3)),0,ROUND(POWER(1+H6,D6-F6)*(POWER(1+H6,F6)-1)/(POWER(1+H6,D6)-1),3))</f>
        <v>0.86399999999999999</v>
      </c>
      <c r="H6" s="691">
        <v>0.05</v>
      </c>
      <c r="I6" s="691">
        <v>5.5E-2</v>
      </c>
      <c r="J6" s="63">
        <v>7.0000000000000007E-2</v>
      </c>
      <c r="K6" s="969">
        <f>SUMIF('数据-汇总表'!C$19:C$33,A6,'数据-汇总表'!E$19:E$33)</f>
        <v>134.96</v>
      </c>
      <c r="L6" s="692">
        <v>4000</v>
      </c>
      <c r="M6" s="64">
        <f t="shared" ref="M6:M14" si="0">ROUND(K6*L6/10000,0)</f>
        <v>54</v>
      </c>
      <c r="N6" s="690">
        <f>(N19+N20)/2</f>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1">
        <f>ROUND($L$14*S6/10000,0)</f>
        <v>0</v>
      </c>
      <c r="U6" s="3126">
        <v>1.8</v>
      </c>
      <c r="V6" s="67">
        <v>0.02</v>
      </c>
      <c r="W6" s="67">
        <v>0.1</v>
      </c>
      <c r="X6" s="978"/>
      <c r="Y6" s="68">
        <f>N6</f>
        <v>0.8</v>
      </c>
      <c r="Z6" s="69"/>
      <c r="AA6" s="63"/>
      <c r="AB6" s="63"/>
      <c r="AC6" s="978"/>
      <c r="AD6" s="70"/>
      <c r="AE6" s="979">
        <f ca="1">IF(AN6="",0,SUMIF(INDIRECT("'"&amp;AN6&amp;"'"&amp;"!E:E"),$AE$5,INDIRECT("'"&amp;AN6&amp;"'"&amp;"!F:F")))</f>
        <v>31.83</v>
      </c>
      <c r="AF6" s="74"/>
      <c r="AG6" s="130">
        <f>IF(AF6="",0,AE6-AF6)</f>
        <v>0</v>
      </c>
      <c r="AH6" s="71"/>
      <c r="AI6" s="73">
        <v>365</v>
      </c>
      <c r="AJ6" s="74"/>
      <c r="AK6" s="75">
        <v>2E-3</v>
      </c>
      <c r="AL6" s="76">
        <v>1E-3</v>
      </c>
      <c r="AM6" s="77">
        <v>5.0000000000000001E-3</v>
      </c>
      <c r="AN6" s="1588" t="s">
        <v>3412</v>
      </c>
      <c r="AO6" s="50">
        <f ca="1">SUMIF(INDIRECT("'"&amp;AN6&amp;"'"&amp;"!A:A"),"总价",INDIRECT("'"&amp;AN6&amp;"'"&amp;"!B:B"))</f>
        <v>123.568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7"/>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0.86399999999999999</v>
      </c>
      <c r="H16" s="84">
        <f>ROUND(SUMPRODUCT(H6:H13,K6:K13)/SUMPRODUCT((H6:H13&gt;0)*(K6:K13)),3)</f>
        <v>0.05</v>
      </c>
      <c r="I16" s="85"/>
      <c r="J16" s="85"/>
      <c r="K16" s="86">
        <f>SUM(K6:K15)</f>
        <v>134.96</v>
      </c>
      <c r="L16" s="87">
        <f>ROUND(M16*10000/SUM(K6:K14),0)</f>
        <v>4001</v>
      </c>
      <c r="M16" s="87">
        <f>SUM(M6:M14)</f>
        <v>54</v>
      </c>
      <c r="N16" s="88">
        <f>ROUND(SUMPRODUCT(M6:M14,N6:N14)/M16,3)</f>
        <v>0.8</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2010</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2301</v>
      </c>
      <c r="D19" s="2451"/>
      <c r="E19" s="2438"/>
      <c r="F19" s="2438"/>
      <c r="G19" s="2438"/>
      <c r="H19" s="2438"/>
      <c r="I19" s="2438"/>
      <c r="J19" s="2438"/>
      <c r="K19" s="2449"/>
      <c r="L19" s="2449"/>
      <c r="M19" s="2448"/>
      <c r="N19" s="2448">
        <f>1-(2025-N18)/60</f>
        <v>0.75</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2299</v>
      </c>
      <c r="D20" s="2451"/>
      <c r="E20" s="2438"/>
      <c r="F20" s="2438"/>
      <c r="G20" s="2438"/>
      <c r="H20" s="2438"/>
      <c r="I20" s="2438"/>
      <c r="J20" s="2438"/>
      <c r="K20" s="2449"/>
      <c r="L20" s="2449"/>
      <c r="M20" s="2448"/>
      <c r="N20" s="2448">
        <v>0.85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4" t="s">
        <v>3384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2294</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3402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3385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2309</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0.05</v>
      </c>
      <c r="C44" s="2564" t="s">
        <v>3387</v>
      </c>
      <c r="D44" s="2451"/>
      <c r="E44" s="2438"/>
      <c r="F44" s="3153" t="s">
        <v>3410</v>
      </c>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49" t="s">
        <v>2285</v>
      </c>
      <c r="B1" s="3250"/>
      <c r="C1" s="3250"/>
      <c r="D1" s="3250"/>
      <c r="E1" s="3250"/>
      <c r="F1" s="3250"/>
      <c r="G1" s="325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4"/>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6.75">
      <c r="A4" s="2247"/>
      <c r="B4" s="315" t="s">
        <v>2253</v>
      </c>
      <c r="C4" s="2268" t="s">
        <v>2254</v>
      </c>
      <c r="D4" s="2265"/>
      <c r="E4" s="2269"/>
      <c r="F4" s="1280" t="s">
        <v>2255</v>
      </c>
      <c r="G4" s="2270" t="s">
        <v>2256</v>
      </c>
      <c r="H4" s="751"/>
      <c r="I4" s="751"/>
      <c r="J4" s="751"/>
      <c r="K4" s="751"/>
      <c r="L4" s="751"/>
      <c r="M4" s="751"/>
      <c r="N4" s="751"/>
      <c r="O4" s="751"/>
      <c r="P4" s="751"/>
      <c r="Q4" s="751"/>
    </row>
    <row r="5" spans="1:29" ht="36.75">
      <c r="A5" s="2247"/>
      <c r="B5" s="315" t="s">
        <v>2257</v>
      </c>
      <c r="C5" s="2268" t="s">
        <v>2258</v>
      </c>
      <c r="D5" s="2265"/>
      <c r="E5" s="2269"/>
      <c r="F5" s="315" t="s">
        <v>2259</v>
      </c>
      <c r="G5" s="2270" t="s">
        <v>2260</v>
      </c>
      <c r="H5" s="751"/>
      <c r="I5" s="751"/>
      <c r="J5" s="751"/>
      <c r="K5" s="751"/>
      <c r="L5" s="751"/>
      <c r="M5" s="751"/>
      <c r="N5" s="751"/>
      <c r="O5" s="751"/>
      <c r="P5" s="751"/>
      <c r="Q5" s="751"/>
    </row>
    <row r="6" spans="1:29" ht="36">
      <c r="A6" s="2247"/>
      <c r="B6" s="315" t="s">
        <v>2261</v>
      </c>
      <c r="C6" s="2270" t="s">
        <v>2256</v>
      </c>
      <c r="D6" s="2265"/>
      <c r="E6" s="2269"/>
      <c r="F6" s="315" t="s">
        <v>2262</v>
      </c>
      <c r="G6" s="2270" t="s">
        <v>2263</v>
      </c>
      <c r="H6" s="751"/>
      <c r="I6" s="751"/>
      <c r="J6" s="751"/>
      <c r="K6" s="751"/>
      <c r="L6" s="751"/>
      <c r="M6" s="751"/>
      <c r="N6" s="751"/>
      <c r="O6" s="751"/>
      <c r="P6" s="751"/>
      <c r="Q6" s="751"/>
    </row>
    <row r="7" spans="1:29" ht="24.75" thickBot="1">
      <c r="A7" s="2247"/>
      <c r="B7" s="315" t="s">
        <v>2259</v>
      </c>
      <c r="C7" s="2270" t="s">
        <v>2260</v>
      </c>
      <c r="D7" s="2244"/>
      <c r="E7" s="2271"/>
      <c r="F7" s="2272" t="s">
        <v>2264</v>
      </c>
      <c r="G7" s="2273" t="s">
        <v>2265</v>
      </c>
      <c r="H7" s="751"/>
      <c r="I7" s="751"/>
      <c r="J7" s="751"/>
      <c r="K7" s="751"/>
      <c r="L7" s="751"/>
      <c r="M7" s="751"/>
      <c r="N7" s="751"/>
      <c r="O7" s="751"/>
      <c r="P7" s="751"/>
      <c r="Q7" s="751"/>
    </row>
    <row r="8" spans="1:29">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5"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2286</v>
      </c>
      <c r="B13" s="2279"/>
      <c r="C13" s="2279"/>
      <c r="D13" s="2278"/>
      <c r="E13" s="2279"/>
      <c r="F13" s="2279"/>
      <c r="G13" s="2279"/>
    </row>
    <row r="14" spans="1:29" ht="15" thickBot="1">
      <c r="A14" s="2284"/>
      <c r="B14" s="2284"/>
      <c r="C14" s="2285" t="s">
        <v>2269</v>
      </c>
      <c r="D14" s="2265"/>
      <c r="E14" s="2286"/>
      <c r="F14" s="2286"/>
      <c r="G14" s="2261" t="s">
        <v>2270</v>
      </c>
    </row>
    <row r="15" spans="1:29" ht="51">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8.25">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5"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5" t="s">
        <v>2262</v>
      </c>
      <c r="G20" s="2293" t="str">
        <f>G6</f>
        <v>估价对象所在区域基础设施水平</v>
      </c>
    </row>
    <row r="21" spans="1:17" ht="25.5">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5" thickBot="1">
      <c r="A23" s="2251"/>
      <c r="B23" s="2292" t="s">
        <v>2277</v>
      </c>
      <c r="C23" s="2295"/>
      <c r="D23" s="1613"/>
      <c r="E23" s="2253"/>
      <c r="F23" s="2296" t="s">
        <v>2278</v>
      </c>
      <c r="G23" s="2297"/>
      <c r="H23" s="2276"/>
      <c r="I23" s="2276"/>
      <c r="J23" s="2276"/>
      <c r="K23" s="2276"/>
      <c r="L23" s="2276"/>
      <c r="M23" s="2276"/>
      <c r="N23" s="2276"/>
      <c r="O23" s="2276"/>
      <c r="P23" s="2276"/>
      <c r="Q23" s="2276"/>
    </row>
    <row r="24" spans="1:17" s="751" customFormat="1" ht="15" thickBot="1">
      <c r="A24" s="2254"/>
      <c r="B24" s="2296" t="s">
        <v>2279</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6" sqref="G36"/>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134.96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45833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173</v>
      </c>
      <c r="C5" s="2299">
        <f ca="1">IF(B5=D14,结果表!H102,ROUND(B5*10000/$B$1,0))</f>
        <v>12798</v>
      </c>
      <c r="D5" s="2299" t="e">
        <f ca="1">ROUND(B5*10000/$B$2,0)</f>
        <v>#DIV/0!</v>
      </c>
      <c r="E5" s="2461"/>
      <c r="F5" s="2462"/>
      <c r="G5" s="2462"/>
      <c r="H5" s="2462"/>
      <c r="I5" s="2462"/>
      <c r="J5" s="2462"/>
      <c r="K5" s="2462"/>
    </row>
    <row r="6" spans="1:11" ht="16.5">
      <c r="A6" s="2299" t="s">
        <v>656</v>
      </c>
      <c r="B6" s="2299">
        <f ca="1">SUM(G14:G23)</f>
        <v>173</v>
      </c>
      <c r="C6" s="2299">
        <f ca="1">IF(B6=G14,结果表!H108,ROUND(B6*10000/$B$1,0))</f>
        <v>12798</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3355</v>
      </c>
      <c r="D10" s="2299" t="s">
        <v>3356</v>
      </c>
      <c r="E10" s="3136"/>
      <c r="F10" s="3140" t="s">
        <v>3357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'数据-汇总表'!E31</f>
        <v>134.96</v>
      </c>
      <c r="C14" s="2305"/>
      <c r="D14" s="2305">
        <f ca="1">ROUND(B14*E14/10000,0)</f>
        <v>173</v>
      </c>
      <c r="E14" s="2305">
        <f ca="1">结果表!G20</f>
        <v>12798</v>
      </c>
      <c r="F14" s="2305" t="e">
        <f ca="1">ROUND(D14*10000/C14,0)</f>
        <v>#DIV/0!</v>
      </c>
      <c r="G14" s="2305">
        <f ca="1">D14</f>
        <v>173</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F28" sqref="F28"/>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5" t="str">
        <f>项目基本情况!S2</f>
        <v>房地产</v>
      </c>
      <c r="B2" s="3286"/>
      <c r="C2" s="3286"/>
      <c r="D2" s="3286"/>
      <c r="E2" s="3286"/>
      <c r="F2" s="3286"/>
      <c r="G2" s="3286"/>
      <c r="H2" s="3286"/>
      <c r="I2" s="3287"/>
    </row>
    <row r="3" spans="1:12" ht="12.75">
      <c r="A3" s="3289" t="s">
        <v>1264</v>
      </c>
      <c r="B3" s="3290"/>
      <c r="C3" s="3290"/>
      <c r="D3" s="3290"/>
      <c r="E3" s="3290"/>
      <c r="F3" s="3290"/>
      <c r="G3" s="3290"/>
      <c r="H3" s="3290"/>
      <c r="I3" s="3290"/>
    </row>
    <row r="4" spans="1:12" ht="14.25">
      <c r="A4" s="1623" t="s">
        <v>1265</v>
      </c>
      <c r="B4" s="1624" t="s">
        <v>1266</v>
      </c>
      <c r="C4" s="1625" t="s">
        <v>3482</v>
      </c>
      <c r="D4" s="1625" t="s">
        <v>3412</v>
      </c>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5" t="s">
        <v>1268</v>
      </c>
      <c r="B5" s="3252">
        <v>25</v>
      </c>
      <c r="C5" s="3268"/>
      <c r="D5" s="3288"/>
      <c r="E5" s="123" t="s">
        <v>1269</v>
      </c>
      <c r="F5" s="1626"/>
      <c r="G5" s="1626"/>
      <c r="H5" s="1626"/>
      <c r="I5" s="1280"/>
    </row>
    <row r="6" spans="1:12" ht="12.75">
      <c r="A6" s="3265"/>
      <c r="B6" s="3252"/>
      <c r="C6" s="3269"/>
      <c r="D6" s="3288"/>
      <c r="E6" s="123" t="s">
        <v>1270</v>
      </c>
      <c r="F6" s="1626"/>
      <c r="G6" s="1626"/>
      <c r="H6" s="1626"/>
      <c r="I6" s="1280"/>
    </row>
    <row r="7" spans="1:12" ht="12.75">
      <c r="A7" s="3265"/>
      <c r="B7" s="3252"/>
      <c r="C7" s="3270"/>
      <c r="D7" s="3288"/>
      <c r="E7" s="123" t="s">
        <v>1271</v>
      </c>
      <c r="F7" s="1626"/>
      <c r="G7" s="1626"/>
      <c r="H7" s="1626"/>
      <c r="I7" s="1280"/>
    </row>
    <row r="8" spans="1:12" ht="12.75">
      <c r="A8" s="3265" t="s">
        <v>1272</v>
      </c>
      <c r="B8" s="3252">
        <v>15</v>
      </c>
      <c r="C8" s="3268"/>
      <c r="D8" s="3288"/>
      <c r="E8" s="123" t="s">
        <v>1273</v>
      </c>
      <c r="F8" s="1626"/>
      <c r="G8" s="1626"/>
      <c r="H8" s="1626"/>
      <c r="I8" s="1280"/>
    </row>
    <row r="9" spans="1:12" ht="12.75">
      <c r="A9" s="3265"/>
      <c r="B9" s="3252"/>
      <c r="C9" s="3270"/>
      <c r="D9" s="3288"/>
      <c r="E9" s="123" t="s">
        <v>1274</v>
      </c>
      <c r="F9" s="1626"/>
      <c r="G9" s="1626"/>
      <c r="H9" s="1626"/>
      <c r="I9" s="1280"/>
    </row>
    <row r="10" spans="1:12" ht="12.75">
      <c r="A10" s="3265" t="s">
        <v>1275</v>
      </c>
      <c r="B10" s="3252">
        <v>15</v>
      </c>
      <c r="C10" s="3268"/>
      <c r="D10" s="3288"/>
      <c r="E10" s="123" t="s">
        <v>1276</v>
      </c>
      <c r="F10" s="1626"/>
      <c r="G10" s="1626"/>
      <c r="H10" s="1626"/>
      <c r="I10" s="1280"/>
    </row>
    <row r="11" spans="1:12" ht="12.75">
      <c r="A11" s="3265"/>
      <c r="B11" s="3252"/>
      <c r="C11" s="3270"/>
      <c r="D11" s="3288"/>
      <c r="E11" s="123" t="s">
        <v>1277</v>
      </c>
      <c r="F11" s="1626"/>
      <c r="G11" s="1626"/>
      <c r="H11" s="1626"/>
      <c r="I11" s="1280"/>
    </row>
    <row r="12" spans="1:12" ht="12.75">
      <c r="A12" s="3265" t="s">
        <v>1278</v>
      </c>
      <c r="B12" s="3252">
        <v>15</v>
      </c>
      <c r="C12" s="3268"/>
      <c r="D12" s="3288"/>
      <c r="E12" s="123" t="s">
        <v>1279</v>
      </c>
      <c r="F12" s="1626"/>
      <c r="G12" s="1626"/>
      <c r="H12" s="1626"/>
      <c r="I12" s="1280"/>
    </row>
    <row r="13" spans="1:12" ht="12.75">
      <c r="A13" s="3265"/>
      <c r="B13" s="3252"/>
      <c r="C13" s="3270"/>
      <c r="D13" s="3288"/>
      <c r="E13" s="123" t="s">
        <v>1280</v>
      </c>
      <c r="F13" s="1626"/>
      <c r="G13" s="1626"/>
      <c r="H13" s="1626"/>
      <c r="I13" s="1280"/>
    </row>
    <row r="14" spans="1:12" ht="12.75">
      <c r="A14" s="3265" t="s">
        <v>1281</v>
      </c>
      <c r="B14" s="3252">
        <v>30</v>
      </c>
      <c r="C14" s="3268">
        <v>4</v>
      </c>
      <c r="D14" s="3288">
        <v>6</v>
      </c>
      <c r="E14" s="123" t="s">
        <v>1282</v>
      </c>
      <c r="F14" s="1626"/>
      <c r="G14" s="1626"/>
      <c r="H14" s="1626"/>
      <c r="I14" s="1280"/>
    </row>
    <row r="15" spans="1:12" ht="12.75">
      <c r="A15" s="3265"/>
      <c r="B15" s="3252"/>
      <c r="C15" s="3269"/>
      <c r="D15" s="3288"/>
      <c r="E15" s="123" t="s">
        <v>1283</v>
      </c>
      <c r="F15" s="1626"/>
      <c r="G15" s="1626"/>
      <c r="H15" s="1626"/>
      <c r="I15" s="1280"/>
    </row>
    <row r="16" spans="1:12" ht="12.75">
      <c r="A16" s="3265"/>
      <c r="B16" s="3252"/>
      <c r="C16" s="3270"/>
      <c r="D16" s="3288"/>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275" t="s">
        <v>2130</v>
      </c>
      <c r="F18" s="3276"/>
      <c r="G18" s="3276"/>
      <c r="H18" s="3276"/>
      <c r="I18" s="3276"/>
      <c r="K18" s="294" t="s">
        <v>1289</v>
      </c>
      <c r="L18" s="294">
        <f>IF(C1="",'数据-汇总表'!E3,SUMIF(项目类型,C1,'数据-汇总表'!E17:E26)+SUMIF(项目类型,C1,'数据-汇总表'!I17:I26))</f>
        <v>134.96</v>
      </c>
      <c r="M18" s="294">
        <f>IF(C1="",'数据-汇总表'!E3,SUMIF(项目类型,C1,'数据-汇总表'!E17:E26))</f>
        <v>134.96</v>
      </c>
    </row>
    <row r="19" spans="1:36" ht="15">
      <c r="A19" s="1629" t="s">
        <v>1290</v>
      </c>
      <c r="B19" s="1630" t="s">
        <v>1291</v>
      </c>
      <c r="C19" s="126">
        <f ca="1">SUMIF(INDIRECT("'"&amp;C4&amp;"'"&amp;"!A:A"),结果表!B19,INDIRECT("'"&amp;C4&amp;"'"&amp;"!B:B"))</f>
        <v>246.45050000000001</v>
      </c>
      <c r="D19" s="127">
        <f ca="1">SUMIF(INDIRECT("'"&amp;D4&amp;"'"&amp;"!A:A"),结果表!B19,INDIRECT("'"&amp;D4&amp;"'"&amp;"!B:B"))</f>
        <v>123.568</v>
      </c>
      <c r="E19" s="1629" t="s">
        <v>1292</v>
      </c>
      <c r="F19" s="1630" t="s">
        <v>1291</v>
      </c>
      <c r="G19" s="128">
        <f ca="1">ROUND(C19*$C$18+D19*$D$18,0)</f>
        <v>173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18261</v>
      </c>
      <c r="D20" s="130">
        <f ca="1">SUMIF(INDIRECT("'"&amp;D4&amp;"'"&amp;"!A:A"),结果表!B20,INDIRECT("'"&amp;D4&amp;"'"&amp;"!B:B"))</f>
        <v>9156</v>
      </c>
      <c r="E20" s="1632"/>
      <c r="F20" s="43" t="s">
        <v>1295</v>
      </c>
      <c r="G20" s="131">
        <f ca="1">ROUND(C20*$C$18+D20*$D$18,0)</f>
        <v>12798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0.99445244723553028</v>
      </c>
      <c r="E22" s="121"/>
      <c r="F22" s="121"/>
      <c r="G22" s="121"/>
      <c r="H22" s="121"/>
      <c r="I22" s="121"/>
    </row>
    <row r="23" spans="1:36" ht="13.5" thickBot="1">
      <c r="A23" s="646"/>
      <c r="B23" s="646"/>
      <c r="C23" s="646"/>
      <c r="D23" s="646"/>
      <c r="E23" s="121"/>
      <c r="F23" s="121"/>
      <c r="G23" s="121"/>
      <c r="H23" s="121"/>
      <c r="I23" s="121"/>
    </row>
    <row r="24" spans="1:36" ht="14.25">
      <c r="A24" s="3259" t="s">
        <v>1299</v>
      </c>
      <c r="B24" s="1630" t="s">
        <v>1291</v>
      </c>
      <c r="C24" s="128">
        <f>IF(B30=0,0,D30)</f>
        <v>0</v>
      </c>
      <c r="D24" s="1636"/>
      <c r="E24" s="121"/>
      <c r="F24" s="121"/>
      <c r="G24" s="121"/>
      <c r="H24" s="121"/>
      <c r="I24" s="121"/>
    </row>
    <row r="25" spans="1:36" ht="14.25">
      <c r="A25" s="326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12798</v>
      </c>
      <c r="D32" s="1640" t="s">
        <v>3444</v>
      </c>
      <c r="E32" s="121"/>
      <c r="F32" s="121"/>
      <c r="G32" s="121"/>
      <c r="H32" s="121"/>
      <c r="I32" s="121"/>
    </row>
    <row r="33" spans="1:15" ht="15">
      <c r="A33" s="740" t="s">
        <v>1306</v>
      </c>
      <c r="B33" s="123"/>
      <c r="C33" s="1641" t="s">
        <v>3445</v>
      </c>
      <c r="D33" s="1642" t="s">
        <v>3412</v>
      </c>
      <c r="E33" s="1643" t="s">
        <v>1307</v>
      </c>
      <c r="F33" s="1644" t="str">
        <f>IF(D32="楼面单价","取值（单价）","取值（总价）")</f>
        <v>取值（单价）</v>
      </c>
      <c r="G33" s="121"/>
      <c r="H33" s="121"/>
      <c r="I33" s="121"/>
    </row>
    <row r="34" spans="1:15" ht="15">
      <c r="A34" s="1645"/>
      <c r="B34" s="1646" t="s">
        <v>1308</v>
      </c>
      <c r="C34" s="140">
        <f ca="1">IF(C33="自定义",F34,C32-C35)</f>
        <v>4364</v>
      </c>
      <c r="D34" s="808">
        <f ca="1">IF(C33="自定义",ROUND(C34/C32,3),IF(C33="收益比率",SUMIF(INDIRECT("'"&amp;D33&amp;"'"&amp;"!b:b"),"土地收益比率",INDIRECT("'"&amp;D33&amp;"'"&amp;"!c:c")),SUMIF(INDIRECT("'"&amp;D33&amp;"'"&amp;"!b:b"),"土地成本比率",INDIRECT("'"&amp;D33&amp;"'"&amp;"!c:c"))))</f>
        <v>0.34099999999999997</v>
      </c>
      <c r="E34" s="1647" t="s">
        <v>1309</v>
      </c>
      <c r="F34" s="1242"/>
      <c r="G34" s="121"/>
      <c r="H34" s="121"/>
      <c r="I34" s="121"/>
    </row>
    <row r="35" spans="1:15" ht="15.75" thickBot="1">
      <c r="A35" s="1648"/>
      <c r="B35" s="1649" t="s">
        <v>1310</v>
      </c>
      <c r="C35" s="1089">
        <f ca="1">IF(C33="自定义",F35,ROUND(C32*D35,0))</f>
        <v>8434</v>
      </c>
      <c r="D35" s="1090">
        <f ca="1">IF(C33="自定义",ROUND(C35/C32,3),IF(C33="收益比率",SUMIF(INDIRECT("'"&amp;D33&amp;"'"&amp;"!b:b"),"建筑物收益比率",INDIRECT("'"&amp;D33&amp;"'"&amp;"!c:c")),SUMIF(INDIRECT("'"&amp;D33&amp;"'"&amp;"!b:b"),"建筑物成本比率",INDIRECT("'"&amp;D33&amp;"'"&amp;"!c:c"))))</f>
        <v>0.65900000000000003</v>
      </c>
      <c r="E35" s="1650" t="s">
        <v>1311</v>
      </c>
      <c r="F35" s="146"/>
      <c r="G35" s="121"/>
      <c r="H35" s="121"/>
      <c r="I35" s="121"/>
    </row>
    <row r="36" spans="1:15" ht="15.75" thickBot="1">
      <c r="A36" s="3279" t="s">
        <v>1312</v>
      </c>
      <c r="B36" s="1651" t="s">
        <v>1313</v>
      </c>
      <c r="C36" s="137"/>
      <c r="D36" s="1652"/>
      <c r="E36" s="1566"/>
      <c r="F36" s="1653"/>
      <c r="G36" s="121"/>
      <c r="H36" s="121"/>
      <c r="I36" s="121"/>
    </row>
    <row r="37" spans="1:15" ht="15.75" thickBot="1">
      <c r="A37" s="3280"/>
      <c r="B37" s="1554" t="s">
        <v>1314</v>
      </c>
      <c r="C37" s="139"/>
      <c r="D37" s="1070"/>
      <c r="E37" s="1070"/>
      <c r="F37" s="1653"/>
      <c r="G37" s="121"/>
      <c r="H37" s="121"/>
      <c r="I37" s="121"/>
    </row>
    <row r="38" spans="1:15" ht="15.75" thickBot="1">
      <c r="A38" s="3281"/>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56" t="s">
        <v>1326</v>
      </c>
      <c r="B45" s="3257"/>
      <c r="C45" s="3258"/>
      <c r="D45" s="147">
        <f ca="1">ROUND(H101*F45,0)</f>
        <v>173</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7"/>
      <c r="I46" s="151"/>
      <c r="J46" s="2309">
        <v>1</v>
      </c>
      <c r="K46" s="3315" t="s">
        <v>1331</v>
      </c>
      <c r="L46" s="3315"/>
      <c r="M46" s="3335"/>
      <c r="N46" s="3335"/>
      <c r="O46" s="3335"/>
    </row>
    <row r="47" spans="1:15" ht="12" customHeight="1">
      <c r="A47" s="152" t="s">
        <v>1332</v>
      </c>
      <c r="B47" s="153"/>
      <c r="C47" s="154"/>
      <c r="D47" s="1023" t="s">
        <v>1333</v>
      </c>
      <c r="E47" s="294" t="s">
        <v>1334</v>
      </c>
      <c r="F47" s="155" t="s">
        <v>1335</v>
      </c>
      <c r="G47" s="2332" t="s">
        <v>1336</v>
      </c>
      <c r="H47" s="2333"/>
      <c r="I47" s="151"/>
      <c r="J47" s="2309">
        <v>2</v>
      </c>
      <c r="K47" s="3315" t="s">
        <v>1337</v>
      </c>
      <c r="L47" s="3315"/>
      <c r="M47" s="3336">
        <f>'数据-取费表'!B2</f>
        <v>45833</v>
      </c>
      <c r="N47" s="3336"/>
      <c r="O47" s="3336"/>
    </row>
    <row r="48" spans="1:15" ht="25.5">
      <c r="A48" s="3284" t="s">
        <v>1338</v>
      </c>
      <c r="B48" s="3267"/>
      <c r="C48" s="3267"/>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15" t="s">
        <v>1340</v>
      </c>
      <c r="L48" s="3315"/>
      <c r="M48" s="3337">
        <f ca="1">H101</f>
        <v>173</v>
      </c>
      <c r="N48" s="3337"/>
      <c r="O48" s="3337"/>
    </row>
    <row r="49" spans="1:35" ht="25.5" customHeight="1">
      <c r="A49" s="2151" t="s">
        <v>1341</v>
      </c>
      <c r="B49" s="3251" t="s">
        <v>1342</v>
      </c>
      <c r="C49" s="3251"/>
      <c r="D49" s="1477">
        <v>0</v>
      </c>
      <c r="E49" s="316" t="s">
        <v>1343</v>
      </c>
      <c r="F49" s="2232" t="s">
        <v>28</v>
      </c>
      <c r="G49" s="3321"/>
      <c r="H49" s="2133" t="s">
        <v>2133</v>
      </c>
      <c r="I49" s="2134"/>
      <c r="J49" s="2309">
        <v>4</v>
      </c>
      <c r="K49" s="3315" t="str">
        <f>IF(项目基本情况!E8="房地产抵押价值","房地产抵押价值","抵押担保权已注销时的房地产抵押价值")</f>
        <v>房地产抵押价值</v>
      </c>
      <c r="L49" s="3315"/>
      <c r="M49" s="3337">
        <f ca="1">IF(项目基本情况!E8="房地产抵押价值",H107,H109)</f>
        <v>173</v>
      </c>
      <c r="N49" s="3337"/>
      <c r="O49" s="3337"/>
    </row>
    <row r="50" spans="1:35" ht="25.5" customHeight="1">
      <c r="A50" s="2337"/>
      <c r="B50" s="3251" t="s">
        <v>1344</v>
      </c>
      <c r="C50" s="3251"/>
      <c r="D50" s="2188"/>
      <c r="E50" s="323"/>
      <c r="F50" s="2232"/>
      <c r="G50" s="3322"/>
      <c r="H50" s="2135" t="s">
        <v>2134</v>
      </c>
      <c r="I50" s="2134"/>
      <c r="J50" s="3334" t="s">
        <v>1345</v>
      </c>
      <c r="K50" s="3334"/>
      <c r="L50" s="3334"/>
      <c r="M50" s="3334"/>
      <c r="N50" s="3334"/>
      <c r="O50" s="3334"/>
    </row>
    <row r="51" spans="1:35" ht="20.45" customHeight="1">
      <c r="A51" s="2338"/>
      <c r="B51" s="3251" t="s">
        <v>1346</v>
      </c>
      <c r="C51" s="3251"/>
      <c r="D51" s="1023"/>
      <c r="E51" s="319"/>
      <c r="F51" s="2232"/>
      <c r="G51" s="3323"/>
      <c r="H51" s="2135" t="s">
        <v>2135</v>
      </c>
      <c r="I51" s="2134"/>
      <c r="J51" s="2310" t="s">
        <v>1347</v>
      </c>
      <c r="K51" s="3315" t="s">
        <v>1348</v>
      </c>
      <c r="L51" s="3315"/>
      <c r="M51" s="2310" t="s">
        <v>1349</v>
      </c>
      <c r="N51" s="2310" t="s">
        <v>1350</v>
      </c>
      <c r="O51" s="2310" t="s">
        <v>1351</v>
      </c>
    </row>
    <row r="52" spans="1:35" ht="24" customHeight="1">
      <c r="A52" s="2152" t="s">
        <v>1352</v>
      </c>
      <c r="B52" s="3251" t="s">
        <v>1353</v>
      </c>
      <c r="C52" s="3251"/>
      <c r="D52" s="1023">
        <f ca="1">ROUND(D45*'数据-取费表'!B41/(1+'数据-取费表'!C42),0)</f>
        <v>9</v>
      </c>
      <c r="E52" s="1255" t="s">
        <v>1354</v>
      </c>
      <c r="F52" s="2339">
        <f>'数据-取费表'!B41</f>
        <v>5.5000000000000007E-2</v>
      </c>
      <c r="G52" s="2340"/>
      <c r="H52" s="2330"/>
      <c r="I52" s="1668"/>
      <c r="J52" s="2309">
        <v>1</v>
      </c>
      <c r="K52" s="3316" t="s">
        <v>1355</v>
      </c>
      <c r="L52" s="3316"/>
      <c r="M52" s="2311" t="b">
        <f>D48</f>
        <v>0</v>
      </c>
      <c r="N52" s="2309" t="str">
        <f>E48</f>
        <v>销售额×税（费）率</v>
      </c>
      <c r="O52" s="2312">
        <f>F48</f>
        <v>5.5000000000000007E-2</v>
      </c>
    </row>
    <row r="53" spans="1:35" ht="12" customHeight="1">
      <c r="A53" s="2152" t="s">
        <v>1356</v>
      </c>
      <c r="B53" s="3277" t="s">
        <v>2290</v>
      </c>
      <c r="C53" s="3278"/>
      <c r="D53" s="1023">
        <f ca="1">ROUND(D45*'数据-取费表'!B41/(1+'数据-取费表'!C42),0)</f>
        <v>9</v>
      </c>
      <c r="E53" s="1255" t="s">
        <v>1354</v>
      </c>
      <c r="F53" s="2339">
        <f>'数据-取费表'!B41</f>
        <v>5.5000000000000007E-2</v>
      </c>
      <c r="G53" s="2340"/>
      <c r="H53" s="2330"/>
      <c r="I53" s="1668"/>
      <c r="J53" s="2309">
        <v>2</v>
      </c>
      <c r="K53" s="3316" t="s">
        <v>1357</v>
      </c>
      <c r="L53" s="3316"/>
      <c r="M53" s="2311">
        <f t="shared" ref="M53:O54" ca="1" si="0">D55</f>
        <v>0</v>
      </c>
      <c r="N53" s="2309" t="str">
        <f t="shared" si="0"/>
        <v>销售额×税（费）率</v>
      </c>
      <c r="O53" s="2312" t="str">
        <f t="shared" si="0"/>
        <v>免征</v>
      </c>
    </row>
    <row r="54" spans="1:35" ht="12" customHeight="1">
      <c r="A54" s="2152" t="s">
        <v>1358</v>
      </c>
      <c r="B54" s="3277" t="s">
        <v>2291</v>
      </c>
      <c r="C54" s="3278"/>
      <c r="D54" s="1023">
        <f ca="1">C68</f>
        <v>9</v>
      </c>
      <c r="E54" s="319" t="s">
        <v>1359</v>
      </c>
      <c r="F54" s="2339">
        <f>'数据-取费表'!B41</f>
        <v>5.5000000000000007E-2</v>
      </c>
      <c r="G54" s="2340"/>
      <c r="H54" s="2341"/>
      <c r="I54" s="1668"/>
      <c r="J54" s="2309">
        <v>3</v>
      </c>
      <c r="K54" s="3316" t="s">
        <v>1360</v>
      </c>
      <c r="L54" s="3316"/>
      <c r="M54" s="2311">
        <f t="shared" ca="1" si="0"/>
        <v>98</v>
      </c>
      <c r="N54" s="2309" t="str">
        <f t="shared" si="0"/>
        <v>增值额×税（费）率</v>
      </c>
      <c r="O54" s="2313" t="str">
        <f t="shared" si="0"/>
        <v>免征</v>
      </c>
    </row>
    <row r="55" spans="1:35" ht="24" customHeight="1">
      <c r="A55" s="3266" t="s">
        <v>1361</v>
      </c>
      <c r="B55" s="3267"/>
      <c r="C55" s="3267"/>
      <c r="D55" s="12">
        <f ca="1">IF(H55="个人住宅",0,ROUND(D45*I55,0))</f>
        <v>0</v>
      </c>
      <c r="E55" s="1255" t="s">
        <v>1362</v>
      </c>
      <c r="F55" s="2339" t="str">
        <f>IF(H55="正常",I55,"免征")</f>
        <v>免征</v>
      </c>
      <c r="G55" s="2340"/>
      <c r="H55" s="2336"/>
      <c r="I55" s="157">
        <f>'数据-取费表'!B49</f>
        <v>5.0000000000000001E-4</v>
      </c>
      <c r="J55" s="2309">
        <f>IF(H59="非个人房产","",4)</f>
        <v>4</v>
      </c>
      <c r="K55" s="3316" t="str">
        <f>IF(H59="非个人房产","——","个人所得税")</f>
        <v>个人所得税</v>
      </c>
      <c r="L55" s="3316"/>
      <c r="M55" s="2314">
        <f ca="1">D59</f>
        <v>2</v>
      </c>
      <c r="N55" s="1882" t="str">
        <f>E59</f>
        <v>差额计税</v>
      </c>
      <c r="O55" s="2315">
        <f>F59</f>
        <v>0.01</v>
      </c>
    </row>
    <row r="56" spans="1:35" ht="24.75">
      <c r="A56" s="3266" t="s">
        <v>1363</v>
      </c>
      <c r="B56" s="3267"/>
      <c r="C56" s="3267"/>
      <c r="D56" s="12">
        <f ca="1">IF(H56="个人住宅",D57,D58)</f>
        <v>98</v>
      </c>
      <c r="E56" s="1255" t="s">
        <v>1364</v>
      </c>
      <c r="F56" s="2339" t="str">
        <f>IF(H56="正常",F58,"免征")</f>
        <v>免征</v>
      </c>
      <c r="G56" s="2342" t="s">
        <v>1365</v>
      </c>
      <c r="H56" s="2343"/>
      <c r="I56" s="1669"/>
      <c r="J56" s="2309" t="str">
        <f>IF(项目基本情况!K6="上海银行",IF(J55="",4,J55+1),"")</f>
        <v/>
      </c>
      <c r="K56" s="3339" t="str">
        <f>IF(项目基本情况!K6="上海银行","其他处置费用","")</f>
        <v/>
      </c>
      <c r="L56" s="3340"/>
      <c r="M56" s="2311" t="str">
        <f>IF(项目基本情况!K6="上海银行",M69,"")</f>
        <v/>
      </c>
      <c r="N56" s="3339" t="str">
        <f>IF(项目基本情况!K6="上海银行","包含处置中涉及的律师、诉讼、拍卖、评估等费用","")</f>
        <v/>
      </c>
      <c r="O56" s="3342"/>
    </row>
    <row r="57" spans="1:35" ht="12.75">
      <c r="A57" s="2152" t="s">
        <v>1341</v>
      </c>
      <c r="B57" s="3277" t="s">
        <v>1366</v>
      </c>
      <c r="C57" s="3278"/>
      <c r="D57" s="1477">
        <v>0</v>
      </c>
      <c r="E57" s="316" t="s">
        <v>1343</v>
      </c>
      <c r="F57" s="294"/>
      <c r="G57" s="2340"/>
      <c r="H57" s="2344"/>
      <c r="I57" s="1669"/>
      <c r="J57" s="3316">
        <f>IF(AND(J55="",J56=""),4,IF(项目基本情况!K6="上海银行",结果表!J56+1,结果表!J55+1))</f>
        <v>5</v>
      </c>
      <c r="K57" s="3316" t="s">
        <v>1367</v>
      </c>
      <c r="L57" s="2316" t="s">
        <v>1368</v>
      </c>
      <c r="M57" s="2317"/>
      <c r="N57" s="2318">
        <f ca="1">SUMIF(M52:M56,"&lt;9e307")</f>
        <v>100</v>
      </c>
      <c r="O57" s="2319"/>
      <c r="P57" s="2464">
        <f ca="1">N57/M49</f>
        <v>0.5780346820809249</v>
      </c>
    </row>
    <row r="58" spans="1:35" ht="24.75">
      <c r="A58" s="2152" t="s">
        <v>1352</v>
      </c>
      <c r="B58" s="3277" t="s">
        <v>1369</v>
      </c>
      <c r="C58" s="3251"/>
      <c r="D58" s="12">
        <f ca="1">IF(H58="转让取得",C81,C97)</f>
        <v>98</v>
      </c>
      <c r="E58" s="1255" t="s">
        <v>1364</v>
      </c>
      <c r="F58" s="294" t="s">
        <v>28</v>
      </c>
      <c r="G58" s="2340"/>
      <c r="H58" s="2343"/>
      <c r="I58" s="1669"/>
      <c r="J58" s="3316"/>
      <c r="K58" s="3316"/>
      <c r="L58" s="2316" t="s">
        <v>1370</v>
      </c>
      <c r="M58" s="2320"/>
      <c r="N58" s="2321" t="str">
        <f ca="1">NUMBERSTRING(INT(N57*10000),2)&amp;"元整"</f>
        <v>壹佰万元整</v>
      </c>
      <c r="O58" s="2322"/>
    </row>
    <row r="59" spans="1:35" ht="24.75" thickBot="1">
      <c r="A59" s="3319" t="s">
        <v>1371</v>
      </c>
      <c r="B59" s="3320"/>
      <c r="C59" s="3320"/>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317">
        <f>J57+1</f>
        <v>6</v>
      </c>
      <c r="K59" s="3316" t="s">
        <v>1372</v>
      </c>
      <c r="L59" s="2309" t="s">
        <v>1368</v>
      </c>
      <c r="M59" s="2323"/>
      <c r="N59" s="2324">
        <f ca="1">M49-N57</f>
        <v>73</v>
      </c>
      <c r="O59" s="2325"/>
    </row>
    <row r="60" spans="1:35" ht="12" customHeight="1">
      <c r="A60" s="1670"/>
      <c r="B60" s="646"/>
      <c r="C60" s="646"/>
      <c r="D60" s="646"/>
      <c r="E60" s="1465"/>
      <c r="F60" s="1669"/>
      <c r="G60" s="1669"/>
      <c r="H60" s="151"/>
      <c r="I60" s="121"/>
      <c r="J60" s="3318"/>
      <c r="K60" s="3316"/>
      <c r="L60" s="2316" t="s">
        <v>1370</v>
      </c>
      <c r="M60" s="2320"/>
      <c r="N60" s="2321" t="str">
        <f ca="1">NUMBERSTRING(INT(N59*10000),2)&amp;"元整"</f>
        <v>柒拾叁万元整</v>
      </c>
      <c r="O60" s="2322"/>
    </row>
    <row r="61" spans="1:35" ht="13.5" thickBot="1">
      <c r="A61" s="3264" t="s">
        <v>1373</v>
      </c>
      <c r="B61" s="3264"/>
      <c r="C61" s="3264"/>
      <c r="D61" s="3264"/>
      <c r="E61" s="3264"/>
      <c r="F61" s="1669"/>
      <c r="G61" s="1669"/>
      <c r="H61" s="151"/>
      <c r="I61" s="121"/>
      <c r="J61" s="2309">
        <f>J59+1</f>
        <v>7</v>
      </c>
      <c r="K61" s="3316" t="s">
        <v>1374</v>
      </c>
      <c r="L61" s="3316"/>
      <c r="M61" s="2326"/>
      <c r="N61" s="2327">
        <f ca="1">ROUND(N59*10000/'数据-汇总表'!E3,0)</f>
        <v>5409</v>
      </c>
      <c r="O61" s="2328"/>
    </row>
    <row r="62" spans="1:35" ht="12.75">
      <c r="A62" s="3282" t="s">
        <v>1375</v>
      </c>
      <c r="B62" s="3283"/>
      <c r="C62" s="1864"/>
      <c r="D62" s="1864" t="s">
        <v>1376</v>
      </c>
      <c r="E62" s="158" t="s">
        <v>1377</v>
      </c>
      <c r="F62" s="1669"/>
      <c r="G62" s="1669"/>
      <c r="H62" s="151"/>
      <c r="I62" s="121"/>
    </row>
    <row r="63" spans="1:35" ht="12.75">
      <c r="A63" s="165" t="s">
        <v>330</v>
      </c>
      <c r="B63" s="159" t="s">
        <v>1378</v>
      </c>
      <c r="C63" s="2349">
        <f ca="1">ROUND((C64+C65)/(1+'数据-取费表'!C42),0)</f>
        <v>165</v>
      </c>
      <c r="D63" s="159"/>
      <c r="E63" s="160"/>
      <c r="F63" s="1669"/>
      <c r="G63" s="1669"/>
      <c r="H63" s="151"/>
      <c r="I63" s="121"/>
      <c r="J63" s="3341" t="s">
        <v>1379</v>
      </c>
      <c r="K63" s="1244" t="s">
        <v>1380</v>
      </c>
      <c r="L63" s="1244">
        <f ca="1">IF(M49&gt;10000,M49*0.5%,IF(AND(M49&gt;1000,M49&lt;=10000),M49*1%,IF(AND(M49&gt;100,M49&lt;=1000),M49*3%,IF(AND(M49&gt;10,M49&lt;=100),M49*5%,M49*8%))))</f>
        <v>5.1899999999999995</v>
      </c>
      <c r="M63" s="294">
        <f ca="1">ROUND(L63,1)</f>
        <v>5.2</v>
      </c>
      <c r="N63" s="2329"/>
      <c r="Z63" s="1622"/>
      <c r="AI63" s="1560"/>
    </row>
    <row r="64" spans="1:35" ht="14.25" customHeight="1">
      <c r="A64" s="161" t="s">
        <v>325</v>
      </c>
      <c r="B64" s="162" t="s">
        <v>1381</v>
      </c>
      <c r="C64" s="2350">
        <f ca="1">D45</f>
        <v>173</v>
      </c>
      <c r="D64" s="162" t="s">
        <v>26</v>
      </c>
      <c r="E64" s="164"/>
      <c r="F64" s="1669"/>
      <c r="G64" s="1669"/>
      <c r="H64" s="151"/>
      <c r="I64" s="121"/>
      <c r="J64" s="3341"/>
      <c r="K64" s="1244" t="s">
        <v>1382</v>
      </c>
      <c r="L64" s="1244">
        <f ca="1">IF(M49&gt;2000,M49*0.5%,IF(AND(M49&gt;1000,M49&lt;=2000),M49*0.6%,IF(AND(M49&gt;500,M49&lt;=1000),M49*0.7%,IF(AND(M49&gt;200,M49&lt;=500),M49*0.8%,IF(AND(M49&gt;100,M49&lt;=200),M49*0.9%,IF(AND(M49&gt;50,M49&lt;=100),M49*1%,IF(AND(M49&gt;20,M49&lt;=50),M49*1.5%,IF(AND(M49&gt;10,M49&lt;=20),M49*2%,IF(AND(M49&gt;1,M49&lt;=10),M49*2.5%)))))))))</f>
        <v>1.5570000000000002</v>
      </c>
      <c r="M64" s="294">
        <f t="shared" ref="M64:M65" ca="1" si="1">ROUND(L64,1)</f>
        <v>1.6</v>
      </c>
      <c r="N64" s="2330" t="s">
        <v>1383</v>
      </c>
      <c r="Z64" s="1622"/>
      <c r="AI64" s="1560"/>
    </row>
    <row r="65" spans="1:35" ht="14.25" customHeight="1">
      <c r="A65" s="161" t="s">
        <v>326</v>
      </c>
      <c r="B65" s="162" t="s">
        <v>1384</v>
      </c>
      <c r="C65" s="2351"/>
      <c r="D65" s="162"/>
      <c r="E65" s="164"/>
      <c r="F65" s="1669"/>
      <c r="G65" s="1669"/>
      <c r="H65" s="151"/>
      <c r="I65" s="121"/>
      <c r="J65" s="3341"/>
      <c r="K65" s="1244" t="s">
        <v>1385</v>
      </c>
      <c r="L65" s="1244">
        <f ca="1">IF(M49&gt;1000,M49*0.1%,IF(AND(M49&gt;500,M49&lt;=1000),M49*0.5%,IF(AND(M49&gt;50,M49&lt;=500),M49*1%,IF(AND(M49&gt;1,M49&lt;=50),M49*1.5%))))</f>
        <v>1.73</v>
      </c>
      <c r="M65" s="294">
        <f t="shared" ca="1" si="1"/>
        <v>1.7</v>
      </c>
      <c r="N65" s="2330" t="s">
        <v>1383</v>
      </c>
      <c r="Z65" s="1622"/>
      <c r="AI65" s="1560"/>
    </row>
    <row r="66" spans="1:35" ht="14.25" customHeight="1">
      <c r="A66" s="165" t="s">
        <v>327</v>
      </c>
      <c r="B66" s="166" t="s">
        <v>1386</v>
      </c>
      <c r="C66" s="2352"/>
      <c r="D66" s="166" t="s">
        <v>26</v>
      </c>
      <c r="E66" s="1250" t="s">
        <v>671</v>
      </c>
      <c r="F66" s="1669"/>
      <c r="G66" s="1669"/>
      <c r="H66" s="151"/>
      <c r="I66" s="121"/>
      <c r="J66" s="3341"/>
      <c r="K66" s="1244" t="s">
        <v>1387</v>
      </c>
      <c r="L66" s="1244">
        <f ca="1">M49*0.5%</f>
        <v>0.86499999999999999</v>
      </c>
      <c r="M66" s="294">
        <f ca="1">IF(L66&gt;0.5,0.5,ROUND(L66,0))</f>
        <v>0.5</v>
      </c>
      <c r="N66" s="2330" t="s">
        <v>1388</v>
      </c>
      <c r="Z66" s="1622"/>
      <c r="AI66" s="1560"/>
    </row>
    <row r="67" spans="1:35" ht="14.25" customHeight="1">
      <c r="A67" s="165" t="s">
        <v>328</v>
      </c>
      <c r="B67" s="166" t="s">
        <v>1389</v>
      </c>
      <c r="C67" s="2353">
        <f ca="1">C63-C66</f>
        <v>165</v>
      </c>
      <c r="D67" s="162" t="s">
        <v>26</v>
      </c>
      <c r="E67" s="164"/>
      <c r="F67" s="1669"/>
      <c r="G67" s="1669"/>
      <c r="H67" s="151"/>
      <c r="I67" s="121"/>
      <c r="J67" s="3341"/>
      <c r="K67" s="1244" t="s">
        <v>1390</v>
      </c>
      <c r="L67" s="1244">
        <f ca="1">IF(M49&gt;=10000,(8.25+(M49-10000)*0.01%),IF(AND(M49&gt;=8000,M49&lt;10000),(7.85+(M49-8000)*0.02%),IF(AND(M49&gt;=5000,M49&lt;8000),(6.65+(M49-5000)*0.04%),IF(AND(M49&gt;=2000,M49&lt;5000),(4.25+(PM49-2000)*0.08%),IF(AND(M49&gt;=1000,M49&lt;2000),(2.75+(M49-1000)*0.15%),IF(AND(M49&gt;=100,M49&lt;1000),(0.5+(M49-100)*0.25%),IF(AND(M49&gt;0,M49&lt;100),M49*0.5%)))))))</f>
        <v>0.6825</v>
      </c>
      <c r="M67" s="294">
        <f ca="1">ROUND(L67*0.9,1)</f>
        <v>0.6</v>
      </c>
      <c r="N67" s="2329"/>
      <c r="Z67" s="1622"/>
      <c r="AI67" s="1560"/>
    </row>
    <row r="68" spans="1:35" ht="14.25" customHeight="1" thickBot="1">
      <c r="A68" s="168" t="s">
        <v>329</v>
      </c>
      <c r="B68" s="169" t="s">
        <v>1391</v>
      </c>
      <c r="C68" s="2354">
        <f ca="1">IF(C67&lt;=0,0,ROUND(C67*D68,0))</f>
        <v>9</v>
      </c>
      <c r="D68" s="2355">
        <f>'数据-取费表'!B41</f>
        <v>5.5000000000000007E-2</v>
      </c>
      <c r="E68" s="170"/>
      <c r="F68" s="1669"/>
      <c r="G68" s="1669"/>
      <c r="H68" s="151"/>
      <c r="I68" s="121"/>
      <c r="J68" s="3341"/>
      <c r="K68" s="1244" t="s">
        <v>1392</v>
      </c>
      <c r="L68" s="1244">
        <f ca="1">IF(M49&gt;10000,M49*0.5%,IF(AND(M49&gt;5000,M49&lt;=10000),M49*1%,IF(AND(M49&gt;1000,M49&lt;=5000),M49*2%,IF(AND(M49&gt;200,M49&lt;=1000),M49*3%,M49*5%))))</f>
        <v>8.65</v>
      </c>
      <c r="M68" s="294">
        <f ca="1">ROUND(L68,1)</f>
        <v>8.6999999999999993</v>
      </c>
      <c r="N68" s="2329"/>
      <c r="Z68" s="1622"/>
      <c r="AI68" s="1560"/>
    </row>
    <row r="69" spans="1:35" ht="16.5" customHeight="1">
      <c r="A69" s="1671"/>
      <c r="B69" s="1672"/>
      <c r="C69" s="1673"/>
      <c r="D69" s="1674"/>
      <c r="E69" s="1675"/>
      <c r="F69" s="1465"/>
      <c r="G69" s="1465"/>
      <c r="H69" s="1466"/>
      <c r="I69" s="646"/>
      <c r="J69" s="3341"/>
      <c r="K69" s="1244" t="s">
        <v>1393</v>
      </c>
      <c r="L69" s="1244"/>
      <c r="M69" s="294">
        <f ca="1">ROUND(SUM(M63:M68),0)</f>
        <v>18</v>
      </c>
      <c r="N69" s="2331">
        <f ca="1">M69/M49</f>
        <v>0.10404624277456648</v>
      </c>
      <c r="Z69" s="1622"/>
      <c r="AI69" s="1560"/>
    </row>
    <row r="70" spans="1:35" s="642" customFormat="1" ht="15" thickBot="1">
      <c r="A70" s="3303" t="s">
        <v>1394</v>
      </c>
      <c r="B70" s="3304"/>
      <c r="C70" s="3304"/>
      <c r="D70" s="3304"/>
      <c r="E70" s="3304"/>
      <c r="F70" s="3304"/>
      <c r="G70" s="3304"/>
      <c r="H70" s="330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2" t="s">
        <v>1375</v>
      </c>
      <c r="B71" s="328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165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77" t="s">
        <v>1402</v>
      </c>
      <c r="F76" s="3251"/>
      <c r="G76" s="3251"/>
      <c r="H76" s="330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v>
      </c>
      <c r="D78" s="2362">
        <f>'数据-取费表'!B43</f>
        <v>5.000000000000001E-3</v>
      </c>
      <c r="E78" s="3261" t="s">
        <v>1406</v>
      </c>
      <c r="F78" s="3262"/>
      <c r="G78" s="3262"/>
      <c r="H78" s="327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164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98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3" t="s">
        <v>1410</v>
      </c>
      <c r="B83" s="3304"/>
      <c r="C83" s="3304"/>
      <c r="D83" s="3304"/>
      <c r="E83" s="3304"/>
      <c r="F83" s="3304"/>
      <c r="G83" s="3304"/>
      <c r="H83" s="330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2" t="s">
        <v>1375</v>
      </c>
      <c r="B84" s="328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165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43" t="s">
        <v>2128</v>
      </c>
      <c r="H90" s="3344"/>
      <c r="I90" s="1680"/>
      <c r="J90" s="2307"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61" t="s">
        <v>1419</v>
      </c>
      <c r="F91" s="3262"/>
      <c r="G91" s="326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61" t="s">
        <v>1422</v>
      </c>
      <c r="F92" s="3262"/>
      <c r="G92" s="3262"/>
      <c r="H92" s="3271"/>
      <c r="I92" s="1680"/>
      <c r="J92" s="2308"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v>
      </c>
      <c r="D93" s="2362">
        <f>'数据-取费表'!B43</f>
        <v>5.000000000000001E-3</v>
      </c>
      <c r="E93" s="3261" t="s">
        <v>1406</v>
      </c>
      <c r="F93" s="3262"/>
      <c r="G93" s="3262"/>
      <c r="H93" s="327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72" t="s">
        <v>1426</v>
      </c>
      <c r="F94" s="3273"/>
      <c r="G94" s="3273"/>
      <c r="H94" s="327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164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164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98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0" t="str">
        <f>C4</f>
        <v>比较法-办公</v>
      </c>
      <c r="D101" s="2371" t="str">
        <f>D4</f>
        <v>收益法 (元)</v>
      </c>
      <c r="E101" s="3338" t="s">
        <v>1431</v>
      </c>
      <c r="F101" s="3295"/>
      <c r="G101" s="1686" t="s">
        <v>1432</v>
      </c>
      <c r="H101" s="2380">
        <f ca="1">H118</f>
        <v>173</v>
      </c>
      <c r="I101" s="121"/>
    </row>
    <row r="102" spans="1:35" ht="18.75" customHeight="1">
      <c r="A102" s="3297" t="s">
        <v>1433</v>
      </c>
      <c r="B102" s="2369" t="s">
        <v>1432</v>
      </c>
      <c r="C102" s="2370">
        <f ca="1">IF(D32="楼面单价",ROUND(C19,0),C19)</f>
        <v>246</v>
      </c>
      <c r="D102" s="2371">
        <f ca="1">IF(D32="楼面单价",ROUND(D19,0),D19)</f>
        <v>124</v>
      </c>
      <c r="E102" s="3338"/>
      <c r="F102" s="3295"/>
      <c r="G102" s="1686" t="s">
        <v>1434</v>
      </c>
      <c r="H102" s="2340">
        <f ca="1">I118</f>
        <v>12798</v>
      </c>
      <c r="I102" s="121"/>
    </row>
    <row r="103" spans="1:35" ht="42.75" customHeight="1">
      <c r="A103" s="3297"/>
      <c r="B103" s="2369" t="s">
        <v>1434</v>
      </c>
      <c r="C103" s="2372">
        <f ca="1">C20</f>
        <v>18261</v>
      </c>
      <c r="D103" s="2373">
        <f ca="1">D20</f>
        <v>9156</v>
      </c>
      <c r="E103" s="3332" t="s">
        <v>1435</v>
      </c>
      <c r="F103" s="3333"/>
      <c r="G103" s="1687" t="s">
        <v>1436</v>
      </c>
      <c r="H103" s="2380">
        <f>IF(D36="正常操作",H104+H105+H106,H105+H106)</f>
        <v>0</v>
      </c>
      <c r="I103" s="121"/>
    </row>
    <row r="104" spans="1:35" ht="18.75" customHeight="1">
      <c r="A104" s="3297" t="s">
        <v>1437</v>
      </c>
      <c r="B104" s="2374" t="s">
        <v>1432</v>
      </c>
      <c r="C104" s="2375">
        <f ca="1">H118</f>
        <v>173</v>
      </c>
      <c r="D104" s="2376"/>
      <c r="E104" s="1554" t="s">
        <v>1438</v>
      </c>
      <c r="F104" s="1547"/>
      <c r="G104" s="1687" t="s">
        <v>1436</v>
      </c>
      <c r="H104" s="2381">
        <f>IF(D36="同一抵押权人同一抵押物续贷",C36&amp;"（续贷，未扣减，详见特别提示）",C36)</f>
        <v>0</v>
      </c>
      <c r="I104" s="121"/>
    </row>
    <row r="105" spans="1:35" ht="18.75" customHeight="1" thickBot="1">
      <c r="A105" s="3298"/>
      <c r="B105" s="2377" t="s">
        <v>1434</v>
      </c>
      <c r="C105" s="2378">
        <f ca="1">I118</f>
        <v>12798</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94" t="str">
        <f>IF(项目基本情况!E8="已注销","——","3.房地产抵押价值")</f>
        <v>3.房地产抵押价值</v>
      </c>
      <c r="F107" s="3295"/>
      <c r="G107" s="1686" t="s">
        <v>1432</v>
      </c>
      <c r="H107" s="2380">
        <f ca="1">IF(E107="——","——",H101-H103)</f>
        <v>173</v>
      </c>
      <c r="I107" s="121"/>
    </row>
    <row r="108" spans="1:35" ht="18.75" customHeight="1">
      <c r="A108" s="121"/>
      <c r="B108" s="121"/>
      <c r="C108" s="121"/>
      <c r="D108" s="121"/>
      <c r="E108" s="3294"/>
      <c r="F108" s="3295"/>
      <c r="G108" s="1686" t="s">
        <v>1434</v>
      </c>
      <c r="H108" s="2340">
        <f ca="1">IF(H107=H101,H102,ROUND(H107*10000/'数据-汇总表'!E3,0))</f>
        <v>12798</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6" t="s">
        <v>1432</v>
      </c>
      <c r="H109" s="2383" t="str">
        <f>IF(E109="——","——",H101-H105-H106)</f>
        <v>——</v>
      </c>
      <c r="I109" s="121"/>
    </row>
    <row r="110" spans="1:35" ht="18.75" customHeight="1">
      <c r="A110" s="121"/>
      <c r="B110" s="121"/>
      <c r="C110" s="121"/>
      <c r="D110" s="121"/>
      <c r="E110" s="3294"/>
      <c r="F110" s="3295"/>
      <c r="G110" s="1686" t="s">
        <v>1434</v>
      </c>
      <c r="H110" s="2340"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6" t="s">
        <v>1432</v>
      </c>
      <c r="H111" s="2380" t="str">
        <f>IF(E111="——","——",N59)</f>
        <v>——</v>
      </c>
      <c r="I111" s="121"/>
    </row>
    <row r="112" spans="1:35" ht="18.75" customHeight="1" thickBot="1">
      <c r="A112" s="121"/>
      <c r="B112" s="121"/>
      <c r="C112" s="121"/>
      <c r="D112" s="121"/>
      <c r="E112" s="3327"/>
      <c r="F112" s="3328"/>
      <c r="G112" s="1689" t="s">
        <v>1434</v>
      </c>
      <c r="H112" s="2384"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0"/>
      <c r="F114" s="1670"/>
      <c r="G114" s="1670"/>
      <c r="H114" s="1670"/>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49" t="s">
        <v>1449</v>
      </c>
      <c r="E117" s="2149" t="s">
        <v>1450</v>
      </c>
      <c r="F117" s="2149" t="s">
        <v>1449</v>
      </c>
      <c r="G117" s="2149" t="s">
        <v>1451</v>
      </c>
      <c r="H117" s="2149" t="s">
        <v>1449</v>
      </c>
      <c r="I117" s="2149" t="s">
        <v>1451</v>
      </c>
    </row>
    <row r="118" spans="1:27" ht="24.75" customHeight="1">
      <c r="A118" s="2385" t="str">
        <f>项目基本情况!S2</f>
        <v>房地产</v>
      </c>
      <c r="B118" s="2149">
        <f>M18</f>
        <v>134.96</v>
      </c>
      <c r="C118" s="2149">
        <f>M19</f>
        <v>0</v>
      </c>
      <c r="D118" s="2149">
        <f ca="1">ROUND(IF(D32="总价",C34,E118*B118/10000),0)</f>
        <v>59</v>
      </c>
      <c r="E118" s="2149">
        <f ca="1">ROUND(IF(C33="自定义",IF(D32="楼面单价",C34,D118*10000/B118),I118-G118),0)</f>
        <v>4364</v>
      </c>
      <c r="F118" s="2149">
        <f ca="1">ROUND(IF(D32="总价",C35,G118*B118/10000),0)</f>
        <v>114</v>
      </c>
      <c r="G118" s="2149">
        <f ca="1">ROUND(IF(D32="楼面单价",C35,F118*10000/B118),0)</f>
        <v>8434</v>
      </c>
      <c r="H118" s="2149">
        <f ca="1">ROUND(IF(D32="总价",C32,I118*B118/10000),0)</f>
        <v>173</v>
      </c>
      <c r="I118" s="2149">
        <f ca="1">ROUND(IF(D32="楼面单价",C32,H118*10000/B118),0)</f>
        <v>12798</v>
      </c>
    </row>
    <row r="119" spans="1:27" ht="18.75" customHeight="1">
      <c r="A119" s="3265" t="s">
        <v>1452</v>
      </c>
      <c r="B119" s="3265"/>
      <c r="C119" s="3265"/>
      <c r="D119" s="3305" t="str">
        <f ca="1">NUMBERSTRING(INT(D118*10000),2)&amp;"元整"</f>
        <v>伍拾玖万元整</v>
      </c>
      <c r="E119" s="3307"/>
      <c r="F119" s="3305" t="str">
        <f ca="1">NUMBERSTRING(INT(F118*10000),2)&amp;"元整"</f>
        <v>壹佰壹拾肆万元整</v>
      </c>
      <c r="G119" s="3307"/>
      <c r="H119" s="3305" t="str">
        <f ca="1">NUMBERSTRING(INT(H118*10000),2)&amp;"元整"</f>
        <v>壹佰柒拾叁万元整</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f ca="1">H107</f>
        <v>173</v>
      </c>
      <c r="E122" s="3330"/>
      <c r="F122" s="3330"/>
      <c r="G122" s="3330"/>
      <c r="H122" s="3330"/>
      <c r="I122" s="3331"/>
      <c r="AA122" s="684"/>
    </row>
    <row r="123" spans="1:27" ht="18.75" customHeight="1">
      <c r="A123" s="3265" t="s">
        <v>1452</v>
      </c>
      <c r="B123" s="3265"/>
      <c r="C123" s="3265"/>
      <c r="D123" s="3305" t="str">
        <f ca="1">NUMBERSTRING(INT(D122*10000),2)&amp;"元整"</f>
        <v>壹佰柒拾叁万元整</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64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4742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1069"/>
      <c r="I9" s="1715"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134.96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134.96</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54</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134.96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45" t="s">
        <v>1544</v>
      </c>
    </row>
    <row r="43" spans="1:7" ht="13.5" customHeight="1">
      <c r="A43" s="734" t="s">
        <v>347</v>
      </c>
      <c r="B43" s="207" t="s">
        <v>1545</v>
      </c>
      <c r="C43" s="230">
        <f ca="1">ROUND(IF('数据-取费表'!B22&lt;=1,C39*F22*'数据-取费表'!B21/2,C39*(POWER((1+F22),'数据-取费表'!B21/2)-1)),0)</f>
        <v>0</v>
      </c>
      <c r="D43" s="230"/>
      <c r="E43" s="230"/>
      <c r="F43" s="231"/>
      <c r="G43" s="3346"/>
    </row>
    <row r="44" spans="1:7" ht="13.5" customHeight="1">
      <c r="A44" s="734" t="s">
        <v>348</v>
      </c>
      <c r="B44" s="207" t="s">
        <v>1546</v>
      </c>
      <c r="C44" s="230">
        <f ca="1">ROUND(IF('数据-取费表'!B22&lt;=1,C40*F22*'数据-取费表'!B21/2,C40*(POWER((1+F22),'数据-取费表'!B21/2)-1)),4)</f>
        <v>5.9999999999999995E-4</v>
      </c>
      <c r="D44" s="230"/>
      <c r="E44" s="230"/>
      <c r="F44" s="231"/>
      <c r="G44" s="3347"/>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61</v>
      </c>
      <c r="D51" s="224"/>
      <c r="E51" s="224"/>
      <c r="F51" s="256"/>
      <c r="G51" s="226" t="s">
        <v>1560</v>
      </c>
    </row>
    <row r="52" spans="1:7" s="200" customFormat="1" ht="16.5" thickBot="1">
      <c r="A52" s="257" t="s">
        <v>1561</v>
      </c>
      <c r="B52" s="258"/>
      <c r="C52" s="259">
        <f ca="1">C31+C51</f>
        <v>64</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房地产抵押价值预评估</v>
      </c>
      <c r="C37" s="3163"/>
      <c r="D37" s="3163"/>
      <c r="E37" s="3163"/>
      <c r="F37" s="3163"/>
      <c r="G37" s="3163"/>
      <c r="H37" s="3163"/>
      <c r="I37" s="3163"/>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郑燚（注册号：1120070131)、（注册号：0)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-222</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134.96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134.96</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134.96</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zoomScale="80" zoomScaleNormal="70" zoomScaleSheetLayoutView="80" workbookViewId="0">
      <selection activeCell="G3" sqref="G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v>1302</v>
      </c>
      <c r="E1" s="3131" t="s">
        <v>3416</v>
      </c>
      <c r="F1" s="1734" t="s">
        <v>3417</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246.45050000000001</v>
      </c>
      <c r="C2" s="1736" t="s">
        <v>43</v>
      </c>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18261</v>
      </c>
      <c r="C3" s="344" t="s">
        <v>1768</v>
      </c>
      <c r="D3" s="343">
        <f>IF(D1="",'数据-汇总表'!E3,SUMIF('数据-汇总表'!$C19:$C33,D1,'数据-汇总表'!$E19:$E33))</f>
        <v>134.96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370" t="s">
        <v>1775</v>
      </c>
      <c r="Q4" s="3371"/>
      <c r="R4" s="3376" t="s">
        <v>1771</v>
      </c>
      <c r="S4" s="3377"/>
      <c r="T4" s="3376" t="s">
        <v>1772</v>
      </c>
      <c r="U4" s="3377"/>
      <c r="V4" s="3382" t="s">
        <v>1773</v>
      </c>
      <c r="W4" s="3382"/>
      <c r="X4" s="1808"/>
      <c r="Y4" s="3376" t="s">
        <v>1775</v>
      </c>
      <c r="Z4" s="3377"/>
      <c r="AA4" s="3394" t="s">
        <v>1771</v>
      </c>
      <c r="AB4" s="3394" t="s">
        <v>1772</v>
      </c>
      <c r="AC4" s="3363" t="s">
        <v>1773</v>
      </c>
    </row>
    <row r="5" spans="1:29" ht="15">
      <c r="A5" s="348"/>
      <c r="B5" s="349"/>
      <c r="C5" s="3391" t="s">
        <v>1673</v>
      </c>
      <c r="D5" s="3386"/>
      <c r="E5" s="3397" t="s">
        <v>3418</v>
      </c>
      <c r="F5" s="3398"/>
      <c r="G5" s="3385" t="s">
        <v>3418</v>
      </c>
      <c r="H5" s="3386"/>
      <c r="I5" s="3385" t="s">
        <v>3425</v>
      </c>
      <c r="J5" s="3386"/>
      <c r="K5" s="537"/>
      <c r="L5" s="2486"/>
      <c r="M5" s="2487"/>
      <c r="N5" s="2487"/>
      <c r="O5" s="2487"/>
      <c r="P5" s="3372"/>
      <c r="Q5" s="3373"/>
      <c r="R5" s="3378"/>
      <c r="S5" s="3379"/>
      <c r="T5" s="3378"/>
      <c r="U5" s="3379"/>
      <c r="V5" s="3350"/>
      <c r="W5" s="3350"/>
      <c r="X5" s="1264"/>
      <c r="Y5" s="3378"/>
      <c r="Z5" s="3379"/>
      <c r="AA5" s="3395"/>
      <c r="AB5" s="3395"/>
      <c r="AC5" s="3364"/>
    </row>
    <row r="6" spans="1:29" ht="15.75" thickBot="1">
      <c r="A6" s="350"/>
      <c r="B6" s="351"/>
      <c r="C6" s="3383" t="s">
        <v>1677</v>
      </c>
      <c r="D6" s="3384"/>
      <c r="E6" s="3392" t="s">
        <v>1677</v>
      </c>
      <c r="F6" s="3393"/>
      <c r="G6" s="3383" t="s">
        <v>1677</v>
      </c>
      <c r="H6" s="3384"/>
      <c r="I6" s="3383" t="s">
        <v>1677</v>
      </c>
      <c r="J6" s="3384"/>
      <c r="K6" s="537" t="s">
        <v>1678</v>
      </c>
      <c r="L6" s="2486"/>
      <c r="M6" s="2487"/>
      <c r="N6" s="2487"/>
      <c r="O6" s="2487"/>
      <c r="P6" s="3374"/>
      <c r="Q6" s="3375"/>
      <c r="R6" s="3378"/>
      <c r="S6" s="3379"/>
      <c r="T6" s="3380"/>
      <c r="U6" s="3381"/>
      <c r="V6" s="3350"/>
      <c r="W6" s="3350"/>
      <c r="X6" s="1264"/>
      <c r="Y6" s="3380"/>
      <c r="Z6" s="3381"/>
      <c r="AA6" s="3396"/>
      <c r="AB6" s="3396"/>
      <c r="AC6" s="3365"/>
    </row>
    <row r="7" spans="1:29" s="102" customFormat="1" ht="15.75" thickBot="1">
      <c r="A7" s="352" t="s">
        <v>1679</v>
      </c>
      <c r="B7" s="353"/>
      <c r="C7" s="354">
        <f>'数据-取费表'!B2</f>
        <v>45833</v>
      </c>
      <c r="D7" s="355">
        <v>100</v>
      </c>
      <c r="E7" s="356">
        <f>C7</f>
        <v>45833</v>
      </c>
      <c r="F7" s="357">
        <f>SUMIF(59:59,YEAR(E7)&amp;"-"&amp;MONTH(E7),60:60)</f>
        <v>100</v>
      </c>
      <c r="G7" s="356">
        <f>C7</f>
        <v>45833</v>
      </c>
      <c r="H7" s="355">
        <f>SUMIF(59:59,YEAR(G7)&amp;"-"&amp;MONTH(G7),60:60)</f>
        <v>100</v>
      </c>
      <c r="I7" s="356">
        <f>C7</f>
        <v>45833</v>
      </c>
      <c r="J7" s="355">
        <f>SUMIF(59:59,YEAR(I7)&amp;"-"&amp;MONTH(I7),60:60)</f>
        <v>100</v>
      </c>
      <c r="K7" s="38"/>
      <c r="L7" s="2488"/>
      <c r="M7" s="2439"/>
      <c r="N7" s="2439"/>
      <c r="O7" s="2439"/>
      <c r="P7" s="3387" t="s">
        <v>1680</v>
      </c>
      <c r="Q7" s="3390"/>
      <c r="R7" s="664" t="s">
        <v>14</v>
      </c>
      <c r="S7" s="665">
        <f t="shared" ref="S7:S15" si="0">F7</f>
        <v>100</v>
      </c>
      <c r="T7" s="664" t="s">
        <v>14</v>
      </c>
      <c r="U7" s="665">
        <f t="shared" ref="U7:U15" si="1">H7</f>
        <v>100</v>
      </c>
      <c r="V7" s="664" t="s">
        <v>14</v>
      </c>
      <c r="W7" s="665">
        <f t="shared" ref="W7:W15" si="2">J7</f>
        <v>100</v>
      </c>
      <c r="X7" s="666"/>
      <c r="Y7" s="3389" t="s">
        <v>1680</v>
      </c>
      <c r="Z7" s="3388"/>
      <c r="AA7" s="50">
        <f>D7/F7</f>
        <v>1</v>
      </c>
      <c r="AB7" s="50">
        <f>D7/H7</f>
        <v>1</v>
      </c>
      <c r="AC7" s="802">
        <f>D7/J7</f>
        <v>1</v>
      </c>
    </row>
    <row r="8" spans="1:29" s="102" customFormat="1" ht="15.75" thickBot="1">
      <c r="A8" s="352" t="s">
        <v>1681</v>
      </c>
      <c r="B8" s="353"/>
      <c r="C8" s="358" t="s">
        <v>3419</v>
      </c>
      <c r="D8" s="355">
        <v>100</v>
      </c>
      <c r="E8" s="358" t="s">
        <v>3420</v>
      </c>
      <c r="F8" s="357">
        <f>SUMIF(62:62,E8,63:63)-SUMIF(62:62,C8,63:63)+100</f>
        <v>105</v>
      </c>
      <c r="G8" s="358" t="s">
        <v>3420</v>
      </c>
      <c r="H8" s="355">
        <f>SUMIF(62:62,G8,63:63)-SUMIF(62:62,C8,63:63)+100</f>
        <v>105</v>
      </c>
      <c r="I8" s="358" t="s">
        <v>3420</v>
      </c>
      <c r="J8" s="355">
        <f>SUMIF(62:62,I8,63:63)-SUMIF(62:62,C8,63:63)+100</f>
        <v>105</v>
      </c>
      <c r="K8" s="38"/>
      <c r="L8" s="2488"/>
      <c r="M8" s="2439"/>
      <c r="N8" s="2439"/>
      <c r="O8" s="2439"/>
      <c r="P8" s="3387" t="s">
        <v>1683</v>
      </c>
      <c r="Q8" s="3388"/>
      <c r="R8" s="664" t="s">
        <v>14</v>
      </c>
      <c r="S8" s="665">
        <f t="shared" si="0"/>
        <v>105</v>
      </c>
      <c r="T8" s="664" t="s">
        <v>14</v>
      </c>
      <c r="U8" s="665">
        <f t="shared" si="1"/>
        <v>105</v>
      </c>
      <c r="V8" s="664" t="s">
        <v>14</v>
      </c>
      <c r="W8" s="665">
        <f t="shared" si="2"/>
        <v>105</v>
      </c>
      <c r="X8" s="666"/>
      <c r="Y8" s="3389" t="s">
        <v>1683</v>
      </c>
      <c r="Z8" s="3388"/>
      <c r="AA8" s="50">
        <f t="shared" ref="AA8:AA47" si="3">D8/F8</f>
        <v>0.95238095238095233</v>
      </c>
      <c r="AB8" s="50">
        <f t="shared" ref="AB8:AB47" si="4">D8/H8</f>
        <v>0.95238095238095233</v>
      </c>
      <c r="AC8" s="802">
        <f t="shared" ref="AC8:AC47" si="5">D8/J8</f>
        <v>0.95238095238095233</v>
      </c>
    </row>
    <row r="9" spans="1:29" s="102" customFormat="1" ht="15">
      <c r="A9" s="359" t="s">
        <v>1684</v>
      </c>
      <c r="B9" s="60" t="s">
        <v>1685</v>
      </c>
      <c r="C9" s="3155" t="s">
        <v>3423</v>
      </c>
      <c r="D9" s="59">
        <v>100</v>
      </c>
      <c r="E9" s="362" t="s">
        <v>3422</v>
      </c>
      <c r="F9" s="59">
        <f>SUMIF(64:64,E9,65:65)-SUMIF(64:64,C9,65:65)+100</f>
        <v>100</v>
      </c>
      <c r="G9" s="361" t="s">
        <v>3422</v>
      </c>
      <c r="H9" s="59">
        <f>SUMIF(64:64,G9,65:65)-SUMIF(64:64,C9,65:65)+100</f>
        <v>100</v>
      </c>
      <c r="I9" s="361" t="s">
        <v>21</v>
      </c>
      <c r="J9" s="59">
        <f>SUMIF(64:64,I9,65:65)-SUMIF(64:64,C9,65:65)+100</f>
        <v>105</v>
      </c>
      <c r="K9" s="38"/>
      <c r="L9" s="2488"/>
      <c r="M9" s="2439"/>
      <c r="N9" s="2439"/>
      <c r="O9" s="2439"/>
      <c r="P9" s="3348" t="s">
        <v>1686</v>
      </c>
      <c r="Q9" s="530" t="str">
        <f t="shared" ref="Q9:Q15" si="6">B9</f>
        <v>用途</v>
      </c>
      <c r="R9" s="664" t="s">
        <v>14</v>
      </c>
      <c r="S9" s="665">
        <f t="shared" si="0"/>
        <v>100</v>
      </c>
      <c r="T9" s="664" t="s">
        <v>14</v>
      </c>
      <c r="U9" s="665">
        <f t="shared" si="1"/>
        <v>100</v>
      </c>
      <c r="V9" s="664" t="s">
        <v>14</v>
      </c>
      <c r="W9" s="665">
        <f t="shared" si="2"/>
        <v>105</v>
      </c>
      <c r="X9" s="666"/>
      <c r="Y9" s="3252" t="s">
        <v>1687</v>
      </c>
      <c r="Z9" s="50" t="str">
        <f t="shared" ref="Z9:Z15" si="7">Q9</f>
        <v>用途</v>
      </c>
      <c r="AA9" s="50">
        <f t="shared" si="3"/>
        <v>1</v>
      </c>
      <c r="AB9" s="50">
        <f t="shared" si="4"/>
        <v>1</v>
      </c>
      <c r="AC9" s="802">
        <f t="shared" si="5"/>
        <v>0.95238095238095233</v>
      </c>
    </row>
    <row r="10" spans="1:29" s="366" customFormat="1" ht="27">
      <c r="A10" s="363"/>
      <c r="B10" s="364" t="s">
        <v>1688</v>
      </c>
      <c r="C10" s="3132" t="s">
        <v>3427</v>
      </c>
      <c r="D10" s="119">
        <v>100</v>
      </c>
      <c r="E10" s="3132" t="s">
        <v>3432</v>
      </c>
      <c r="F10" s="119">
        <f>SUMIF(66:66,E10,67:67)-SUMIF(66:66,C10,67:67)+100</f>
        <v>104</v>
      </c>
      <c r="G10" s="3133" t="s">
        <v>3432</v>
      </c>
      <c r="H10" s="119">
        <f>SUMIF(66:66,G10,67:67)-SUMIF(66:66,C10,67:67)+100</f>
        <v>104</v>
      </c>
      <c r="I10" s="3132" t="s">
        <v>3432</v>
      </c>
      <c r="J10" s="119">
        <f>SUMIF(66:66,I10,67:67)-SUMIF(66:66,C10,67:67)+100</f>
        <v>104</v>
      </c>
      <c r="K10" s="38"/>
      <c r="L10" s="2489"/>
      <c r="M10" s="2490"/>
      <c r="N10" s="2490"/>
      <c r="O10" s="2490"/>
      <c r="P10" s="3348"/>
      <c r="Q10" s="530" t="str">
        <f t="shared" si="6"/>
        <v>土地使用年限（年）</v>
      </c>
      <c r="R10" s="664" t="s">
        <v>14</v>
      </c>
      <c r="S10" s="665">
        <f t="shared" si="0"/>
        <v>104</v>
      </c>
      <c r="T10" s="664" t="s">
        <v>14</v>
      </c>
      <c r="U10" s="665">
        <f t="shared" si="1"/>
        <v>104</v>
      </c>
      <c r="V10" s="664" t="s">
        <v>14</v>
      </c>
      <c r="W10" s="665">
        <f t="shared" si="2"/>
        <v>104</v>
      </c>
      <c r="X10" s="666"/>
      <c r="Y10" s="3252"/>
      <c r="Z10" s="50" t="str">
        <f t="shared" si="7"/>
        <v>土地使用年限（年）</v>
      </c>
      <c r="AA10" s="50">
        <f t="shared" si="3"/>
        <v>0.96153846153846156</v>
      </c>
      <c r="AB10" s="50">
        <f t="shared" si="4"/>
        <v>0.96153846153846156</v>
      </c>
      <c r="AC10" s="802">
        <f t="shared" si="5"/>
        <v>0.96153846153846156</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48"/>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4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4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4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354" t="s">
        <v>1691</v>
      </c>
      <c r="Q15" s="1262" t="str">
        <f t="shared" si="6"/>
        <v>办公集聚程度</v>
      </c>
      <c r="R15" s="667" t="s">
        <v>14</v>
      </c>
      <c r="S15" s="668">
        <f t="shared" si="0"/>
        <v>100</v>
      </c>
      <c r="T15" s="667" t="s">
        <v>14</v>
      </c>
      <c r="U15" s="668">
        <f t="shared" si="1"/>
        <v>100</v>
      </c>
      <c r="V15" s="667" t="s">
        <v>14</v>
      </c>
      <c r="W15" s="668">
        <f t="shared" si="2"/>
        <v>100</v>
      </c>
      <c r="X15" s="1264"/>
      <c r="Y15" s="3356" t="s">
        <v>1691</v>
      </c>
      <c r="Z15" s="1263" t="str">
        <f t="shared" si="7"/>
        <v>办公集聚程度</v>
      </c>
      <c r="AA15" s="1263">
        <f t="shared" si="3"/>
        <v>1</v>
      </c>
      <c r="AB15" s="1263">
        <f t="shared" si="4"/>
        <v>1</v>
      </c>
      <c r="AC15" s="1811">
        <f t="shared" si="5"/>
        <v>1</v>
      </c>
    </row>
    <row r="16" spans="1:29" ht="15">
      <c r="A16" s="367"/>
      <c r="B16" s="555"/>
      <c r="C16" s="1757" t="s">
        <v>3433</v>
      </c>
      <c r="D16" s="387"/>
      <c r="E16" s="386" t="s">
        <v>3433</v>
      </c>
      <c r="F16" s="387"/>
      <c r="G16" s="386" t="s">
        <v>3433</v>
      </c>
      <c r="H16" s="389"/>
      <c r="I16" s="386" t="s">
        <v>3433</v>
      </c>
      <c r="J16" s="387"/>
      <c r="K16" s="541"/>
      <c r="L16" s="2492"/>
      <c r="M16" s="2487"/>
      <c r="N16" s="2487"/>
      <c r="O16" s="2487"/>
      <c r="P16" s="3355"/>
      <c r="Q16" s="1262"/>
      <c r="R16" s="667"/>
      <c r="S16" s="668"/>
      <c r="T16" s="667"/>
      <c r="U16" s="668"/>
      <c r="V16" s="667"/>
      <c r="W16" s="668"/>
      <c r="X16" s="1264"/>
      <c r="Y16" s="3357"/>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55"/>
      <c r="Q17" s="1262" t="str">
        <f>B17</f>
        <v>交通便捷度</v>
      </c>
      <c r="R17" s="667" t="s">
        <v>14</v>
      </c>
      <c r="S17" s="668">
        <f>F17</f>
        <v>100</v>
      </c>
      <c r="T17" s="667" t="s">
        <v>14</v>
      </c>
      <c r="U17" s="668">
        <f>H17</f>
        <v>100</v>
      </c>
      <c r="V17" s="667" t="s">
        <v>14</v>
      </c>
      <c r="W17" s="668">
        <f>J17</f>
        <v>100</v>
      </c>
      <c r="X17" s="1264"/>
      <c r="Y17" s="3357"/>
      <c r="Z17" s="1263" t="str">
        <f>Q17</f>
        <v>交通便捷度</v>
      </c>
      <c r="AA17" s="1263">
        <f t="shared" si="3"/>
        <v>1</v>
      </c>
      <c r="AB17" s="1263">
        <f t="shared" si="4"/>
        <v>1</v>
      </c>
      <c r="AC17" s="1811">
        <f t="shared" si="5"/>
        <v>1</v>
      </c>
    </row>
    <row r="18" spans="1:29" ht="15">
      <c r="A18" s="367"/>
      <c r="B18" s="401"/>
      <c r="C18" s="1813" t="s">
        <v>3433</v>
      </c>
      <c r="D18" s="389"/>
      <c r="E18" s="1813" t="s">
        <v>3433</v>
      </c>
      <c r="F18" s="389"/>
      <c r="G18" s="1813" t="s">
        <v>3433</v>
      </c>
      <c r="H18" s="387"/>
      <c r="I18" s="1813" t="s">
        <v>3433</v>
      </c>
      <c r="J18" s="387"/>
      <c r="K18" s="541"/>
      <c r="L18" s="2492"/>
      <c r="M18" s="2487"/>
      <c r="N18" s="2487"/>
      <c r="O18" s="2487"/>
      <c r="P18" s="3355"/>
      <c r="Q18" s="1262"/>
      <c r="R18" s="667"/>
      <c r="S18" s="668"/>
      <c r="T18" s="667"/>
      <c r="U18" s="668"/>
      <c r="V18" s="667"/>
      <c r="W18" s="668"/>
      <c r="X18" s="1264"/>
      <c r="Y18" s="3357"/>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55"/>
      <c r="Q19" s="1262" t="str">
        <f>B19</f>
        <v>公共配套设施</v>
      </c>
      <c r="R19" s="667" t="s">
        <v>14</v>
      </c>
      <c r="S19" s="668">
        <f>F19</f>
        <v>100</v>
      </c>
      <c r="T19" s="667" t="s">
        <v>14</v>
      </c>
      <c r="U19" s="668">
        <f>H19</f>
        <v>100</v>
      </c>
      <c r="V19" s="667" t="s">
        <v>14</v>
      </c>
      <c r="W19" s="668">
        <f>J19</f>
        <v>100</v>
      </c>
      <c r="X19" s="1264"/>
      <c r="Y19" s="3357"/>
      <c r="Z19" s="1263" t="str">
        <f>Q19</f>
        <v>公共配套设施</v>
      </c>
      <c r="AA19" s="1263">
        <f t="shared" si="3"/>
        <v>1</v>
      </c>
      <c r="AB19" s="1263">
        <f t="shared" si="4"/>
        <v>1</v>
      </c>
      <c r="AC19" s="1811">
        <f t="shared" si="5"/>
        <v>1</v>
      </c>
    </row>
    <row r="20" spans="1:29" ht="15">
      <c r="A20" s="367"/>
      <c r="B20" s="401"/>
      <c r="C20" s="1757" t="s">
        <v>3434</v>
      </c>
      <c r="D20" s="387"/>
      <c r="E20" s="1757" t="s">
        <v>3434</v>
      </c>
      <c r="F20" s="387"/>
      <c r="G20" s="1757" t="s">
        <v>3434</v>
      </c>
      <c r="H20" s="387"/>
      <c r="I20" s="1757" t="s">
        <v>3434</v>
      </c>
      <c r="J20" s="387"/>
      <c r="K20" s="541"/>
      <c r="L20" s="2492"/>
      <c r="M20" s="2487"/>
      <c r="N20" s="2487"/>
      <c r="O20" s="2487"/>
      <c r="P20" s="3355"/>
      <c r="Q20" s="1262"/>
      <c r="R20" s="667"/>
      <c r="S20" s="668"/>
      <c r="T20" s="667"/>
      <c r="U20" s="668"/>
      <c r="V20" s="667"/>
      <c r="W20" s="668"/>
      <c r="X20" s="1264"/>
      <c r="Y20" s="3357"/>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355"/>
      <c r="Q21" s="1262" t="str">
        <f>B21</f>
        <v>基础设施水平</v>
      </c>
      <c r="R21" s="667" t="s">
        <v>14</v>
      </c>
      <c r="S21" s="668">
        <f>F21</f>
        <v>100</v>
      </c>
      <c r="T21" s="667" t="s">
        <v>14</v>
      </c>
      <c r="U21" s="668">
        <f>H21</f>
        <v>100</v>
      </c>
      <c r="V21" s="667" t="s">
        <v>14</v>
      </c>
      <c r="W21" s="668">
        <f>J21</f>
        <v>100</v>
      </c>
      <c r="X21" s="1264"/>
      <c r="Y21" s="3357"/>
      <c r="Z21" s="1263" t="str">
        <f>Q21</f>
        <v>基础设施水平</v>
      </c>
      <c r="AA21" s="1263">
        <f t="shared" ref="AA21" si="8">D21/F21</f>
        <v>1</v>
      </c>
      <c r="AB21" s="1263">
        <f t="shared" ref="AB21" si="9">D21/H21</f>
        <v>1</v>
      </c>
      <c r="AC21" s="1811">
        <f t="shared" ref="AC21" si="10">D21/J21</f>
        <v>1</v>
      </c>
    </row>
    <row r="22" spans="1:29" ht="15">
      <c r="A22" s="367"/>
      <c r="B22" s="557"/>
      <c r="C22" s="1813" t="s">
        <v>3435</v>
      </c>
      <c r="D22" s="387"/>
      <c r="E22" s="1813" t="s">
        <v>3435</v>
      </c>
      <c r="F22" s="387"/>
      <c r="G22" s="1813" t="s">
        <v>3435</v>
      </c>
      <c r="H22" s="387"/>
      <c r="I22" s="1813" t="s">
        <v>3435</v>
      </c>
      <c r="J22" s="387"/>
      <c r="K22" s="1063"/>
      <c r="L22" s="2492"/>
      <c r="M22" s="2487"/>
      <c r="N22" s="2487"/>
      <c r="O22" s="2487"/>
      <c r="P22" s="3355"/>
      <c r="Q22" s="1262"/>
      <c r="R22" s="667"/>
      <c r="S22" s="668"/>
      <c r="T22" s="667"/>
      <c r="U22" s="668"/>
      <c r="V22" s="667"/>
      <c r="W22" s="668"/>
      <c r="X22" s="1264"/>
      <c r="Y22" s="3357"/>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55"/>
      <c r="Q23" s="1262" t="str">
        <f>B23</f>
        <v>环境质量</v>
      </c>
      <c r="R23" s="667" t="s">
        <v>14</v>
      </c>
      <c r="S23" s="668">
        <f>F23</f>
        <v>100</v>
      </c>
      <c r="T23" s="667" t="s">
        <v>14</v>
      </c>
      <c r="U23" s="668">
        <f>H23</f>
        <v>100</v>
      </c>
      <c r="V23" s="667" t="s">
        <v>14</v>
      </c>
      <c r="W23" s="668">
        <f>J23</f>
        <v>100</v>
      </c>
      <c r="X23" s="1264"/>
      <c r="Y23" s="3357"/>
      <c r="Z23" s="1263" t="str">
        <f>Q23</f>
        <v>环境质量</v>
      </c>
      <c r="AA23" s="1263">
        <f t="shared" si="3"/>
        <v>1</v>
      </c>
      <c r="AB23" s="1263">
        <f t="shared" si="4"/>
        <v>1</v>
      </c>
      <c r="AC23" s="1811">
        <f t="shared" si="5"/>
        <v>1</v>
      </c>
    </row>
    <row r="24" spans="1:29" ht="15">
      <c r="A24" s="367"/>
      <c r="B24" s="557"/>
      <c r="C24" s="1757" t="s">
        <v>3433</v>
      </c>
      <c r="D24" s="387"/>
      <c r="E24" s="1757" t="s">
        <v>3433</v>
      </c>
      <c r="F24" s="387"/>
      <c r="G24" s="1757" t="s">
        <v>3433</v>
      </c>
      <c r="H24" s="387"/>
      <c r="I24" s="1757" t="s">
        <v>3433</v>
      </c>
      <c r="J24" s="387"/>
      <c r="K24" s="541"/>
      <c r="L24" s="2492"/>
      <c r="M24" s="2487"/>
      <c r="N24" s="2487"/>
      <c r="O24" s="2487"/>
      <c r="P24" s="3355"/>
      <c r="Q24" s="1262"/>
      <c r="R24" s="667"/>
      <c r="S24" s="668"/>
      <c r="T24" s="667"/>
      <c r="U24" s="668"/>
      <c r="V24" s="667"/>
      <c r="W24" s="668"/>
      <c r="X24" s="1264"/>
      <c r="Y24" s="3357"/>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101</v>
      </c>
      <c r="K25" s="540">
        <v>1</v>
      </c>
      <c r="L25" s="2492"/>
      <c r="M25" s="2487"/>
      <c r="N25" s="2487"/>
      <c r="O25" s="2487"/>
      <c r="P25" s="3355"/>
      <c r="Q25" s="1262" t="str">
        <f>B25</f>
        <v>毗邻道路的类型与等级</v>
      </c>
      <c r="R25" s="667" t="s">
        <v>14</v>
      </c>
      <c r="S25" s="668">
        <f>F25</f>
        <v>100</v>
      </c>
      <c r="T25" s="667" t="s">
        <v>14</v>
      </c>
      <c r="U25" s="668">
        <f>H25</f>
        <v>100</v>
      </c>
      <c r="V25" s="667" t="s">
        <v>14</v>
      </c>
      <c r="W25" s="668">
        <f>J25</f>
        <v>101</v>
      </c>
      <c r="X25" s="1264"/>
      <c r="Y25" s="3357"/>
      <c r="Z25" s="1263" t="str">
        <f>Q25</f>
        <v>毗邻道路的类型与等级</v>
      </c>
      <c r="AA25" s="1263">
        <f t="shared" si="3"/>
        <v>1</v>
      </c>
      <c r="AB25" s="1263">
        <f t="shared" si="4"/>
        <v>1</v>
      </c>
      <c r="AC25" s="1811">
        <f t="shared" si="5"/>
        <v>0.99009900990099009</v>
      </c>
    </row>
    <row r="26" spans="1:29" ht="15">
      <c r="A26" s="348"/>
      <c r="B26" s="401"/>
      <c r="C26" s="558" t="s">
        <v>3454</v>
      </c>
      <c r="D26" s="374"/>
      <c r="E26" s="542" t="s">
        <v>3454</v>
      </c>
      <c r="F26" s="374"/>
      <c r="G26" s="558" t="s">
        <v>3454</v>
      </c>
      <c r="H26" s="374"/>
      <c r="I26" s="542" t="s">
        <v>3452</v>
      </c>
      <c r="J26" s="374"/>
      <c r="K26" s="541"/>
      <c r="L26" s="2492"/>
      <c r="M26" s="2487"/>
      <c r="N26" s="2487"/>
      <c r="O26" s="2487"/>
      <c r="P26" s="3355"/>
      <c r="Q26" s="1262"/>
      <c r="R26" s="667"/>
      <c r="S26" s="668"/>
      <c r="T26" s="667"/>
      <c r="U26" s="668"/>
      <c r="V26" s="667"/>
      <c r="W26" s="668"/>
      <c r="X26" s="1264"/>
      <c r="Y26" s="3357"/>
      <c r="Z26" s="1263"/>
      <c r="AA26" s="1263">
        <v>1</v>
      </c>
      <c r="AB26" s="1263">
        <v>1</v>
      </c>
      <c r="AC26" s="1811">
        <v>1</v>
      </c>
    </row>
    <row r="27" spans="1:29" ht="15">
      <c r="A27" s="367"/>
      <c r="B27" s="401" t="s">
        <v>1783</v>
      </c>
      <c r="C27" s="558" t="s">
        <v>3446</v>
      </c>
      <c r="D27" s="374">
        <v>100</v>
      </c>
      <c r="E27" s="542" t="s">
        <v>3446</v>
      </c>
      <c r="F27" s="374">
        <f>SUMIF(89:89,E27,90:90)-SUMIF(89:89,C27,90:90)+100</f>
        <v>100</v>
      </c>
      <c r="G27" s="558" t="s">
        <v>3450</v>
      </c>
      <c r="H27" s="374">
        <f>SUMIF(89:89,G27,90:90)-SUMIF(89:89,C27,90:90)+100</f>
        <v>94</v>
      </c>
      <c r="I27" s="542" t="s">
        <v>3450</v>
      </c>
      <c r="J27" s="374">
        <f>SUMIF(89:89,I27,90:90)-SUMIF(89:89,C27,90:90)+100</f>
        <v>94</v>
      </c>
      <c r="K27" s="538">
        <v>3</v>
      </c>
      <c r="L27" s="2492"/>
      <c r="M27" s="2487"/>
      <c r="N27" s="2487"/>
      <c r="O27" s="2487"/>
      <c r="P27" s="3355"/>
      <c r="Q27" s="1262" t="str">
        <f t="shared" ref="Q27:Q47" si="11">B27</f>
        <v>楼层</v>
      </c>
      <c r="R27" s="667" t="s">
        <v>14</v>
      </c>
      <c r="S27" s="668">
        <f>F27</f>
        <v>100</v>
      </c>
      <c r="T27" s="667" t="s">
        <v>14</v>
      </c>
      <c r="U27" s="668">
        <f>H27</f>
        <v>94</v>
      </c>
      <c r="V27" s="667" t="s">
        <v>14</v>
      </c>
      <c r="W27" s="668">
        <f>J27</f>
        <v>94</v>
      </c>
      <c r="X27" s="1264"/>
      <c r="Y27" s="3357"/>
      <c r="Z27" s="1263" t="str">
        <f>Q27</f>
        <v>楼层</v>
      </c>
      <c r="AA27" s="1263">
        <f t="shared" si="3"/>
        <v>1</v>
      </c>
      <c r="AB27" s="1263">
        <f t="shared" si="4"/>
        <v>1.0638297872340425</v>
      </c>
      <c r="AC27" s="1811">
        <f t="shared" si="5"/>
        <v>1.0638297872340425</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55"/>
      <c r="Q28" s="530" t="str">
        <f t="shared" si="11"/>
        <v>朝向</v>
      </c>
      <c r="R28" s="664" t="s">
        <v>14</v>
      </c>
      <c r="S28" s="665">
        <f>F28</f>
        <v>100</v>
      </c>
      <c r="T28" s="664" t="s">
        <v>14</v>
      </c>
      <c r="U28" s="665">
        <f>H28</f>
        <v>100</v>
      </c>
      <c r="V28" s="664" t="s">
        <v>14</v>
      </c>
      <c r="W28" s="665">
        <f>J28</f>
        <v>100</v>
      </c>
      <c r="X28" s="666"/>
      <c r="Y28" s="335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55"/>
      <c r="Q29" s="1262">
        <f t="shared" si="11"/>
        <v>111</v>
      </c>
      <c r="R29" s="667" t="s">
        <v>14</v>
      </c>
      <c r="S29" s="668">
        <f t="shared" ref="S29:S47" si="12">F29</f>
        <v>100</v>
      </c>
      <c r="T29" s="667" t="s">
        <v>14</v>
      </c>
      <c r="U29" s="668">
        <f t="shared" ref="U29:U47" si="13">H29</f>
        <v>100</v>
      </c>
      <c r="V29" s="667" t="s">
        <v>14</v>
      </c>
      <c r="W29" s="668">
        <f t="shared" ref="W29:W47" si="14">J29</f>
        <v>100</v>
      </c>
      <c r="X29" s="1264"/>
      <c r="Y29" s="335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55"/>
      <c r="Q30" s="1262">
        <f t="shared" si="11"/>
        <v>111</v>
      </c>
      <c r="R30" s="667" t="s">
        <v>14</v>
      </c>
      <c r="S30" s="668">
        <f t="shared" si="12"/>
        <v>100</v>
      </c>
      <c r="T30" s="667" t="s">
        <v>14</v>
      </c>
      <c r="U30" s="668">
        <f t="shared" si="13"/>
        <v>100</v>
      </c>
      <c r="V30" s="667" t="s">
        <v>14</v>
      </c>
      <c r="W30" s="668">
        <f t="shared" si="14"/>
        <v>100</v>
      </c>
      <c r="X30" s="1264"/>
      <c r="Y30" s="335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55"/>
      <c r="Q31" s="1262">
        <f t="shared" si="11"/>
        <v>111</v>
      </c>
      <c r="R31" s="667" t="s">
        <v>14</v>
      </c>
      <c r="S31" s="668">
        <f t="shared" si="12"/>
        <v>100</v>
      </c>
      <c r="T31" s="667" t="s">
        <v>14</v>
      </c>
      <c r="U31" s="668">
        <f t="shared" si="13"/>
        <v>100</v>
      </c>
      <c r="V31" s="667" t="s">
        <v>14</v>
      </c>
      <c r="W31" s="668">
        <f t="shared" si="14"/>
        <v>100</v>
      </c>
      <c r="X31" s="1264"/>
      <c r="Y31" s="3357"/>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55"/>
      <c r="Q32" s="1262">
        <f t="shared" si="11"/>
        <v>111</v>
      </c>
      <c r="R32" s="667" t="s">
        <v>14</v>
      </c>
      <c r="S32" s="668">
        <f t="shared" si="12"/>
        <v>100</v>
      </c>
      <c r="T32" s="667" t="s">
        <v>14</v>
      </c>
      <c r="U32" s="668">
        <f t="shared" si="13"/>
        <v>100</v>
      </c>
      <c r="V32" s="667" t="s">
        <v>14</v>
      </c>
      <c r="W32" s="668">
        <f t="shared" si="14"/>
        <v>100</v>
      </c>
      <c r="X32" s="1264"/>
      <c r="Y32" s="3357"/>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58" t="s">
        <v>1696</v>
      </c>
      <c r="Q33" s="1262" t="str">
        <f t="shared" si="11"/>
        <v>建筑类型</v>
      </c>
      <c r="R33" s="667" t="s">
        <v>14</v>
      </c>
      <c r="S33" s="668">
        <f t="shared" si="12"/>
        <v>100</v>
      </c>
      <c r="T33" s="667" t="s">
        <v>14</v>
      </c>
      <c r="U33" s="668">
        <f t="shared" si="13"/>
        <v>100</v>
      </c>
      <c r="V33" s="667" t="s">
        <v>14</v>
      </c>
      <c r="W33" s="668">
        <f t="shared" si="14"/>
        <v>100</v>
      </c>
      <c r="X33" s="1264"/>
      <c r="Y33" s="3361" t="s">
        <v>1696</v>
      </c>
      <c r="Z33" s="1263" t="str">
        <f t="shared" si="15"/>
        <v>建筑类型</v>
      </c>
      <c r="AA33" s="1263">
        <f t="shared" si="3"/>
        <v>1</v>
      </c>
      <c r="AB33" s="1263">
        <f t="shared" si="4"/>
        <v>1</v>
      </c>
      <c r="AC33" s="1811">
        <f t="shared" si="5"/>
        <v>1</v>
      </c>
    </row>
    <row r="34" spans="1:29" s="408" customFormat="1" ht="15">
      <c r="A34" s="406"/>
      <c r="B34" s="364" t="s">
        <v>1697</v>
      </c>
      <c r="C34" s="407">
        <f>'数据-基础表'!I13</f>
        <v>134.96</v>
      </c>
      <c r="D34" s="119">
        <v>100</v>
      </c>
      <c r="E34" s="369">
        <v>1380.21</v>
      </c>
      <c r="F34" s="364">
        <f>LOOKUP(E34,104:104,105:105)-LOOKUP(C34,104:104,105:105)+100</f>
        <v>97</v>
      </c>
      <c r="G34" s="368">
        <v>497</v>
      </c>
      <c r="H34" s="119">
        <f>LOOKUP(G34,104:104,105:105)-LOOKUP(C34,104:104,105:105)+100</f>
        <v>99</v>
      </c>
      <c r="I34" s="368">
        <v>655</v>
      </c>
      <c r="J34" s="119">
        <f>LOOKUP(I34,104:104,105:105)-LOOKUP(C34,104:104,105:105)+100</f>
        <v>98</v>
      </c>
      <c r="K34" s="539"/>
      <c r="L34" s="2491"/>
      <c r="M34" s="2493"/>
      <c r="N34" s="2493"/>
      <c r="O34" s="2493"/>
      <c r="P34" s="3359"/>
      <c r="Q34" s="531" t="str">
        <f t="shared" si="11"/>
        <v>项目建筑规模</v>
      </c>
      <c r="R34" s="669" t="s">
        <v>14</v>
      </c>
      <c r="S34" s="670">
        <f t="shared" si="12"/>
        <v>97</v>
      </c>
      <c r="T34" s="669" t="s">
        <v>14</v>
      </c>
      <c r="U34" s="670">
        <f t="shared" si="13"/>
        <v>99</v>
      </c>
      <c r="V34" s="669" t="s">
        <v>14</v>
      </c>
      <c r="W34" s="670">
        <f t="shared" si="14"/>
        <v>98</v>
      </c>
      <c r="X34" s="671"/>
      <c r="Y34" s="3361"/>
      <c r="Z34" s="672" t="str">
        <f t="shared" si="15"/>
        <v>项目建筑规模</v>
      </c>
      <c r="AA34" s="1263">
        <f t="shared" si="3"/>
        <v>1.0309278350515463</v>
      </c>
      <c r="AB34" s="1263">
        <f t="shared" si="4"/>
        <v>1.0101010101010102</v>
      </c>
      <c r="AC34" s="1811">
        <f t="shared" si="5"/>
        <v>1.0204081632653061</v>
      </c>
    </row>
    <row r="35" spans="1:29" ht="15">
      <c r="A35" s="409"/>
      <c r="B35" s="364" t="s">
        <v>1698</v>
      </c>
      <c r="C35" s="399" t="s">
        <v>3409</v>
      </c>
      <c r="D35" s="374">
        <v>100</v>
      </c>
      <c r="E35" s="399" t="s">
        <v>3409</v>
      </c>
      <c r="F35" s="400">
        <f>SUMIF(106:106,E35,107:107)-SUMIF(106:106,C35,107:107)+100</f>
        <v>100</v>
      </c>
      <c r="G35" s="399" t="s">
        <v>3409</v>
      </c>
      <c r="H35" s="374">
        <f>SUMIF(106:106,G35,107:107)-SUMIF(106:106,C35,107:107)+100</f>
        <v>100</v>
      </c>
      <c r="I35" s="399" t="s">
        <v>3409</v>
      </c>
      <c r="J35" s="374">
        <f>SUMIF(106:106,I35,107:107)-SUMIF(106:106,C35,107:107)+100</f>
        <v>100</v>
      </c>
      <c r="K35" s="538">
        <v>2</v>
      </c>
      <c r="L35" s="2492"/>
      <c r="M35" s="2487"/>
      <c r="N35" s="2487"/>
      <c r="O35" s="2487"/>
      <c r="P35" s="3359"/>
      <c r="Q35" s="1262" t="str">
        <f t="shared" si="11"/>
        <v>建筑结构</v>
      </c>
      <c r="R35" s="667" t="s">
        <v>14</v>
      </c>
      <c r="S35" s="668">
        <f t="shared" si="12"/>
        <v>100</v>
      </c>
      <c r="T35" s="667" t="s">
        <v>14</v>
      </c>
      <c r="U35" s="668">
        <f t="shared" si="13"/>
        <v>100</v>
      </c>
      <c r="V35" s="667" t="s">
        <v>14</v>
      </c>
      <c r="W35" s="668">
        <f t="shared" si="14"/>
        <v>100</v>
      </c>
      <c r="X35" s="1264"/>
      <c r="Y35" s="3361"/>
      <c r="Z35" s="1263" t="str">
        <f t="shared" si="15"/>
        <v>建筑结构</v>
      </c>
      <c r="AA35" s="1263">
        <f t="shared" si="3"/>
        <v>1</v>
      </c>
      <c r="AB35" s="1263">
        <f t="shared" si="4"/>
        <v>1</v>
      </c>
      <c r="AC35" s="1811">
        <f t="shared" si="5"/>
        <v>1</v>
      </c>
    </row>
    <row r="36" spans="1:29" ht="15">
      <c r="A36" s="409"/>
      <c r="B36" s="364" t="s">
        <v>1785</v>
      </c>
      <c r="C36" s="399" t="s">
        <v>3437</v>
      </c>
      <c r="D36" s="374">
        <v>100</v>
      </c>
      <c r="E36" s="399" t="s">
        <v>3437</v>
      </c>
      <c r="F36" s="400">
        <f>SUMIF(108:108,E36,109:109)-SUMIF(108:108,C36,109:109)+100</f>
        <v>100</v>
      </c>
      <c r="G36" s="399" t="s">
        <v>3437</v>
      </c>
      <c r="H36" s="374">
        <f>SUMIF(108:108,G36,109:109)-SUMIF(108:108,C36,109:109)+100</f>
        <v>100</v>
      </c>
      <c r="I36" s="399" t="s">
        <v>3437</v>
      </c>
      <c r="J36" s="374">
        <f>SUMIF(108:108,I36,109:109)-SUMIF(108:108,C36,109:109)+100</f>
        <v>100</v>
      </c>
      <c r="K36" s="538">
        <v>2</v>
      </c>
      <c r="L36" s="2492"/>
      <c r="M36" s="2487"/>
      <c r="N36" s="2487"/>
      <c r="O36" s="2487"/>
      <c r="P36" s="3359"/>
      <c r="Q36" s="1262" t="str">
        <f t="shared" si="11"/>
        <v>公共部分装修</v>
      </c>
      <c r="R36" s="667" t="s">
        <v>14</v>
      </c>
      <c r="S36" s="668">
        <f t="shared" si="12"/>
        <v>100</v>
      </c>
      <c r="T36" s="667" t="s">
        <v>14</v>
      </c>
      <c r="U36" s="668">
        <f t="shared" si="13"/>
        <v>100</v>
      </c>
      <c r="V36" s="667" t="s">
        <v>14</v>
      </c>
      <c r="W36" s="668">
        <f t="shared" si="14"/>
        <v>100</v>
      </c>
      <c r="X36" s="1264"/>
      <c r="Y36" s="3361"/>
      <c r="Z36" s="1263" t="str">
        <f t="shared" si="15"/>
        <v>公共部分装修</v>
      </c>
      <c r="AA36" s="1263">
        <f t="shared" si="3"/>
        <v>1</v>
      </c>
      <c r="AB36" s="1263">
        <f t="shared" si="4"/>
        <v>1</v>
      </c>
      <c r="AC36" s="1811">
        <f t="shared" si="5"/>
        <v>1</v>
      </c>
    </row>
    <row r="37" spans="1:29" ht="15">
      <c r="A37" s="409"/>
      <c r="B37" s="364" t="s">
        <v>1786</v>
      </c>
      <c r="C37" s="411">
        <v>0.8</v>
      </c>
      <c r="D37" s="374">
        <v>100</v>
      </c>
      <c r="E37" s="411">
        <v>0.9</v>
      </c>
      <c r="F37" s="400">
        <f>LOOKUP(E37,111:111,112:112)-LOOKUP(C37,111:111,112:112)+100</f>
        <v>101</v>
      </c>
      <c r="G37" s="411">
        <v>0.9</v>
      </c>
      <c r="H37" s="400">
        <f>LOOKUP(G37,111:111,112:112)-LOOKUP(C37,111:111,112:112)+100</f>
        <v>101</v>
      </c>
      <c r="I37" s="411">
        <v>0.9</v>
      </c>
      <c r="J37" s="374">
        <f>LOOKUP(I37,111:111,112:112)-LOOKUP(C37,111:111,112:112)+100</f>
        <v>101</v>
      </c>
      <c r="K37" s="538">
        <v>1</v>
      </c>
      <c r="L37" s="2492"/>
      <c r="M37" s="2487"/>
      <c r="N37" s="2487"/>
      <c r="O37" s="2487"/>
      <c r="P37" s="3359"/>
      <c r="Q37" s="1262" t="str">
        <f t="shared" si="11"/>
        <v>成新度</v>
      </c>
      <c r="R37" s="667" t="s">
        <v>14</v>
      </c>
      <c r="S37" s="668">
        <f t="shared" si="12"/>
        <v>101</v>
      </c>
      <c r="T37" s="667" t="s">
        <v>14</v>
      </c>
      <c r="U37" s="668">
        <f t="shared" si="13"/>
        <v>101</v>
      </c>
      <c r="V37" s="667" t="s">
        <v>14</v>
      </c>
      <c r="W37" s="668">
        <f t="shared" si="14"/>
        <v>101</v>
      </c>
      <c r="X37" s="1264"/>
      <c r="Y37" s="3361"/>
      <c r="Z37" s="1263" t="str">
        <f t="shared" si="15"/>
        <v>成新度</v>
      </c>
      <c r="AA37" s="1263">
        <f t="shared" si="3"/>
        <v>0.99009900990099009</v>
      </c>
      <c r="AB37" s="1263">
        <f t="shared" si="4"/>
        <v>0.99009900990099009</v>
      </c>
      <c r="AC37" s="1811">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59"/>
      <c r="Q38" s="530" t="str">
        <f t="shared" si="11"/>
        <v>写字楼等级</v>
      </c>
      <c r="R38" s="664" t="s">
        <v>14</v>
      </c>
      <c r="S38" s="665">
        <f t="shared" si="12"/>
        <v>100</v>
      </c>
      <c r="T38" s="664" t="s">
        <v>14</v>
      </c>
      <c r="U38" s="665">
        <f t="shared" si="13"/>
        <v>100</v>
      </c>
      <c r="V38" s="664" t="s">
        <v>14</v>
      </c>
      <c r="W38" s="665">
        <f t="shared" si="14"/>
        <v>100</v>
      </c>
      <c r="X38" s="666"/>
      <c r="Y38" s="336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59" t="s">
        <v>1696</v>
      </c>
      <c r="Q39" s="1262" t="str">
        <f t="shared" si="11"/>
        <v>物业管理</v>
      </c>
      <c r="R39" s="667" t="s">
        <v>14</v>
      </c>
      <c r="S39" s="668">
        <f t="shared" si="12"/>
        <v>100</v>
      </c>
      <c r="T39" s="667" t="s">
        <v>14</v>
      </c>
      <c r="U39" s="668">
        <f t="shared" si="13"/>
        <v>100</v>
      </c>
      <c r="V39" s="667" t="s">
        <v>14</v>
      </c>
      <c r="W39" s="668">
        <f t="shared" si="14"/>
        <v>100</v>
      </c>
      <c r="X39" s="1264"/>
      <c r="Y39" s="336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59"/>
      <c r="Q40" s="1262" t="str">
        <f t="shared" si="11"/>
        <v>市政基础设施</v>
      </c>
      <c r="R40" s="667" t="s">
        <v>14</v>
      </c>
      <c r="S40" s="668">
        <f t="shared" si="12"/>
        <v>100</v>
      </c>
      <c r="T40" s="667" t="s">
        <v>14</v>
      </c>
      <c r="U40" s="668">
        <f t="shared" si="13"/>
        <v>100</v>
      </c>
      <c r="V40" s="667" t="s">
        <v>14</v>
      </c>
      <c r="W40" s="668">
        <f t="shared" si="14"/>
        <v>100</v>
      </c>
      <c r="X40" s="1264"/>
      <c r="Y40" s="336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59"/>
      <c r="Q41" s="1262" t="str">
        <f t="shared" si="11"/>
        <v>层高</v>
      </c>
      <c r="R41" s="667" t="s">
        <v>14</v>
      </c>
      <c r="S41" s="668">
        <f t="shared" si="12"/>
        <v>100</v>
      </c>
      <c r="T41" s="667" t="s">
        <v>14</v>
      </c>
      <c r="U41" s="668">
        <f t="shared" si="13"/>
        <v>100</v>
      </c>
      <c r="V41" s="667" t="s">
        <v>14</v>
      </c>
      <c r="W41" s="668">
        <f t="shared" si="14"/>
        <v>100</v>
      </c>
      <c r="X41" s="1264"/>
      <c r="Y41" s="336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59"/>
      <c r="Q42" s="531" t="str">
        <f t="shared" si="11"/>
        <v>单套建筑面积</v>
      </c>
      <c r="R42" s="669" t="s">
        <v>14</v>
      </c>
      <c r="S42" s="670">
        <f t="shared" si="12"/>
        <v>100</v>
      </c>
      <c r="T42" s="669" t="s">
        <v>14</v>
      </c>
      <c r="U42" s="670">
        <f t="shared" si="13"/>
        <v>100</v>
      </c>
      <c r="V42" s="669" t="s">
        <v>14</v>
      </c>
      <c r="W42" s="670">
        <f t="shared" si="14"/>
        <v>100</v>
      </c>
      <c r="X42" s="671"/>
      <c r="Y42" s="3361"/>
      <c r="Z42" s="672" t="str">
        <f t="shared" si="15"/>
        <v>单套建筑面积</v>
      </c>
      <c r="AA42" s="1263">
        <f t="shared" si="3"/>
        <v>1</v>
      </c>
      <c r="AB42" s="1263">
        <f t="shared" si="4"/>
        <v>1</v>
      </c>
      <c r="AC42" s="1811">
        <f t="shared" si="5"/>
        <v>1</v>
      </c>
    </row>
    <row r="43" spans="1:29" ht="15">
      <c r="A43" s="409"/>
      <c r="B43" s="364" t="s">
        <v>1792</v>
      </c>
      <c r="C43" s="399" t="s">
        <v>3440</v>
      </c>
      <c r="D43" s="374">
        <v>100</v>
      </c>
      <c r="E43" s="399" t="s">
        <v>3442</v>
      </c>
      <c r="F43" s="400">
        <f>SUMIF(123:123,E43,124:124)-SUMIF(123:123,C43,124:124)+100</f>
        <v>98</v>
      </c>
      <c r="G43" s="399" t="s">
        <v>3442</v>
      </c>
      <c r="H43" s="374">
        <f>SUMIF(123:123,G43,124:124)-SUMIF(123:123,C43,124:124)+100</f>
        <v>98</v>
      </c>
      <c r="I43" s="399" t="s">
        <v>3440</v>
      </c>
      <c r="J43" s="374">
        <f>SUMIF(123:123,I43,124:124)-SUMIF(123:123,C43,124:124)+100</f>
        <v>100</v>
      </c>
      <c r="K43" s="538">
        <v>2</v>
      </c>
      <c r="L43" s="2492"/>
      <c r="M43" s="2487"/>
      <c r="N43" s="2487"/>
      <c r="O43" s="2487"/>
      <c r="P43" s="3359"/>
      <c r="Q43" s="1262" t="str">
        <f t="shared" si="11"/>
        <v>内部装修</v>
      </c>
      <c r="R43" s="667" t="s">
        <v>14</v>
      </c>
      <c r="S43" s="668">
        <f t="shared" si="12"/>
        <v>98</v>
      </c>
      <c r="T43" s="667" t="s">
        <v>14</v>
      </c>
      <c r="U43" s="668">
        <f t="shared" si="13"/>
        <v>98</v>
      </c>
      <c r="V43" s="667" t="s">
        <v>14</v>
      </c>
      <c r="W43" s="668">
        <f t="shared" si="14"/>
        <v>100</v>
      </c>
      <c r="X43" s="1264"/>
      <c r="Y43" s="3361"/>
      <c r="Z43" s="1263" t="str">
        <f t="shared" si="15"/>
        <v>内部装修</v>
      </c>
      <c r="AA43" s="1263">
        <f t="shared" si="3"/>
        <v>1.0204081632653061</v>
      </c>
      <c r="AB43" s="1263">
        <f t="shared" si="4"/>
        <v>1.0204081632653061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v>2</v>
      </c>
      <c r="L44" s="2492"/>
      <c r="M44" s="2487"/>
      <c r="N44" s="2487"/>
      <c r="O44" s="2487"/>
      <c r="P44" s="3359"/>
      <c r="Q44" s="1262" t="str">
        <f t="shared" si="11"/>
        <v>内部装修维护情况</v>
      </c>
      <c r="R44" s="667" t="s">
        <v>14</v>
      </c>
      <c r="S44" s="668">
        <f t="shared" si="12"/>
        <v>100</v>
      </c>
      <c r="T44" s="667" t="s">
        <v>14</v>
      </c>
      <c r="U44" s="668">
        <f t="shared" si="13"/>
        <v>100</v>
      </c>
      <c r="V44" s="667" t="s">
        <v>14</v>
      </c>
      <c r="W44" s="668">
        <f t="shared" si="14"/>
        <v>100</v>
      </c>
      <c r="X44" s="1264"/>
      <c r="Y44" s="3361"/>
      <c r="Z44" s="1263" t="str">
        <f t="shared" si="15"/>
        <v>内部装修维护情况</v>
      </c>
      <c r="AA44" s="1263">
        <f t="shared" si="3"/>
        <v>1</v>
      </c>
      <c r="AB44" s="1263">
        <f t="shared" si="4"/>
        <v>1</v>
      </c>
      <c r="AC44" s="1811">
        <f t="shared" si="5"/>
        <v>1</v>
      </c>
    </row>
    <row r="45" spans="1:29" s="102" customFormat="1" ht="15">
      <c r="A45" s="410"/>
      <c r="B45" s="3160" t="s">
        <v>3479</v>
      </c>
      <c r="C45" s="3161" t="s">
        <v>3483</v>
      </c>
      <c r="D45" s="119">
        <v>100</v>
      </c>
      <c r="E45" s="3162" t="s">
        <v>3481</v>
      </c>
      <c r="F45" s="364">
        <f>SUMIF(127:127,E45,128:128)-SUMIF(127:127,C45,128:128)+100</f>
        <v>105</v>
      </c>
      <c r="G45" s="3162" t="s">
        <v>3481</v>
      </c>
      <c r="H45" s="119">
        <f>SUMIF(127:127,G45,128:128)-SUMIF(127:127,C45,128:128)+100</f>
        <v>105</v>
      </c>
      <c r="I45" s="3162" t="s">
        <v>3481</v>
      </c>
      <c r="J45" s="119">
        <f>SUMIF(127:127,I45,128:128)-SUMIF(127:127,C45,128:128)+100</f>
        <v>105</v>
      </c>
      <c r="K45" s="539"/>
      <c r="L45" s="2488"/>
      <c r="M45" s="2439"/>
      <c r="N45" s="2439"/>
      <c r="O45" s="2439"/>
      <c r="P45" s="3359"/>
      <c r="Q45" s="530" t="str">
        <f t="shared" si="11"/>
        <v>现状</v>
      </c>
      <c r="R45" s="664" t="s">
        <v>14</v>
      </c>
      <c r="S45" s="665">
        <f t="shared" si="12"/>
        <v>105</v>
      </c>
      <c r="T45" s="664" t="s">
        <v>14</v>
      </c>
      <c r="U45" s="665">
        <f t="shared" si="13"/>
        <v>105</v>
      </c>
      <c r="V45" s="664" t="s">
        <v>14</v>
      </c>
      <c r="W45" s="665">
        <f t="shared" si="14"/>
        <v>105</v>
      </c>
      <c r="X45" s="666"/>
      <c r="Y45" s="3361"/>
      <c r="Z45" s="50" t="str">
        <f t="shared" si="15"/>
        <v>现状</v>
      </c>
      <c r="AA45" s="50">
        <f t="shared" si="3"/>
        <v>0.95238095238095233</v>
      </c>
      <c r="AB45" s="50">
        <f t="shared" si="4"/>
        <v>0.95238095238095233</v>
      </c>
      <c r="AC45" s="802">
        <f t="shared" si="5"/>
        <v>0.95238095238095233</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59"/>
      <c r="Q46" s="1262">
        <f t="shared" si="11"/>
        <v>111</v>
      </c>
      <c r="R46" s="667" t="s">
        <v>14</v>
      </c>
      <c r="S46" s="668">
        <f t="shared" si="12"/>
        <v>100</v>
      </c>
      <c r="T46" s="667" t="s">
        <v>14</v>
      </c>
      <c r="U46" s="668">
        <f t="shared" si="13"/>
        <v>100</v>
      </c>
      <c r="V46" s="667" t="s">
        <v>14</v>
      </c>
      <c r="W46" s="668">
        <f t="shared" si="14"/>
        <v>100</v>
      </c>
      <c r="X46" s="1264"/>
      <c r="Y46" s="3361"/>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60"/>
      <c r="Q47" s="1262">
        <f t="shared" si="11"/>
        <v>111</v>
      </c>
      <c r="R47" s="667" t="s">
        <v>14</v>
      </c>
      <c r="S47" s="668">
        <f t="shared" si="12"/>
        <v>100</v>
      </c>
      <c r="T47" s="667" t="s">
        <v>14</v>
      </c>
      <c r="U47" s="668">
        <f t="shared" si="13"/>
        <v>100</v>
      </c>
      <c r="V47" s="667" t="s">
        <v>14</v>
      </c>
      <c r="W47" s="668">
        <f t="shared" si="14"/>
        <v>100</v>
      </c>
      <c r="X47" s="1264"/>
      <c r="Y47" s="3362"/>
      <c r="Z47" s="1263">
        <f t="shared" si="15"/>
        <v>111</v>
      </c>
      <c r="AA47" s="1263">
        <f t="shared" si="3"/>
        <v>1</v>
      </c>
      <c r="AB47" s="1263">
        <f t="shared" si="4"/>
        <v>1</v>
      </c>
      <c r="AC47" s="1811">
        <f t="shared" si="5"/>
        <v>1</v>
      </c>
    </row>
    <row r="48" spans="1:29" ht="15">
      <c r="A48" s="416" t="s">
        <v>1708</v>
      </c>
      <c r="B48" s="417"/>
      <c r="C48" s="1080" t="s">
        <v>0</v>
      </c>
      <c r="D48" s="418"/>
      <c r="E48" s="419">
        <v>20000</v>
      </c>
      <c r="F48" s="420"/>
      <c r="G48" s="421">
        <v>20000</v>
      </c>
      <c r="H48" s="422"/>
      <c r="I48" s="419">
        <v>20000</v>
      </c>
      <c r="J48" s="422"/>
      <c r="K48" s="674"/>
      <c r="L48" s="2494"/>
      <c r="M48" s="2487"/>
      <c r="N48" s="2487"/>
      <c r="O48" s="2487"/>
      <c r="P48" s="3348" t="str">
        <f>A48</f>
        <v>成交单价（元/平方米）</v>
      </c>
      <c r="Q48" s="3349"/>
      <c r="R48" s="3350">
        <f>E48</f>
        <v>20000</v>
      </c>
      <c r="S48" s="3350"/>
      <c r="T48" s="3350">
        <f>G48</f>
        <v>20000</v>
      </c>
      <c r="U48" s="3350"/>
      <c r="V48" s="3350">
        <f>I48</f>
        <v>20000</v>
      </c>
      <c r="W48" s="3350"/>
      <c r="X48" s="385"/>
      <c r="Y48" s="673"/>
      <c r="Z48" s="385"/>
      <c r="AA48" s="385"/>
      <c r="AB48" s="385"/>
      <c r="AC48" s="555"/>
    </row>
    <row r="49" spans="1:29" ht="15.75" thickBot="1">
      <c r="A49" s="423" t="s">
        <v>1793</v>
      </c>
      <c r="B49" s="424"/>
      <c r="C49" s="1081">
        <f>R50</f>
        <v>18261</v>
      </c>
      <c r="D49" s="2140" t="s">
        <v>2137</v>
      </c>
      <c r="E49" s="1082">
        <f>R49</f>
        <v>18168</v>
      </c>
      <c r="F49" s="2141"/>
      <c r="G49" s="1081">
        <f>T49</f>
        <v>18937</v>
      </c>
      <c r="H49" s="2141"/>
      <c r="I49" s="1082">
        <f>V49</f>
        <v>17678</v>
      </c>
      <c r="J49" s="2141"/>
      <c r="K49" s="2143">
        <f>F49+H49+J49</f>
        <v>0</v>
      </c>
      <c r="L49" s="2494"/>
      <c r="M49" s="2487"/>
      <c r="N49" s="2487"/>
      <c r="O49" s="2487"/>
      <c r="P49" s="3348" t="str">
        <f>A49</f>
        <v>比较价值（元/平方米）</v>
      </c>
      <c r="Q49" s="3349"/>
      <c r="R49" s="3350">
        <f>IF(F1="售价",ROUND(PRODUCT(R48,AA7:AA47),0),ROUND(PRODUCT(R48,AA7:AA47),1))</f>
        <v>18168</v>
      </c>
      <c r="S49" s="3350"/>
      <c r="T49" s="3350">
        <f>IF(F1="售价",ROUND(PRODUCT(T48,AB7:AB47),0),ROUND(PRODUCT(T48,AB7:AB47),1))</f>
        <v>18937</v>
      </c>
      <c r="U49" s="3350"/>
      <c r="V49" s="3350">
        <f>IF(F1="售价",ROUND(PRODUCT(V48,AC7:AC47),0),ROUND(PRODUCT(V48,AC7:AC47),1))</f>
        <v>17678</v>
      </c>
      <c r="W49" s="3350"/>
      <c r="X49" s="385"/>
      <c r="Y49" s="385"/>
      <c r="Z49" s="385"/>
      <c r="AA49" s="385"/>
      <c r="AB49" s="385"/>
      <c r="AC49" s="555"/>
    </row>
    <row r="50" spans="1:29" ht="15.75" thickBot="1">
      <c r="A50" s="427" t="s">
        <v>1794</v>
      </c>
      <c r="B50" s="428"/>
      <c r="C50" s="351">
        <f>R50</f>
        <v>18261</v>
      </c>
      <c r="D50" s="351"/>
      <c r="E50" s="351"/>
      <c r="F50" s="351"/>
      <c r="G50" s="351"/>
      <c r="H50" s="351"/>
      <c r="I50" s="351"/>
      <c r="J50" s="429"/>
      <c r="K50" s="675"/>
      <c r="L50" s="2494"/>
      <c r="M50" s="2487"/>
      <c r="N50" s="2487"/>
      <c r="O50" s="2487"/>
      <c r="P50" s="3351" t="str">
        <f>A50</f>
        <v>估价对象XX用房的比较价值（楼面单价，元/平方米）</v>
      </c>
      <c r="Q50" s="3352"/>
      <c r="R50" s="3353">
        <f>IF(F1="售价",ROUND(IF(D49="简单平均",AVERAGE(R49:V49),R49*F49+T49*H49+V49*J49),0),ROUND(IF(D49="简单平均",AVERAGE(R49:V49),R49*F49+T49*H49+V49*J49),1))</f>
        <v>18261</v>
      </c>
      <c r="S50" s="3353"/>
      <c r="T50" s="3353"/>
      <c r="U50" s="3353"/>
      <c r="V50" s="3353"/>
      <c r="W50" s="3353"/>
      <c r="X50" s="1797"/>
      <c r="Y50" s="1797"/>
      <c r="Z50" s="1797"/>
      <c r="AA50" s="1797"/>
      <c r="AB50" s="1797"/>
      <c r="AC50" s="1798"/>
    </row>
    <row r="51" spans="1:29">
      <c r="A51" s="2487"/>
      <c r="B51" s="2487"/>
      <c r="C51" s="2487">
        <v>2010</v>
      </c>
      <c r="D51" s="2487"/>
      <c r="E51" s="2487" t="s">
        <v>3428</v>
      </c>
      <c r="F51" s="2487"/>
      <c r="G51" s="2487">
        <v>2018</v>
      </c>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0.10083663584324087</v>
      </c>
      <c r="F53" s="435" t="str">
        <f>IF(OR(E53&gt;=0.3,E53&lt;=-0.3),"超过30%","")</f>
        <v/>
      </c>
      <c r="G53" s="434">
        <f>IF(G48&lt;G49,G49/G48-1,G48/G49-1)</f>
        <v>5.6133495273802625E-2</v>
      </c>
      <c r="H53" s="435" t="str">
        <f>IF(OR(G53&gt;=0.3,G53&lt;=-0.3),"超过30%","")</f>
        <v/>
      </c>
      <c r="I53" s="434">
        <f>IF(I48&lt;I49,I49/I48-1,I48/I49-1)</f>
        <v>0.13134970019232939</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4.2327168648172542E-2</v>
      </c>
      <c r="F54" s="435" t="str">
        <f>IF(OR(E54&gt;=0.2,E54&lt;=-0.2),"超过20%","")</f>
        <v/>
      </c>
      <c r="G54" s="434">
        <f>IF(G49&lt;I49,I49/G49-1,G49/I49-1)</f>
        <v>7.1218463627107154E-2</v>
      </c>
      <c r="H54" s="435" t="str">
        <f>IF(OR(G54&gt;=0.2,G54&lt;=-0.2),"超过20%","")</f>
        <v/>
      </c>
      <c r="I54" s="434">
        <f>IF(I49&lt;E49,E49/I49-1,I49/E49-1)</f>
        <v>2.7718067654711964E-2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54" t="s">
        <v>3421</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105</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办公（工业）</v>
      </c>
      <c r="D64" s="3156" t="s">
        <v>3424</v>
      </c>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v>105</v>
      </c>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3429</v>
      </c>
      <c r="D66" s="513" t="s">
        <v>3430</v>
      </c>
      <c r="E66" s="513" t="s">
        <v>3431</v>
      </c>
      <c r="F66" s="513" t="s">
        <v>3426</v>
      </c>
      <c r="G66" s="513"/>
      <c r="H66" s="513"/>
      <c r="I66" s="513"/>
      <c r="J66" s="513"/>
      <c r="K66" s="514"/>
      <c r="L66" s="515"/>
      <c r="M66" s="516"/>
      <c r="N66" s="2521">
        <v>2</v>
      </c>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f>C67-$N$66</f>
        <v>98</v>
      </c>
      <c r="E67" s="467">
        <f t="shared" ref="E67:F67" si="17">D67-$N$66</f>
        <v>96</v>
      </c>
      <c r="F67" s="467">
        <f t="shared" si="17"/>
        <v>94</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57" t="s">
        <v>3453</v>
      </c>
      <c r="D87" s="3157" t="s">
        <v>3455</v>
      </c>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20">C88-$K25</f>
        <v>99</v>
      </c>
      <c r="E88" s="475">
        <f t="shared" si="20"/>
        <v>98</v>
      </c>
      <c r="F88" s="475">
        <f t="shared" si="20"/>
        <v>97</v>
      </c>
      <c r="G88" s="475">
        <f t="shared" si="20"/>
        <v>96</v>
      </c>
      <c r="H88" s="475">
        <f t="shared" si="20"/>
        <v>95</v>
      </c>
      <c r="I88" s="475">
        <f t="shared" si="20"/>
        <v>94</v>
      </c>
      <c r="J88" s="475">
        <f t="shared" si="20"/>
        <v>93</v>
      </c>
      <c r="K88" s="475">
        <f t="shared" si="20"/>
        <v>92</v>
      </c>
      <c r="L88" s="475">
        <f t="shared" si="20"/>
        <v>91</v>
      </c>
      <c r="M88" s="475">
        <f t="shared" si="20"/>
        <v>90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57" t="s">
        <v>3447</v>
      </c>
      <c r="D89" s="3157" t="s">
        <v>3449</v>
      </c>
      <c r="E89" s="3157" t="s">
        <v>3451</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1">D90-$K27</f>
        <v>94</v>
      </c>
      <c r="F90" s="475">
        <f t="shared" si="21"/>
        <v>91</v>
      </c>
      <c r="G90" s="475">
        <f t="shared" si="21"/>
        <v>88</v>
      </c>
      <c r="H90" s="475">
        <f t="shared" si="21"/>
        <v>85</v>
      </c>
      <c r="I90" s="475">
        <f t="shared" si="21"/>
        <v>82</v>
      </c>
      <c r="J90" s="475">
        <f t="shared" si="21"/>
        <v>79</v>
      </c>
      <c r="K90" s="475">
        <f t="shared" si="21"/>
        <v>76</v>
      </c>
      <c r="L90" s="475">
        <f t="shared" si="21"/>
        <v>73</v>
      </c>
      <c r="M90" s="475">
        <f t="shared" si="21"/>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3">C102-$K33</f>
        <v>100</v>
      </c>
      <c r="E102" s="475">
        <f t="shared" si="23"/>
        <v>100</v>
      </c>
      <c r="F102" s="475">
        <f t="shared" si="23"/>
        <v>100</v>
      </c>
      <c r="G102" s="475">
        <f t="shared" si="23"/>
        <v>100</v>
      </c>
      <c r="H102" s="475">
        <f t="shared" si="23"/>
        <v>100</v>
      </c>
      <c r="I102" s="475">
        <f t="shared" si="23"/>
        <v>100</v>
      </c>
      <c r="J102" s="475">
        <f t="shared" si="23"/>
        <v>100</v>
      </c>
      <c r="K102" s="475">
        <f t="shared" si="23"/>
        <v>100</v>
      </c>
      <c r="L102" s="475">
        <f t="shared" si="23"/>
        <v>100</v>
      </c>
      <c r="M102" s="476">
        <f t="shared" si="23"/>
        <v>100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0(含)-200</v>
      </c>
      <c r="D103" s="509" t="str">
        <f t="shared" ref="D103:L103" si="24">D104&amp;"(含)"&amp;"-"&amp;E104</f>
        <v>200(含)-500</v>
      </c>
      <c r="E103" s="509" t="str">
        <f t="shared" si="24"/>
        <v>500(含)-1000</v>
      </c>
      <c r="F103" s="509" t="str">
        <f t="shared" si="24"/>
        <v>1000(含)-1500</v>
      </c>
      <c r="G103" s="509" t="str">
        <f t="shared" si="24"/>
        <v>1500(含)-</v>
      </c>
      <c r="H103" s="509" t="str">
        <f t="shared" si="24"/>
        <v>(含)-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200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67">
        <v>98</v>
      </c>
      <c r="F105" s="467">
        <v>97</v>
      </c>
      <c r="G105" s="467">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57" t="s">
        <v>3436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57" t="s">
        <v>3438</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57" t="s">
        <v>3438</v>
      </c>
      <c r="D123" s="3157" t="s">
        <v>3439</v>
      </c>
      <c r="E123" s="3157" t="s">
        <v>3441</v>
      </c>
      <c r="F123" s="3158" t="s">
        <v>3443</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t="str">
        <f>B45</f>
        <v>现状</v>
      </c>
      <c r="C127" s="3157" t="s">
        <v>3481</v>
      </c>
      <c r="D127" s="3157" t="s">
        <v>3480</v>
      </c>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v>100</v>
      </c>
      <c r="D128" s="467">
        <v>95</v>
      </c>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topLeftCell="A22" zoomScale="90" zoomScaleNormal="90" workbookViewId="0">
      <selection activeCell="S49" sqref="S49"/>
    </sheetView>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2862-9283-485F-A4C5-EDD510BDD59F}">
  <dimension ref="A1"/>
  <sheetViews>
    <sheetView topLeftCell="A79" workbookViewId="0">
      <selection activeCell="B109" sqref="B109"/>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401" t="s">
        <v>694</v>
      </c>
      <c r="C6" s="1010">
        <f ca="1">ROUND(F6*F8*F7*(1-F9)/10000,0)</f>
        <v>0</v>
      </c>
      <c r="D6" s="147" t="s">
        <v>2108</v>
      </c>
      <c r="E6" s="294" t="s">
        <v>696</v>
      </c>
      <c r="F6" s="295">
        <f ca="1">INDIRECT("'数据-取费表'!u"&amp;$G$1)</f>
        <v>0</v>
      </c>
      <c r="G6" s="1291"/>
      <c r="H6" s="1005" t="s">
        <v>398</v>
      </c>
      <c r="I6" s="3401" t="s">
        <v>694</v>
      </c>
      <c r="J6" s="293">
        <f ca="1">ROUND(M6*M8*M7*(1-M9)/10000,0)</f>
        <v>0</v>
      </c>
      <c r="K6" s="147" t="s">
        <v>2107</v>
      </c>
      <c r="L6" s="294" t="s">
        <v>696</v>
      </c>
      <c r="M6" s="295">
        <f ca="1">INDIRECT("'数据-取费表'!z"&amp;$G$1)</f>
        <v>0</v>
      </c>
    </row>
    <row r="7" spans="1:37" ht="18" customHeight="1">
      <c r="A7" s="1009"/>
      <c r="B7" s="3402"/>
      <c r="C7" s="1011"/>
      <c r="D7" s="299"/>
      <c r="E7" s="1012" t="s">
        <v>697</v>
      </c>
      <c r="F7" s="295">
        <f ca="1">IF(INDIRECT("'数据-取费表'!ah"&amp;$G$1)="",INDIRECT("'数据-取费表'!k"&amp;$G$1),INDIRECT("'数据-取费表'!ah"&amp;$G$1))</f>
        <v>0</v>
      </c>
      <c r="G7" s="1291"/>
      <c r="H7" s="296"/>
      <c r="I7" s="3402"/>
      <c r="J7" s="298"/>
      <c r="K7" s="299"/>
      <c r="L7" s="294" t="s">
        <v>697</v>
      </c>
      <c r="M7" s="295">
        <f ca="1">F7</f>
        <v>0</v>
      </c>
    </row>
    <row r="8" spans="1:37" ht="18" customHeight="1">
      <c r="A8" s="296"/>
      <c r="B8" s="3402"/>
      <c r="C8" s="298"/>
      <c r="D8" s="299"/>
      <c r="E8" s="294" t="s">
        <v>698</v>
      </c>
      <c r="F8" s="295">
        <f ca="1">INDIRECT("'数据-取费表'!ai"&amp;$G$1)</f>
        <v>0</v>
      </c>
      <c r="G8" s="1291"/>
      <c r="H8" s="296"/>
      <c r="I8" s="3402"/>
      <c r="J8" s="298"/>
      <c r="K8" s="299"/>
      <c r="L8" s="294" t="s">
        <v>698</v>
      </c>
      <c r="M8" s="295">
        <f ca="1">INDIRECT("'数据-取费表'!ai"&amp;$G$1)</f>
        <v>0</v>
      </c>
    </row>
    <row r="9" spans="1:37" ht="18" customHeight="1">
      <c r="A9" s="296"/>
      <c r="B9" s="3403"/>
      <c r="C9" s="298"/>
      <c r="D9" s="299"/>
      <c r="E9" s="294" t="s">
        <v>699</v>
      </c>
      <c r="F9" s="304">
        <f ca="1">INDIRECT("'数据-取费表'!w"&amp;$G$1)</f>
        <v>0</v>
      </c>
      <c r="G9" s="1291"/>
      <c r="H9" s="296"/>
      <c r="I9" s="3403"/>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2305</v>
      </c>
      <c r="I31" s="1304"/>
      <c r="J31" s="1305"/>
      <c r="K31" s="121"/>
      <c r="L31" s="2471"/>
      <c r="M31" s="2472"/>
    </row>
    <row r="32" spans="1:37" ht="18" customHeight="1">
      <c r="A32" s="928" t="s">
        <v>397</v>
      </c>
      <c r="B32" s="294" t="s">
        <v>723</v>
      </c>
      <c r="C32" s="21">
        <f ca="1">IF(项目基本情况!B11="自然人","——",ROUND(C6*F32/(1+'数据-取费表'!C42),2))</f>
        <v>0</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3" t="s">
        <v>689</v>
      </c>
      <c r="D47" s="924"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0">
        <f ca="1">ROUND(F49*F51*F50*(1-F52)/10000,0)</f>
        <v>0</v>
      </c>
      <c r="D49" s="991" t="s">
        <v>2109</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4"/>
      <c r="D50" s="899"/>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99" t="s">
        <v>837</v>
      </c>
      <c r="L53" s="3400"/>
      <c r="O53" s="1324" t="s">
        <v>409</v>
      </c>
      <c r="P53" s="1325" t="s">
        <v>838</v>
      </c>
      <c r="Q53" s="1326" t="e">
        <f ca="1">Q47+Q48</f>
        <v>#DIV/0!</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0"/>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90" zoomScaleNormal="70" zoomScaleSheetLayoutView="90" workbookViewId="0">
      <selection activeCell="D8" sqref="D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v>1302</v>
      </c>
      <c r="D1" s="1270" t="s">
        <v>43</v>
      </c>
      <c r="E1" s="1271" t="s">
        <v>678</v>
      </c>
      <c r="F1" s="998">
        <f ca="1">J53</f>
        <v>31.83</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123.568</v>
      </c>
      <c r="C2" s="1288" t="s">
        <v>879</v>
      </c>
      <c r="D2" s="1374">
        <f ca="1">C40+J29+L46</f>
        <v>1235680</v>
      </c>
      <c r="E2" s="1294" t="s">
        <v>880</v>
      </c>
      <c r="F2" s="1295"/>
      <c r="G2" s="2478"/>
      <c r="H2" s="2468"/>
      <c r="I2" s="2468"/>
      <c r="J2" s="2468"/>
      <c r="K2" s="2469"/>
      <c r="L2" s="2468"/>
      <c r="M2" s="2468"/>
    </row>
    <row r="3" spans="1:37" ht="18" customHeight="1" thickBot="1">
      <c r="A3" s="1296" t="s">
        <v>881</v>
      </c>
      <c r="B3" s="1297">
        <f ca="1">IF(ISERROR(D2/F43),0,ROUND(D2/F43,0))</f>
        <v>9156</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79902</v>
      </c>
      <c r="D5" s="1272" t="s">
        <v>889</v>
      </c>
      <c r="E5" s="1007"/>
      <c r="F5" s="1008"/>
      <c r="G5" s="1291"/>
      <c r="H5" s="291">
        <v>1</v>
      </c>
      <c r="I5" s="292" t="s">
        <v>888</v>
      </c>
      <c r="J5" s="1006">
        <f ca="1">J6+J10+J12</f>
        <v>0</v>
      </c>
      <c r="K5" s="1272" t="s">
        <v>889</v>
      </c>
      <c r="L5" s="1007"/>
      <c r="M5" s="1008"/>
    </row>
    <row r="6" spans="1:37" ht="18" customHeight="1">
      <c r="A6" s="1005" t="s">
        <v>398</v>
      </c>
      <c r="B6" s="3401" t="s">
        <v>694</v>
      </c>
      <c r="C6" s="1010">
        <f ca="1">ROUND(F6*F8*F7*(1-F9),0)</f>
        <v>79802</v>
      </c>
      <c r="D6" s="147" t="s">
        <v>2105</v>
      </c>
      <c r="E6" s="294" t="s">
        <v>696</v>
      </c>
      <c r="F6" s="295">
        <f ca="1">INDIRECT("'数据-取费表'!u"&amp;$G$1)</f>
        <v>1.8</v>
      </c>
      <c r="G6" s="1291"/>
      <c r="H6" s="1005" t="s">
        <v>398</v>
      </c>
      <c r="I6" s="3401" t="s">
        <v>694</v>
      </c>
      <c r="J6" s="293">
        <f ca="1">ROUND(M6*M8*M7*(1-M9),0)</f>
        <v>0</v>
      </c>
      <c r="K6" s="1283" t="s">
        <v>2106</v>
      </c>
      <c r="L6" s="294" t="s">
        <v>696</v>
      </c>
      <c r="M6" s="295">
        <f ca="1">INDIRECT("'数据-取费表'!z"&amp;$G$1)</f>
        <v>0</v>
      </c>
    </row>
    <row r="7" spans="1:37" ht="18" customHeight="1">
      <c r="A7" s="1009"/>
      <c r="B7" s="3402"/>
      <c r="C7" s="1011"/>
      <c r="D7" s="299"/>
      <c r="E7" s="1012" t="s">
        <v>697</v>
      </c>
      <c r="F7" s="295">
        <f ca="1">IF(INDIRECT("'数据-取费表'!ah"&amp;$G$1)="",INDIRECT("'数据-取费表'!k"&amp;$G$1),INDIRECT("'数据-取费表'!ah"&amp;$G$1))</f>
        <v>134.96</v>
      </c>
      <c r="G7" s="1291"/>
      <c r="H7" s="296"/>
      <c r="I7" s="3402"/>
      <c r="J7" s="298"/>
      <c r="K7" s="299"/>
      <c r="L7" s="294" t="s">
        <v>697</v>
      </c>
      <c r="M7" s="295">
        <f ca="1">F7</f>
        <v>134.96</v>
      </c>
    </row>
    <row r="8" spans="1:37" ht="18" customHeight="1">
      <c r="A8" s="296"/>
      <c r="B8" s="3402"/>
      <c r="C8" s="298"/>
      <c r="D8" s="299"/>
      <c r="E8" s="294" t="s">
        <v>698</v>
      </c>
      <c r="F8" s="295">
        <f ca="1">INDIRECT("'数据-取费表'!ai"&amp;$G$1)</f>
        <v>365</v>
      </c>
      <c r="G8" s="1291"/>
      <c r="H8" s="296"/>
      <c r="I8" s="3402"/>
      <c r="J8" s="298"/>
      <c r="K8" s="299"/>
      <c r="L8" s="294" t="s">
        <v>698</v>
      </c>
      <c r="M8" s="295">
        <f ca="1">INDIRECT("'数据-取费表'!ai"&amp;$G$1)</f>
        <v>365</v>
      </c>
    </row>
    <row r="9" spans="1:37" ht="18" customHeight="1">
      <c r="A9" s="296"/>
      <c r="B9" s="3403"/>
      <c r="C9" s="298"/>
      <c r="D9" s="299"/>
      <c r="E9" s="294" t="s">
        <v>699</v>
      </c>
      <c r="F9" s="304">
        <f ca="1">INDIRECT("'数据-取费表'!w"&amp;$G$1)</f>
        <v>0.1</v>
      </c>
      <c r="G9" s="1291"/>
      <c r="H9" s="296"/>
      <c r="I9" s="3403"/>
      <c r="J9" s="298"/>
      <c r="K9" s="299"/>
      <c r="L9" s="305" t="s">
        <v>699</v>
      </c>
      <c r="M9" s="306">
        <f ca="1">INDIRECT("'数据-取费表'!ab"&amp;$G$1)</f>
        <v>0</v>
      </c>
    </row>
    <row r="10" spans="1:37" ht="18" customHeight="1">
      <c r="A10" s="1005" t="s">
        <v>402</v>
      </c>
      <c r="B10" s="1273" t="s">
        <v>700</v>
      </c>
      <c r="C10" s="308">
        <f ca="1">ROUND(IF(F10="押一",C6/12*F11,IF(F10="押二",C6/12*2*F11,IF(F10="押三",C6/12*3*F11,C11*F11))),0)</f>
        <v>100</v>
      </c>
      <c r="D10" s="150" t="s">
        <v>2115</v>
      </c>
      <c r="E10" s="305" t="s">
        <v>701</v>
      </c>
      <c r="F10" s="1052" t="s">
        <v>3413</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603245</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539840</v>
      </c>
      <c r="D14" s="1256" t="s">
        <v>708</v>
      </c>
      <c r="E14" s="1254"/>
      <c r="F14" s="311"/>
      <c r="G14" s="1291"/>
      <c r="H14" s="928" t="s">
        <v>398</v>
      </c>
      <c r="I14" s="294" t="s">
        <v>709</v>
      </c>
      <c r="J14" s="21">
        <f ca="1">C29</f>
        <v>754056</v>
      </c>
      <c r="K14" s="12"/>
      <c r="L14" s="759"/>
      <c r="M14" s="760"/>
    </row>
    <row r="15" spans="1:37" s="1303" customFormat="1" ht="18" customHeight="1" thickBot="1">
      <c r="A15" s="928" t="s">
        <v>399</v>
      </c>
      <c r="B15" s="294" t="s">
        <v>710</v>
      </c>
      <c r="C15" s="21">
        <f ca="1">ROUND(C14*F15,0)</f>
        <v>26992</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1508</v>
      </c>
      <c r="K16" s="1023" t="s">
        <v>715</v>
      </c>
      <c r="L16" s="1024"/>
      <c r="M16" s="1008"/>
    </row>
    <row r="17" spans="1:37" s="1303" customFormat="1" ht="18" customHeight="1">
      <c r="A17" s="928" t="s">
        <v>681</v>
      </c>
      <c r="B17" s="294" t="s">
        <v>716</v>
      </c>
      <c r="C17" s="21">
        <f ca="1">ROUND(F17*(F43+INDIRECT("'数据-取费表'!S"&amp;$G$1)),0)</f>
        <v>26992</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10797</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604621</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12092</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1508</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19118</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-1508</v>
      </c>
      <c r="K25" s="1031" t="s">
        <v>753</v>
      </c>
      <c r="L25" s="1032"/>
      <c r="M25" s="1033"/>
    </row>
    <row r="26" spans="1:37" ht="18" customHeight="1">
      <c r="A26" s="928" t="s">
        <v>397</v>
      </c>
      <c r="B26" s="294" t="s">
        <v>754</v>
      </c>
      <c r="C26" s="21">
        <f ca="1">ROUND((C19+C20)*F26,0)</f>
        <v>61671</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754056</v>
      </c>
      <c r="D29" s="1028"/>
      <c r="E29" s="1026"/>
      <c r="F29" s="1029"/>
      <c r="G29" s="1302"/>
      <c r="H29" s="325" t="s">
        <v>396</v>
      </c>
      <c r="I29" s="326" t="s">
        <v>768</v>
      </c>
      <c r="J29" s="327">
        <f ca="1">ROUND(J26/(1+F40)^F41,0)</f>
        <v>0</v>
      </c>
      <c r="K29" s="328" t="s">
        <v>769</v>
      </c>
      <c r="L29" s="329"/>
      <c r="M29" s="330">
        <f ca="1">INDIRECT("'数据-取费表'!k"&amp;$G$1)</f>
        <v>134.96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15811</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13300</v>
      </c>
      <c r="D31" s="1256" t="s">
        <v>720</v>
      </c>
      <c r="E31" s="1255" t="s">
        <v>770</v>
      </c>
      <c r="F31" s="2138">
        <f ca="1">IF(项目基本情况!B11="企业","——",IF(M47="住宅",IF(F6*F7*F8/12/(1+'数据-取费表'!F30)&gt;100000,4%,2.5%),IF(F6*F7*F8/12/(1+'数据-取费表'!F30)&gt;100000,12%,7%)))</f>
        <v>7.0000000000000007E-2</v>
      </c>
      <c r="G31" s="1291"/>
      <c r="H31" s="2569" t="s">
        <v>2305</v>
      </c>
      <c r="I31" s="1304"/>
      <c r="J31" s="1305"/>
      <c r="K31" s="121"/>
      <c r="L31" s="2471"/>
      <c r="M31" s="2472"/>
    </row>
    <row r="32" spans="1:37" ht="18" customHeight="1">
      <c r="A32" s="928" t="s">
        <v>397</v>
      </c>
      <c r="B32" s="294" t="s">
        <v>723</v>
      </c>
      <c r="C32" s="21">
        <f ca="1">IF(项目基本情况!B11="自然人","——",ROUND(C6*F32/(1+'数据-取费表'!C42),0))</f>
        <v>4180</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9120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1508</v>
      </c>
      <c r="D36" s="1255" t="s">
        <v>771</v>
      </c>
      <c r="E36" s="294" t="s">
        <v>712</v>
      </c>
      <c r="F36" s="320">
        <f ca="1">INDIRECT("'数据-取费表'!Ak"&amp;$G$1)</f>
        <v>2E-3</v>
      </c>
      <c r="G36" s="1291"/>
      <c r="H36" s="2473"/>
      <c r="I36" s="1304"/>
      <c r="J36" s="1305"/>
      <c r="K36" s="2330"/>
      <c r="L36" s="2473"/>
      <c r="M36" s="2473"/>
    </row>
    <row r="37" spans="1:18" ht="18" customHeight="1">
      <c r="A37" s="928" t="s">
        <v>437</v>
      </c>
      <c r="B37" s="294" t="s">
        <v>742</v>
      </c>
      <c r="C37" s="21">
        <f ca="1">ROUND(C13*F37,0)</f>
        <v>603</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400</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64091</v>
      </c>
      <c r="D39" s="1031" t="s">
        <v>773</v>
      </c>
      <c r="E39" s="1032"/>
      <c r="F39" s="1033"/>
      <c r="G39" s="1291"/>
      <c r="H39" s="2473"/>
      <c r="I39" s="1304"/>
      <c r="J39" s="1305"/>
      <c r="K39" s="2471"/>
      <c r="L39" s="2473"/>
      <c r="M39" s="2473"/>
    </row>
    <row r="40" spans="1:18" ht="18" customHeight="1">
      <c r="A40" s="291" t="s">
        <v>395</v>
      </c>
      <c r="B40" s="292" t="s">
        <v>774</v>
      </c>
      <c r="C40" s="293">
        <f ca="1">ROUND(C39*(1-((1+F42)/(1+F40))^F41)/(F40-F42),0)</f>
        <v>1205499</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31.83</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8932</v>
      </c>
      <c r="D43" s="328" t="s">
        <v>777</v>
      </c>
      <c r="E43" s="329" t="s">
        <v>778</v>
      </c>
      <c r="F43" s="330">
        <f ca="1">INDIRECT("'数据-取费表'!k"&amp;$G$1)</f>
        <v>134.96</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3351</v>
      </c>
      <c r="B45" s="1306"/>
      <c r="C45" s="1375">
        <f ca="1">ROUND((C68-C40)/10000,4)</f>
        <v>-123.68980000000001</v>
      </c>
      <c r="D45" s="3130" t="s">
        <v>3352</v>
      </c>
      <c r="E45" s="1306"/>
      <c r="F45" s="1306"/>
      <c r="O45" s="1309" t="s">
        <v>808</v>
      </c>
      <c r="P45" s="1365"/>
      <c r="Q45" s="1365"/>
      <c r="R45" s="1365"/>
    </row>
    <row r="46" spans="1:18" s="1291" customFormat="1" ht="13.5" thickBot="1">
      <c r="A46" s="1310" t="s">
        <v>809</v>
      </c>
      <c r="C46" s="1311">
        <f ca="1">ROUND(C45,0)</f>
        <v>-124</v>
      </c>
      <c r="D46" s="1312" t="str">
        <f>C2</f>
        <v>万元</v>
      </c>
      <c r="I46" s="1313" t="s">
        <v>810</v>
      </c>
      <c r="J46" s="1314"/>
      <c r="K46" s="1315"/>
      <c r="L46" s="1316">
        <f ca="1">IF(M47="住宅",0,IF(L48&gt;J51,L60,J60))</f>
        <v>30181</v>
      </c>
      <c r="O46" s="1317" t="s">
        <v>811</v>
      </c>
      <c r="P46" s="1318" t="s">
        <v>812</v>
      </c>
      <c r="Q46" s="1319" t="s">
        <v>813</v>
      </c>
      <c r="R46" s="1319" t="s">
        <v>814</v>
      </c>
    </row>
    <row r="47" spans="1:18" s="1291" customFormat="1" ht="13.5" thickBot="1">
      <c r="A47" s="892" t="s">
        <v>687</v>
      </c>
      <c r="B47" s="924" t="s">
        <v>688</v>
      </c>
      <c r="C47" s="924" t="s">
        <v>689</v>
      </c>
      <c r="D47" s="924" t="s">
        <v>690</v>
      </c>
      <c r="E47" s="994" t="s">
        <v>691</v>
      </c>
      <c r="F47" s="995"/>
      <c r="G47" s="681"/>
      <c r="I47" s="1320" t="s">
        <v>815</v>
      </c>
      <c r="J47" s="1321" t="s">
        <v>3409</v>
      </c>
      <c r="K47" s="1322" t="s">
        <v>816</v>
      </c>
      <c r="L47" s="1323">
        <f ca="1">INDIRECT("'数据-取费表'!d"&amp;$G$1)</f>
        <v>50</v>
      </c>
      <c r="M47" s="1287" t="str">
        <f>IF(ISNUMBER(FIND("住宅",C1)),"住宅","非住宅")</f>
        <v>非住宅</v>
      </c>
      <c r="O47" s="1324" t="s">
        <v>403</v>
      </c>
      <c r="P47" s="1325" t="s">
        <v>817</v>
      </c>
      <c r="Q47" s="1326">
        <f ca="1">C40+J29</f>
        <v>1205499</v>
      </c>
      <c r="R47" s="1326" t="s">
        <v>818</v>
      </c>
    </row>
    <row r="48" spans="1:18" s="1291" customFormat="1" ht="28.5" thickBot="1">
      <c r="A48" s="1046" t="s">
        <v>438</v>
      </c>
      <c r="B48" s="292" t="s">
        <v>692</v>
      </c>
      <c r="C48" s="1267">
        <f ca="1">C49+C53+C55</f>
        <v>0</v>
      </c>
      <c r="D48" s="1048"/>
      <c r="E48" s="1049"/>
      <c r="F48" s="908"/>
      <c r="G48" s="681"/>
      <c r="H48" s="682"/>
      <c r="I48" s="1327" t="s">
        <v>819</v>
      </c>
      <c r="J48" s="1328" t="s">
        <v>3414</v>
      </c>
      <c r="K48" s="1329" t="s">
        <v>820</v>
      </c>
      <c r="L48" s="1330">
        <f ca="1">INDIRECT("'数据-取费表'!f"&amp;$G$1)</f>
        <v>31.83</v>
      </c>
      <c r="O48" s="1324" t="s">
        <v>404</v>
      </c>
      <c r="P48" s="1325" t="s">
        <v>821</v>
      </c>
      <c r="Q48" s="1326">
        <f ca="1">J60</f>
        <v>30181</v>
      </c>
      <c r="R48" s="1326" t="s">
        <v>822</v>
      </c>
    </row>
    <row r="49" spans="1:18" s="1291" customFormat="1" ht="13.5" thickBot="1">
      <c r="A49" s="921" t="s">
        <v>439</v>
      </c>
      <c r="B49" s="1278" t="s">
        <v>779</v>
      </c>
      <c r="C49" s="1050">
        <f ca="1">ROUND(F49*F51*F50*(1-F52),0)</f>
        <v>0</v>
      </c>
      <c r="D49" s="991" t="s">
        <v>695</v>
      </c>
      <c r="E49" s="1279" t="s">
        <v>780</v>
      </c>
      <c r="F49" s="996"/>
      <c r="H49" s="682"/>
      <c r="I49" s="1327" t="s">
        <v>823</v>
      </c>
      <c r="J49" s="1331">
        <f>'数据-取费表'!N18</f>
        <v>2010</v>
      </c>
      <c r="K49" s="1329" t="s">
        <v>824</v>
      </c>
      <c r="L49" s="1332"/>
      <c r="O49" s="1333" t="s">
        <v>405</v>
      </c>
      <c r="P49" s="1325" t="s">
        <v>825</v>
      </c>
      <c r="Q49" s="1326">
        <f ca="1">C29</f>
        <v>754056</v>
      </c>
      <c r="R49" s="1326" t="s">
        <v>818</v>
      </c>
    </row>
    <row r="50" spans="1:18" s="1291" customFormat="1" ht="13.5" thickBot="1">
      <c r="A50" s="922"/>
      <c r="B50" s="925"/>
      <c r="C50" s="926"/>
      <c r="D50" s="899"/>
      <c r="E50" s="992" t="s">
        <v>697</v>
      </c>
      <c r="F50" s="993">
        <f ca="1">F7</f>
        <v>134.96</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45</v>
      </c>
      <c r="K51" s="1338" t="s">
        <v>830</v>
      </c>
      <c r="L51" s="1339">
        <f ca="1">ROUND(-PV(INDIRECT("'数据-取费表'!h"&amp;$G$1),J51,(C39-C13*C76),0),0)</f>
        <v>388610</v>
      </c>
      <c r="M51" s="1340"/>
      <c r="O51" s="1333" t="s">
        <v>407</v>
      </c>
      <c r="P51" s="1325" t="s">
        <v>831</v>
      </c>
      <c r="Q51" s="1336">
        <f>J52</f>
        <v>7.5000000000000011E-2</v>
      </c>
      <c r="R51" s="1326"/>
    </row>
    <row r="52" spans="1:18" s="1291" customFormat="1" ht="13.5" thickBot="1">
      <c r="A52" s="923"/>
      <c r="B52" s="925"/>
      <c r="C52" s="926"/>
      <c r="D52" s="899"/>
      <c r="E52" s="927" t="s">
        <v>699</v>
      </c>
      <c r="F52" s="990"/>
      <c r="I52" s="1341" t="s">
        <v>832</v>
      </c>
      <c r="J52" s="1342">
        <f>'数据-取费表'!J6+0.005</f>
        <v>7.5000000000000011E-2</v>
      </c>
      <c r="K52" s="1341" t="s">
        <v>833</v>
      </c>
      <c r="L52" s="1342"/>
      <c r="O52" s="1333" t="s">
        <v>408</v>
      </c>
      <c r="P52" s="1325" t="s">
        <v>834</v>
      </c>
      <c r="Q52" s="1326">
        <f ca="1">J53</f>
        <v>31.83</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31.83</v>
      </c>
      <c r="K53" s="3399" t="s">
        <v>837</v>
      </c>
      <c r="L53" s="3400"/>
      <c r="O53" s="1324" t="s">
        <v>409</v>
      </c>
      <c r="P53" s="1325" t="s">
        <v>838</v>
      </c>
      <c r="Q53" s="1326">
        <f ca="1">Q47+Q48</f>
        <v>1235680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0.22</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603245</v>
      </c>
      <c r="D56" s="1351"/>
      <c r="E56" s="1352"/>
      <c r="F56" s="1344"/>
      <c r="I56" s="1353" t="s">
        <v>842</v>
      </c>
      <c r="J56" s="1354" t="s">
        <v>3415</v>
      </c>
      <c r="K56" s="1327" t="s">
        <v>843</v>
      </c>
      <c r="L56" s="1330" t="str">
        <f ca="1">IF(L48&lt;J51,"——",L48-J51)</f>
        <v>——</v>
      </c>
      <c r="O56" s="1324" t="s">
        <v>403</v>
      </c>
      <c r="P56" s="1325" t="s">
        <v>817</v>
      </c>
      <c r="Q56" s="1326">
        <f ca="1">C40+J29</f>
        <v>1205499</v>
      </c>
      <c r="R56" s="1326" t="s">
        <v>818</v>
      </c>
    </row>
    <row r="57" spans="1:18" s="1291" customFormat="1" ht="24.75" thickBot="1">
      <c r="A57" s="1355"/>
      <c r="B57" s="896" t="s">
        <v>767</v>
      </c>
      <c r="C57" s="230">
        <f ca="1">C29</f>
        <v>754056</v>
      </c>
      <c r="D57" s="1356"/>
      <c r="E57" s="1357"/>
      <c r="F57" s="1358"/>
      <c r="I57" s="1359" t="s">
        <v>844</v>
      </c>
      <c r="J57" s="1360">
        <f ca="1">IF(OR(M47="住宅",J51&lt;L48,J56="是"),"——",J51-L48)</f>
        <v>13.170000000000002</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2111</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301622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f ca="1">IF(OR(M47="住宅",J51&lt;L48,J56="是"),"0",ROUND(J59/(1+J52)^J53,0))</f>
        <v>30181</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0</v>
      </c>
      <c r="I62" s="1366" t="s">
        <v>858</v>
      </c>
      <c r="J62" s="610" t="s">
        <v>859</v>
      </c>
      <c r="K62" s="610" t="s">
        <v>860</v>
      </c>
      <c r="L62" s="610" t="s">
        <v>861</v>
      </c>
      <c r="M62" s="1367" t="s">
        <v>862</v>
      </c>
      <c r="O62" s="1324" t="s">
        <v>409</v>
      </c>
      <c r="P62" s="1325" t="s">
        <v>863</v>
      </c>
      <c r="Q62" s="1326">
        <f ca="1">Q56+Q57</f>
        <v>1205499</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1508</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603</v>
      </c>
      <c r="D65" s="910" t="s">
        <v>743</v>
      </c>
      <c r="E65" s="896" t="s">
        <v>744</v>
      </c>
      <c r="F65" s="321">
        <f t="shared" ca="1" si="0"/>
        <v>1E-3</v>
      </c>
      <c r="I65" s="1366" t="s">
        <v>867</v>
      </c>
      <c r="J65" s="610">
        <v>40</v>
      </c>
      <c r="K65" s="610">
        <v>30</v>
      </c>
      <c r="L65" s="610">
        <v>50</v>
      </c>
      <c r="M65" s="1368">
        <v>0.02</v>
      </c>
      <c r="O65" s="1324" t="s">
        <v>403</v>
      </c>
      <c r="P65" s="1325" t="s">
        <v>868</v>
      </c>
      <c r="Q65" s="1326">
        <f ca="1">C40+J29</f>
        <v>1205499</v>
      </c>
      <c r="R65" s="1326" t="s">
        <v>818</v>
      </c>
    </row>
    <row r="66" spans="1:18" s="1291" customFormat="1" ht="16.5" thickBot="1">
      <c r="A66" s="928" t="s">
        <v>793</v>
      </c>
      <c r="B66" s="896" t="s">
        <v>728</v>
      </c>
      <c r="C66" s="21">
        <f ca="1">ROUND(C48*F66,0)</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-2111</v>
      </c>
      <c r="D67" s="909" t="s">
        <v>753</v>
      </c>
      <c r="E67" s="914"/>
      <c r="F67" s="915"/>
      <c r="O67" s="1333" t="s">
        <v>405</v>
      </c>
      <c r="P67" s="1325" t="s">
        <v>850</v>
      </c>
      <c r="Q67" s="1369">
        <f ca="1">L51</f>
        <v>388610</v>
      </c>
      <c r="R67" s="1326" t="s">
        <v>870</v>
      </c>
    </row>
    <row r="68" spans="1:18" s="1291" customFormat="1" ht="16.5" thickBot="1">
      <c r="A68" s="893" t="s">
        <v>395</v>
      </c>
      <c r="B68" s="894" t="s">
        <v>774</v>
      </c>
      <c r="C68" s="293">
        <f ca="1">ROUND(C67*(1-((1+F70)/(1+F68))^F69)/(F68-F70),0)</f>
        <v>-31399</v>
      </c>
      <c r="D68" s="911" t="s">
        <v>758</v>
      </c>
      <c r="E68" s="896" t="s">
        <v>759</v>
      </c>
      <c r="F68" s="304">
        <f ca="1">F40</f>
        <v>5.5E-2</v>
      </c>
      <c r="O68" s="1333" t="s">
        <v>406</v>
      </c>
      <c r="P68" s="1370" t="s">
        <v>871</v>
      </c>
      <c r="Q68" s="1326">
        <f ca="1">ROUND(Q69-Q70*Q71,0)</f>
        <v>21864</v>
      </c>
      <c r="R68" s="1326" t="s">
        <v>414</v>
      </c>
    </row>
    <row r="69" spans="1:18" s="1291" customFormat="1" ht="13.5" thickBot="1">
      <c r="A69" s="897"/>
      <c r="B69" s="898"/>
      <c r="C69" s="298"/>
      <c r="D69" s="916" t="s">
        <v>762</v>
      </c>
      <c r="E69" s="896" t="s">
        <v>763</v>
      </c>
      <c r="F69" s="324">
        <f ca="1">F41</f>
        <v>31.83</v>
      </c>
      <c r="O69" s="1333" t="s">
        <v>411</v>
      </c>
      <c r="P69" s="1370" t="s">
        <v>872</v>
      </c>
      <c r="Q69" s="1326">
        <f ca="1">C39</f>
        <v>64091</v>
      </c>
      <c r="R69" s="1326" t="s">
        <v>818</v>
      </c>
    </row>
    <row r="70" spans="1:18" s="1291" customFormat="1" ht="13.5" thickBot="1">
      <c r="A70" s="900"/>
      <c r="B70" s="901"/>
      <c r="C70" s="302"/>
      <c r="D70" s="912"/>
      <c r="E70" s="896" t="s">
        <v>766</v>
      </c>
      <c r="F70" s="990"/>
      <c r="O70" s="1333" t="s">
        <v>412</v>
      </c>
      <c r="P70" s="1370" t="s">
        <v>873</v>
      </c>
      <c r="Q70" s="1326">
        <f ca="1">C13</f>
        <v>603245</v>
      </c>
      <c r="R70" s="1326" t="s">
        <v>818</v>
      </c>
    </row>
    <row r="71" spans="1:18" s="1291" customFormat="1" ht="13.5" thickBot="1">
      <c r="A71" s="917" t="s">
        <v>396</v>
      </c>
      <c r="B71" s="918" t="s">
        <v>776</v>
      </c>
      <c r="C71" s="327">
        <f ca="1">ROUND(C68/F71,0)</f>
        <v>-233</v>
      </c>
      <c r="D71" s="919" t="s">
        <v>777</v>
      </c>
      <c r="E71" s="920" t="s">
        <v>778</v>
      </c>
      <c r="F71" s="330">
        <f ca="1">F43</f>
        <v>134.96</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42227</v>
      </c>
      <c r="D75" s="1291"/>
      <c r="E75" s="1291"/>
      <c r="F75" s="1291"/>
      <c r="K75" s="1308"/>
      <c r="L75" s="1291"/>
      <c r="O75" s="1324" t="s">
        <v>409</v>
      </c>
      <c r="P75" s="1325" t="s">
        <v>838</v>
      </c>
      <c r="Q75" s="1326">
        <f ca="1">Q65+Q66</f>
        <v>1205499</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0.34099999999999997</v>
      </c>
    </row>
    <row r="80" spans="1:18">
      <c r="B80" s="331" t="s">
        <v>800</v>
      </c>
      <c r="C80" s="266">
        <f ca="1">ROUND(C75/C39,3)</f>
        <v>0.65900000000000003</v>
      </c>
    </row>
    <row r="81" spans="2:3">
      <c r="B81" s="262" t="s">
        <v>801</v>
      </c>
      <c r="C81" s="230"/>
    </row>
    <row r="82" spans="2:3">
      <c r="B82" s="265" t="s">
        <v>802</v>
      </c>
      <c r="C82" s="267">
        <f ca="1">1-C83</f>
        <v>0.5</v>
      </c>
    </row>
    <row r="83" spans="2:3">
      <c r="B83" s="265" t="s">
        <v>803</v>
      </c>
      <c r="C83" s="266">
        <f ca="1">ROUND(C13/C40,3)</f>
        <v>0.5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15" customHeight="1">
      <c r="A2" s="1292" t="s">
        <v>2314</v>
      </c>
      <c r="B2" s="2594" t="e">
        <f>IF(D2="——",C40,C40+E2)</f>
        <v>#DIV/0!</v>
      </c>
      <c r="C2" s="2595" t="s">
        <v>2315</v>
      </c>
      <c r="D2" s="3138" t="s">
        <v>3358</v>
      </c>
      <c r="E2" s="3139"/>
      <c r="F2" s="2597"/>
      <c r="G2" s="2598"/>
      <c r="H2" s="2599"/>
      <c r="I2" s="2600"/>
      <c r="J2" s="3410" t="s">
        <v>2316</v>
      </c>
      <c r="K2" s="3411"/>
      <c r="L2" s="2601" t="s">
        <v>2317</v>
      </c>
      <c r="M2" s="2601" t="s">
        <v>2318</v>
      </c>
      <c r="N2" s="2601" t="s">
        <v>2319</v>
      </c>
      <c r="O2" s="2601" t="s">
        <v>2320</v>
      </c>
      <c r="P2" s="2601" t="s">
        <v>2321</v>
      </c>
      <c r="Q2" s="2602" t="s">
        <v>2322</v>
      </c>
      <c r="R2" s="2603" t="s">
        <v>2323</v>
      </c>
      <c r="S2" s="2592"/>
      <c r="T2" s="2592"/>
      <c r="U2" s="2592"/>
      <c r="V2" s="2600"/>
    </row>
    <row r="3" spans="1:22" s="2604" customFormat="1" ht="13.15" customHeight="1">
      <c r="A3" s="2605" t="s">
        <v>2324</v>
      </c>
      <c r="B3" s="2606" t="e">
        <f>ROUND(B2*10000/B4,0)</f>
        <v>#DIV/0!</v>
      </c>
      <c r="C3" s="2595" t="s">
        <v>2325</v>
      </c>
      <c r="D3" s="2595"/>
      <c r="E3" s="2596"/>
      <c r="F3" s="2597"/>
      <c r="G3" s="2598"/>
      <c r="H3" s="2599"/>
      <c r="I3" s="2600"/>
      <c r="J3" s="3412" t="s">
        <v>2326</v>
      </c>
      <c r="K3" s="3413"/>
      <c r="L3" s="2607"/>
      <c r="M3" s="2607"/>
      <c r="N3" s="2607"/>
      <c r="O3" s="2607"/>
      <c r="P3" s="2607"/>
      <c r="Q3" s="2608"/>
      <c r="R3" s="2609">
        <f>SUM(L3:Q3)</f>
        <v>0</v>
      </c>
      <c r="S3" s="2592"/>
      <c r="T3" s="2592"/>
      <c r="U3" s="2592"/>
      <c r="V3" s="2600"/>
    </row>
    <row r="4" spans="1:22" s="2604" customFormat="1" ht="13.15" customHeight="1">
      <c r="A4" s="2610" t="s">
        <v>2327</v>
      </c>
      <c r="B4" s="2611"/>
      <c r="C4" s="2595"/>
      <c r="D4" s="2595"/>
      <c r="E4" s="2596"/>
      <c r="F4" s="2597"/>
      <c r="G4" s="2598"/>
      <c r="H4" s="2599"/>
      <c r="I4" s="2600"/>
      <c r="J4" s="3412" t="s">
        <v>2328</v>
      </c>
      <c r="K4" s="3413"/>
      <c r="L4" s="2612"/>
      <c r="M4" s="2612"/>
      <c r="N4" s="2612"/>
      <c r="O4" s="2612"/>
      <c r="P4" s="2612"/>
      <c r="Q4" s="2613"/>
      <c r="R4" s="2614">
        <f>SUM(L4:Q4)</f>
        <v>0</v>
      </c>
      <c r="S4" s="2592"/>
      <c r="T4" s="2592"/>
      <c r="U4" s="2592"/>
      <c r="V4" s="2600"/>
    </row>
    <row r="5" spans="1:22" s="2604" customFormat="1" ht="13.15"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15" customHeight="1" thickBot="1">
      <c r="A6" s="3418" t="s">
        <v>2332</v>
      </c>
      <c r="B6" s="3419"/>
      <c r="C6" s="3420"/>
      <c r="D6" s="2621"/>
      <c r="E6" s="2622"/>
      <c r="F6" s="2623"/>
      <c r="G6" s="2624"/>
      <c r="H6" s="2599"/>
      <c r="I6" s="2600"/>
      <c r="J6" s="3404">
        <v>1</v>
      </c>
      <c r="K6" s="3405"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15" customHeight="1">
      <c r="A7" s="2627" t="s">
        <v>2342</v>
      </c>
      <c r="B7" s="2628"/>
      <c r="C7" s="2629"/>
      <c r="D7" s="2630">
        <f>SUM(D9,D10,D11,D17,0)</f>
        <v>0</v>
      </c>
      <c r="E7" s="2631" t="e">
        <f>E9+E10+E11+E17</f>
        <v>#DIV/0!</v>
      </c>
      <c r="F7" s="2632"/>
      <c r="G7" s="2633"/>
      <c r="H7" s="2599"/>
      <c r="I7" s="2600"/>
      <c r="J7" s="3404"/>
      <c r="K7" s="3406"/>
      <c r="L7" s="2634" t="s">
        <v>2343</v>
      </c>
      <c r="M7" s="2635"/>
      <c r="N7" s="2611"/>
      <c r="O7" s="2636"/>
      <c r="P7" s="2636"/>
      <c r="Q7" s="2637">
        <v>365</v>
      </c>
      <c r="R7" s="2638">
        <f>ROUND(M7*N7*O7*P7*Q7/10000,0)</f>
        <v>0</v>
      </c>
      <c r="S7" s="2592"/>
      <c r="T7" s="2592" t="s">
        <v>2344</v>
      </c>
      <c r="U7" s="2592"/>
      <c r="V7" s="2600"/>
    </row>
    <row r="8" spans="1:22" s="2604" customFormat="1" ht="13.15" customHeight="1">
      <c r="A8" s="2639" t="s">
        <v>2345</v>
      </c>
      <c r="B8" s="3421" t="s">
        <v>2346</v>
      </c>
      <c r="C8" s="3422"/>
      <c r="D8" s="2640" t="s">
        <v>2347</v>
      </c>
      <c r="E8" s="2641" t="s">
        <v>2348</v>
      </c>
      <c r="F8" s="2642" t="s">
        <v>2349</v>
      </c>
      <c r="G8" s="2643"/>
      <c r="H8" s="2599"/>
      <c r="I8" s="2600"/>
      <c r="J8" s="3404"/>
      <c r="K8" s="3406"/>
      <c r="L8" s="2634" t="s">
        <v>2350</v>
      </c>
      <c r="M8" s="2635"/>
      <c r="N8" s="2611"/>
      <c r="O8" s="2636"/>
      <c r="P8" s="2636"/>
      <c r="Q8" s="2637">
        <v>365</v>
      </c>
      <c r="R8" s="2638">
        <f t="shared" ref="R8:R13" si="0">ROUND(M8*N8*O8*P8*Q8/10000,0)</f>
        <v>0</v>
      </c>
      <c r="S8" s="2592"/>
      <c r="T8" s="2592" t="s">
        <v>2351</v>
      </c>
      <c r="U8" s="2592"/>
      <c r="V8" s="2600"/>
    </row>
    <row r="9" spans="1:22" s="2604" customFormat="1" ht="13.15" customHeight="1">
      <c r="A9" s="2639">
        <v>1</v>
      </c>
      <c r="B9" s="3421" t="s">
        <v>2352</v>
      </c>
      <c r="C9" s="3422"/>
      <c r="D9" s="2640">
        <f>ROUND(D6*E9,0)</f>
        <v>0</v>
      </c>
      <c r="E9" s="2644"/>
      <c r="F9" s="2645" t="s">
        <v>2353</v>
      </c>
      <c r="G9" s="2624"/>
      <c r="H9" s="2599"/>
      <c r="I9" s="2600"/>
      <c r="J9" s="3404"/>
      <c r="K9" s="3406"/>
      <c r="L9" s="2634" t="s">
        <v>2354</v>
      </c>
      <c r="M9" s="2635"/>
      <c r="N9" s="2611"/>
      <c r="O9" s="2636"/>
      <c r="P9" s="2636"/>
      <c r="Q9" s="2637">
        <v>365</v>
      </c>
      <c r="R9" s="2638">
        <f t="shared" si="0"/>
        <v>0</v>
      </c>
      <c r="S9" s="2592"/>
      <c r="T9" s="2592"/>
      <c r="U9" s="2592"/>
      <c r="V9" s="2600"/>
    </row>
    <row r="10" spans="1:22" s="2604" customFormat="1" ht="13.15" customHeight="1">
      <c r="A10" s="2639">
        <v>2</v>
      </c>
      <c r="B10" s="3421" t="s">
        <v>2355</v>
      </c>
      <c r="C10" s="3422"/>
      <c r="D10" s="2640">
        <f>ROUND(D6*E10,0)</f>
        <v>0</v>
      </c>
      <c r="E10" s="2644"/>
      <c r="F10" s="2645" t="s">
        <v>2356</v>
      </c>
      <c r="G10" s="2624"/>
      <c r="H10" s="2599"/>
      <c r="I10" s="2600"/>
      <c r="J10" s="3404"/>
      <c r="K10" s="3406"/>
      <c r="L10" s="2634" t="s">
        <v>2357</v>
      </c>
      <c r="M10" s="2635"/>
      <c r="N10" s="2611"/>
      <c r="O10" s="2636"/>
      <c r="P10" s="2636"/>
      <c r="Q10" s="2637">
        <v>365</v>
      </c>
      <c r="R10" s="2638">
        <f t="shared" si="0"/>
        <v>0</v>
      </c>
      <c r="S10" s="2592"/>
      <c r="T10" s="2592"/>
      <c r="U10" s="2592"/>
      <c r="V10" s="2600"/>
    </row>
    <row r="11" spans="1:22" s="2604" customFormat="1" ht="13.15" customHeight="1">
      <c r="A11" s="2639">
        <v>3</v>
      </c>
      <c r="B11" s="3421" t="s">
        <v>2358</v>
      </c>
      <c r="C11" s="3422"/>
      <c r="D11" s="2640">
        <f>D12+D14+D15+D16</f>
        <v>0</v>
      </c>
      <c r="E11" s="2646" t="e">
        <f>D11/D6</f>
        <v>#DIV/0!</v>
      </c>
      <c r="F11" s="2642"/>
      <c r="G11" s="2643"/>
      <c r="H11" s="2599"/>
      <c r="I11" s="2600"/>
      <c r="J11" s="3404"/>
      <c r="K11" s="3406"/>
      <c r="L11" s="2634" t="s">
        <v>2359</v>
      </c>
      <c r="M11" s="2635"/>
      <c r="N11" s="2611"/>
      <c r="O11" s="2636"/>
      <c r="P11" s="2636"/>
      <c r="Q11" s="2637">
        <v>365</v>
      </c>
      <c r="R11" s="2638">
        <f t="shared" si="0"/>
        <v>0</v>
      </c>
      <c r="S11" s="2592"/>
      <c r="T11" s="2592"/>
      <c r="U11" s="2592"/>
      <c r="V11" s="2600"/>
    </row>
    <row r="12" spans="1:22" s="2604" customFormat="1" ht="13.15" customHeight="1">
      <c r="A12" s="2647" t="s">
        <v>2360</v>
      </c>
      <c r="B12" s="3414" t="s">
        <v>2361</v>
      </c>
      <c r="C12" s="3415"/>
      <c r="D12" s="2648">
        <f>ROUND(D13*1.2%*(1-30%),0)</f>
        <v>0</v>
      </c>
      <c r="E12" s="2649">
        <v>1.2E-2</v>
      </c>
      <c r="F12" s="2642" t="s">
        <v>2362</v>
      </c>
      <c r="G12" s="2643"/>
      <c r="H12" s="2599"/>
      <c r="I12" s="2600"/>
      <c r="J12" s="3404"/>
      <c r="K12" s="3406"/>
      <c r="L12" s="2634" t="s">
        <v>2363</v>
      </c>
      <c r="M12" s="2635"/>
      <c r="N12" s="2611"/>
      <c r="O12" s="2636"/>
      <c r="P12" s="2636"/>
      <c r="Q12" s="2637">
        <v>365</v>
      </c>
      <c r="R12" s="2638">
        <f t="shared" si="0"/>
        <v>0</v>
      </c>
      <c r="S12" s="2592"/>
      <c r="T12" s="2592"/>
      <c r="U12" s="2592"/>
      <c r="V12" s="2600"/>
    </row>
    <row r="13" spans="1:22" s="2604" customFormat="1" ht="13.15" customHeight="1">
      <c r="A13" s="2647"/>
      <c r="B13" s="2650"/>
      <c r="C13" s="2651" t="s">
        <v>2364</v>
      </c>
      <c r="D13" s="2652"/>
      <c r="E13" s="2653"/>
      <c r="F13" s="2642"/>
      <c r="G13" s="2643"/>
      <c r="H13" s="2599"/>
      <c r="I13" s="2600"/>
      <c r="J13" s="3404"/>
      <c r="K13" s="3406"/>
      <c r="L13" s="2634" t="s">
        <v>2365</v>
      </c>
      <c r="M13" s="2635"/>
      <c r="N13" s="2611"/>
      <c r="O13" s="2636"/>
      <c r="P13" s="2636"/>
      <c r="Q13" s="2637">
        <v>365</v>
      </c>
      <c r="R13" s="2638">
        <f t="shared" si="0"/>
        <v>0</v>
      </c>
      <c r="S13" s="2592"/>
      <c r="T13" s="2592"/>
      <c r="U13" s="2592"/>
      <c r="V13" s="2600"/>
    </row>
    <row r="14" spans="1:22" s="2604" customFormat="1" ht="13.15" customHeight="1">
      <c r="A14" s="2647" t="s">
        <v>2366</v>
      </c>
      <c r="B14" s="3414" t="s">
        <v>2367</v>
      </c>
      <c r="C14" s="3415"/>
      <c r="D14" s="2648">
        <f>ROUND(E14*B5/10000,0)</f>
        <v>0</v>
      </c>
      <c r="E14" s="2637"/>
      <c r="F14" s="2642" t="s">
        <v>2368</v>
      </c>
      <c r="G14" s="2643"/>
      <c r="H14" s="2599"/>
      <c r="I14" s="2600"/>
      <c r="J14" s="3404"/>
      <c r="K14" s="3407"/>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2370</v>
      </c>
      <c r="B15" s="3414" t="s">
        <v>2371</v>
      </c>
      <c r="C15" s="3415"/>
      <c r="D15" s="2648">
        <f>ROUND(D6*E15,0)</f>
        <v>0</v>
      </c>
      <c r="E15" s="2649">
        <v>5.5E-2</v>
      </c>
      <c r="F15" s="2642" t="s">
        <v>2372</v>
      </c>
      <c r="G15" s="2624"/>
      <c r="H15" s="2599"/>
      <c r="I15" s="2600"/>
      <c r="J15" s="3404">
        <v>2</v>
      </c>
      <c r="K15" s="3405"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15" customHeight="1">
      <c r="A16" s="2647" t="s">
        <v>2379</v>
      </c>
      <c r="B16" s="3414" t="s">
        <v>2380</v>
      </c>
      <c r="C16" s="3415"/>
      <c r="D16" s="2659">
        <f>D6*E16</f>
        <v>0</v>
      </c>
      <c r="E16" s="2660"/>
      <c r="F16" s="2645" t="s">
        <v>2381</v>
      </c>
      <c r="G16" s="2624"/>
      <c r="H16" s="2599"/>
      <c r="I16" s="2600"/>
      <c r="J16" s="3404"/>
      <c r="K16" s="3406"/>
      <c r="L16" s="2634" t="s">
        <v>2382</v>
      </c>
      <c r="M16" s="2635"/>
      <c r="N16" s="2635"/>
      <c r="O16" s="2636"/>
      <c r="P16" s="2637">
        <v>365</v>
      </c>
      <c r="Q16" s="2611"/>
      <c r="R16" s="2658">
        <f>ROUND(M16*N16*O16*P16/10000,0)</f>
        <v>0</v>
      </c>
      <c r="S16" s="2592"/>
      <c r="T16" s="2592"/>
      <c r="U16" s="2592"/>
      <c r="V16" s="2600"/>
    </row>
    <row r="17" spans="1:22" s="2604" customFormat="1" ht="13.15" customHeight="1" thickBot="1">
      <c r="A17" s="2661">
        <v>4</v>
      </c>
      <c r="B17" s="3416" t="s">
        <v>2383</v>
      </c>
      <c r="C17" s="3417"/>
      <c r="D17" s="2662">
        <f>ROUND(D6*E17,0)</f>
        <v>0</v>
      </c>
      <c r="E17" s="2663"/>
      <c r="F17" s="2664" t="s">
        <v>2384</v>
      </c>
      <c r="G17" s="2624"/>
      <c r="H17" s="2599"/>
      <c r="I17" s="2600"/>
      <c r="J17" s="3404"/>
      <c r="K17" s="3406"/>
      <c r="L17" s="2634" t="s">
        <v>2385</v>
      </c>
      <c r="M17" s="2635"/>
      <c r="N17" s="2635"/>
      <c r="O17" s="2636"/>
      <c r="P17" s="2637">
        <v>365</v>
      </c>
      <c r="Q17" s="2611"/>
      <c r="R17" s="2658">
        <f>ROUND(M17*N17*O17*P17/10000,0)</f>
        <v>0</v>
      </c>
      <c r="S17" s="2592"/>
      <c r="T17" s="2592"/>
      <c r="U17" s="2592"/>
      <c r="V17" s="2600"/>
    </row>
    <row r="18" spans="1:22" s="2604" customFormat="1" ht="13.15" customHeight="1" thickBot="1">
      <c r="A18" s="2627" t="s">
        <v>2386</v>
      </c>
      <c r="B18" s="2628"/>
      <c r="C18" s="2628"/>
      <c r="D18" s="2665">
        <f>ROUND(D6*E18,0)</f>
        <v>0</v>
      </c>
      <c r="E18" s="2666"/>
      <c r="F18" s="2667" t="s">
        <v>2387</v>
      </c>
      <c r="G18" s="2624"/>
      <c r="H18" s="2599"/>
      <c r="I18" s="2600"/>
      <c r="J18" s="3404"/>
      <c r="K18" s="3406"/>
      <c r="L18" s="2634" t="s">
        <v>2388</v>
      </c>
      <c r="M18" s="2635"/>
      <c r="N18" s="2635"/>
      <c r="O18" s="2636"/>
      <c r="P18" s="2637">
        <v>365</v>
      </c>
      <c r="Q18" s="2611"/>
      <c r="R18" s="2658">
        <f>ROUND(M18*N18*O18*P18/10000,0)</f>
        <v>0</v>
      </c>
      <c r="S18" s="2592"/>
      <c r="T18" s="2592"/>
      <c r="U18" s="2592"/>
      <c r="V18" s="2600"/>
    </row>
    <row r="19" spans="1:22" s="2604" customFormat="1" ht="13.15" customHeight="1" thickBot="1">
      <c r="A19" s="2668" t="s">
        <v>2389</v>
      </c>
      <c r="B19" s="2622"/>
      <c r="C19" s="2622"/>
      <c r="D19" s="2622"/>
      <c r="E19" s="2622"/>
      <c r="F19" s="2623"/>
      <c r="G19" s="2643"/>
      <c r="H19" s="2599"/>
      <c r="I19" s="2600"/>
      <c r="J19" s="3404"/>
      <c r="K19" s="3407"/>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04">
        <v>3</v>
      </c>
      <c r="K20" s="3405"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15" customHeight="1">
      <c r="A21" s="2627"/>
      <c r="B21" s="2628"/>
      <c r="C21" s="2673" t="s">
        <v>2398</v>
      </c>
      <c r="D21" s="2674" t="s">
        <v>2399</v>
      </c>
      <c r="E21" s="2675" t="s">
        <v>2400</v>
      </c>
      <c r="F21" s="2671"/>
      <c r="G21" s="2643"/>
      <c r="H21" s="2599"/>
      <c r="I21" s="2600"/>
      <c r="J21" s="3404"/>
      <c r="K21" s="3406"/>
      <c r="L21" s="2634" t="s">
        <v>2401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2402</v>
      </c>
      <c r="D22" s="2678" t="s">
        <v>2403</v>
      </c>
      <c r="E22" s="2679" t="s">
        <v>2404</v>
      </c>
      <c r="F22" s="2671"/>
      <c r="G22" s="2592"/>
      <c r="H22" s="2599"/>
      <c r="I22" s="2600"/>
      <c r="J22" s="3404"/>
      <c r="K22" s="3406"/>
      <c r="L22" s="2634" t="s">
        <v>2405</v>
      </c>
      <c r="M22" s="2635"/>
      <c r="N22" s="2635"/>
      <c r="O22" s="2636"/>
      <c r="P22" s="2637">
        <v>365</v>
      </c>
      <c r="Q22" s="2611"/>
      <c r="R22" s="2676">
        <f>ROUND(M22*N22*O22*P22/10000,0)</f>
        <v>0</v>
      </c>
      <c r="S22" s="2592"/>
      <c r="T22" s="2592"/>
      <c r="U22" s="2592"/>
      <c r="V22" s="2600"/>
    </row>
    <row r="23" spans="1:22" s="2604" customFormat="1" ht="13.15" customHeight="1">
      <c r="A23" s="2680">
        <v>1</v>
      </c>
      <c r="B23" s="2681" t="s">
        <v>2406</v>
      </c>
      <c r="C23" s="2682">
        <f>D6</f>
        <v>0</v>
      </c>
      <c r="D23" s="2683">
        <f>C23*(1+D24)</f>
        <v>0</v>
      </c>
      <c r="E23" s="2684">
        <f>D23*(1+E24)</f>
        <v>0</v>
      </c>
      <c r="F23" s="2685"/>
      <c r="G23" s="2686"/>
      <c r="H23" s="2599"/>
      <c r="I23" s="2600"/>
      <c r="J23" s="3404"/>
      <c r="K23" s="3406"/>
      <c r="L23" s="2634" t="s">
        <v>2407</v>
      </c>
      <c r="M23" s="2635"/>
      <c r="N23" s="2635"/>
      <c r="O23" s="2636"/>
      <c r="P23" s="2637">
        <v>365</v>
      </c>
      <c r="Q23" s="2611"/>
      <c r="R23" s="2676">
        <f>ROUND(M23*N23*O23*P23/10000,0)</f>
        <v>0</v>
      </c>
      <c r="S23" s="2592"/>
      <c r="T23" s="2592"/>
      <c r="U23" s="2592"/>
      <c r="V23" s="2600"/>
    </row>
    <row r="24" spans="1:22" s="2604" customFormat="1" ht="13.15" customHeight="1">
      <c r="A24" s="2687"/>
      <c r="B24" s="2688" t="s">
        <v>2408</v>
      </c>
      <c r="C24" s="2689"/>
      <c r="D24" s="2690"/>
      <c r="E24" s="2691"/>
      <c r="F24" s="2692"/>
      <c r="G24" s="2686"/>
      <c r="H24" s="2599"/>
      <c r="I24" s="2600"/>
      <c r="J24" s="3404"/>
      <c r="K24" s="3407"/>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15" customHeight="1">
      <c r="A26" s="2680">
        <v>2</v>
      </c>
      <c r="B26" s="2681" t="s">
        <v>2410</v>
      </c>
      <c r="C26" s="2682">
        <f>D7</f>
        <v>0</v>
      </c>
      <c r="D26" s="2683">
        <f>D23*D27</f>
        <v>0</v>
      </c>
      <c r="E26" s="2684">
        <f>E23*E27</f>
        <v>0</v>
      </c>
      <c r="F26" s="2685"/>
      <c r="G26" s="2686"/>
      <c r="H26" s="2599"/>
      <c r="I26" s="2600"/>
      <c r="J26" s="3408">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15" customHeight="1">
      <c r="A27" s="2687"/>
      <c r="B27" s="2688" t="s">
        <v>2416</v>
      </c>
      <c r="C27" s="2705" t="e">
        <f>E7</f>
        <v>#DIV/0!</v>
      </c>
      <c r="D27" s="2690"/>
      <c r="E27" s="2691"/>
      <c r="F27" s="2692"/>
      <c r="G27" s="2686"/>
      <c r="H27" s="2706"/>
      <c r="I27" s="2698"/>
      <c r="J27" s="340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15"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15" customHeight="1">
      <c r="A32" s="2680">
        <v>4</v>
      </c>
      <c r="B32" s="2681" t="s">
        <v>2424</v>
      </c>
      <c r="C32" s="2682">
        <f>C23-C26-C29</f>
        <v>0</v>
      </c>
      <c r="D32" s="2683">
        <f>D23-D26-D29</f>
        <v>0</v>
      </c>
      <c r="E32" s="2684">
        <f>E23-E26-E29</f>
        <v>0</v>
      </c>
      <c r="F32" s="2685"/>
      <c r="G32" s="2592"/>
      <c r="H32" s="2599"/>
      <c r="I32" s="2600"/>
      <c r="J32" s="3410" t="s">
        <v>2316</v>
      </c>
      <c r="K32" s="3411"/>
      <c r="L32" s="2601" t="s">
        <v>2317</v>
      </c>
      <c r="M32" s="2601" t="s">
        <v>2318</v>
      </c>
      <c r="N32" s="2601" t="s">
        <v>2319</v>
      </c>
      <c r="O32" s="2601" t="s">
        <v>2320</v>
      </c>
      <c r="P32" s="2601" t="s">
        <v>2321</v>
      </c>
      <c r="Q32" s="2602" t="s">
        <v>2322</v>
      </c>
      <c r="R32" s="2721" t="s">
        <v>2323</v>
      </c>
      <c r="S32" s="2592"/>
      <c r="T32" s="2592"/>
      <c r="U32" s="2592"/>
      <c r="V32" s="2698"/>
    </row>
    <row r="33" spans="1:23" s="2604" customFormat="1" ht="13.15" customHeight="1">
      <c r="A33" s="2680"/>
      <c r="B33" s="2681"/>
      <c r="C33" s="2682"/>
      <c r="D33" s="2722"/>
      <c r="E33" s="2723"/>
      <c r="F33" s="2685"/>
      <c r="G33" s="2592"/>
      <c r="H33" s="2706"/>
      <c r="I33" s="2698"/>
      <c r="J33" s="3412" t="s">
        <v>2326</v>
      </c>
      <c r="K33" s="3413"/>
      <c r="L33" s="2607"/>
      <c r="M33" s="2607"/>
      <c r="N33" s="2607"/>
      <c r="O33" s="2607"/>
      <c r="P33" s="2607"/>
      <c r="Q33" s="2608"/>
      <c r="R33" s="2724">
        <f>SUM(L33:Q33)</f>
        <v>0</v>
      </c>
      <c r="S33" s="2592"/>
      <c r="T33" s="2592"/>
      <c r="U33" s="2592"/>
      <c r="V33" s="2600"/>
    </row>
    <row r="34" spans="1:23" s="2604" customFormat="1" ht="13.15" customHeight="1">
      <c r="A34" s="2680">
        <v>5</v>
      </c>
      <c r="B34" s="2681" t="s">
        <v>2425</v>
      </c>
      <c r="C34" s="2725"/>
      <c r="D34" s="2726"/>
      <c r="E34" s="2727"/>
      <c r="F34" s="2685"/>
      <c r="G34" s="2592"/>
      <c r="H34" s="2706"/>
      <c r="I34" s="2698"/>
      <c r="J34" s="3412" t="s">
        <v>2328</v>
      </c>
      <c r="K34" s="341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15" customHeight="1" thickBot="1">
      <c r="A36" s="2680">
        <v>7</v>
      </c>
      <c r="B36" s="2734" t="s">
        <v>2427</v>
      </c>
      <c r="C36" s="2735"/>
      <c r="D36" s="2736"/>
      <c r="E36" s="2737"/>
      <c r="F36" s="2738">
        <f>C36+D36+E36</f>
        <v>0</v>
      </c>
      <c r="G36" s="2592"/>
      <c r="H36" s="2599"/>
      <c r="I36" s="2600"/>
      <c r="J36" s="3404">
        <v>1</v>
      </c>
      <c r="K36" s="3405" t="s">
        <v>2428</v>
      </c>
      <c r="L36" s="2625"/>
      <c r="M36" s="2626"/>
      <c r="N36" s="2626"/>
      <c r="O36" s="2626"/>
      <c r="P36" s="2626"/>
      <c r="Q36" s="2626"/>
      <c r="R36" s="2609" t="s">
        <v>2340</v>
      </c>
      <c r="S36" s="2592"/>
      <c r="T36" s="2592" t="s">
        <v>2341</v>
      </c>
      <c r="U36" s="2592"/>
      <c r="V36" s="2600"/>
    </row>
    <row r="37" spans="1:23" s="2604" customFormat="1" ht="13.15" customHeight="1">
      <c r="A37" s="2680"/>
      <c r="B37" s="2681"/>
      <c r="C37" s="2681"/>
      <c r="D37" s="2681"/>
      <c r="E37" s="2681"/>
      <c r="F37" s="2685"/>
      <c r="G37" s="2592"/>
      <c r="H37" s="2599"/>
      <c r="I37" s="2600"/>
      <c r="J37" s="3404"/>
      <c r="K37" s="3406"/>
      <c r="L37" s="2634"/>
      <c r="M37" s="2635"/>
      <c r="N37" s="2611"/>
      <c r="O37" s="2636"/>
      <c r="P37" s="2636"/>
      <c r="Q37" s="2637"/>
      <c r="R37" s="2638"/>
      <c r="S37" s="2592"/>
      <c r="T37" s="2592" t="s">
        <v>2344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04"/>
      <c r="K38" s="3406"/>
      <c r="L38" s="2634"/>
      <c r="M38" s="2635"/>
      <c r="N38" s="2611"/>
      <c r="O38" s="2636"/>
      <c r="P38" s="2636"/>
      <c r="Q38" s="2637"/>
      <c r="R38" s="2638"/>
      <c r="S38" s="2592"/>
      <c r="T38" s="2592" t="s">
        <v>2351</v>
      </c>
      <c r="U38" s="2592"/>
      <c r="V38" s="2600"/>
    </row>
    <row r="39" spans="1:23" s="2604" customFormat="1" ht="13.15" customHeight="1">
      <c r="A39" s="2680">
        <v>9</v>
      </c>
      <c r="B39" s="2681" t="s">
        <v>2429</v>
      </c>
      <c r="C39" s="2648" t="e">
        <f>C38</f>
        <v>#DIV/0!</v>
      </c>
      <c r="D39" s="2681">
        <f>D38/(1+D34)^C36</f>
        <v>0</v>
      </c>
      <c r="E39" s="2681">
        <f>E38/(1+E34)^(C36+D36)</f>
        <v>0</v>
      </c>
      <c r="F39" s="2685"/>
      <c r="G39" s="2600"/>
      <c r="H39" s="2599"/>
      <c r="I39" s="2600"/>
      <c r="J39" s="3404"/>
      <c r="K39" s="3406"/>
      <c r="L39" s="2634"/>
      <c r="M39" s="2635"/>
      <c r="N39" s="2611"/>
      <c r="O39" s="2636"/>
      <c r="P39" s="2636"/>
      <c r="Q39" s="2637"/>
      <c r="R39" s="2638"/>
      <c r="S39" s="2592"/>
      <c r="T39" s="2592"/>
      <c r="U39" s="2592"/>
      <c r="V39" s="2600"/>
    </row>
    <row r="40" spans="1:23" s="2604" customFormat="1" ht="13.15" customHeight="1">
      <c r="A40" s="2739">
        <v>10</v>
      </c>
      <c r="B40" s="2681" t="s">
        <v>2430</v>
      </c>
      <c r="C40" s="2740" t="e">
        <f>C39+D39+E39</f>
        <v>#DIV/0!</v>
      </c>
      <c r="D40" s="2741"/>
      <c r="E40" s="2741"/>
      <c r="F40" s="2742"/>
      <c r="G40" s="2592"/>
      <c r="H40" s="2599"/>
      <c r="I40" s="2600"/>
      <c r="J40" s="3404"/>
      <c r="K40" s="3407"/>
      <c r="L40" s="2654" t="s">
        <v>2369</v>
      </c>
      <c r="M40" s="2655"/>
      <c r="N40" s="2655"/>
      <c r="O40" s="2656"/>
      <c r="P40" s="2656"/>
      <c r="Q40" s="2657"/>
      <c r="R40" s="2603">
        <f>SUM(R37:R39)</f>
        <v>0</v>
      </c>
      <c r="S40" s="2592"/>
      <c r="T40" s="2592"/>
      <c r="U40" s="2592"/>
      <c r="V40" s="2600"/>
    </row>
    <row r="41" spans="1:23" s="2604" customFormat="1" ht="13.15"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08">
        <v>3</v>
      </c>
      <c r="K42" s="2700" t="s">
        <v>2411</v>
      </c>
      <c r="L42" s="2701"/>
      <c r="M42" s="2702"/>
      <c r="N42" s="2703" t="s">
        <v>2412</v>
      </c>
      <c r="O42" s="2703" t="s">
        <v>2413</v>
      </c>
      <c r="P42" s="2704" t="s">
        <v>2414</v>
      </c>
      <c r="Q42" s="2704" t="s">
        <v>2415</v>
      </c>
      <c r="R42" s="2609" t="s">
        <v>2340</v>
      </c>
      <c r="S42" s="2643"/>
      <c r="T42" s="2643"/>
      <c r="U42" s="2592"/>
      <c r="V42" s="2600"/>
    </row>
    <row r="43" spans="1:23" ht="13.15" customHeight="1">
      <c r="A43" s="2604"/>
      <c r="B43" s="2604"/>
      <c r="C43" s="2604"/>
      <c r="D43" s="2604"/>
      <c r="E43" s="2604"/>
      <c r="F43" s="2604"/>
      <c r="I43" s="2587"/>
      <c r="J43" s="340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123.568</v>
      </c>
      <c r="C2" s="1728" t="s">
        <v>1651</v>
      </c>
      <c r="D2" s="1729" t="s">
        <v>1652</v>
      </c>
      <c r="E2" s="2392">
        <f>SUM(E6:E13)</f>
        <v>134.96</v>
      </c>
      <c r="F2" s="2479"/>
      <c r="G2" s="459"/>
      <c r="H2" s="459"/>
      <c r="I2" s="459"/>
      <c r="J2" s="459"/>
      <c r="K2" s="459"/>
      <c r="L2" s="459"/>
      <c r="M2" s="459"/>
      <c r="N2" s="459"/>
      <c r="O2" s="459"/>
      <c r="P2" s="459"/>
      <c r="Q2" s="459"/>
      <c r="R2" s="459"/>
      <c r="S2" s="459"/>
    </row>
    <row r="3" spans="1:22" ht="15.75">
      <c r="A3" s="1727" t="s">
        <v>686</v>
      </c>
      <c r="B3" s="2386">
        <f ca="1">ROUND(B2*10000/E2,0)</f>
        <v>9156</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23" t="s">
        <v>1654</v>
      </c>
      <c r="C5" s="3424"/>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123.568</v>
      </c>
      <c r="C6" s="1728" t="s">
        <v>1651</v>
      </c>
      <c r="D6" s="2479"/>
      <c r="E6" s="2391">
        <f>IF(OR(A6=0,F6="否"),0,'数据-取费表'!K6+'数据-取费表'!S6)</f>
        <v>134.96</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134.96</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66" t="s">
        <v>1667</v>
      </c>
      <c r="D4" s="3367"/>
      <c r="E4" s="3368" t="s">
        <v>1668</v>
      </c>
      <c r="F4" s="3369"/>
      <c r="G4" s="3366" t="s">
        <v>1669</v>
      </c>
      <c r="H4" s="3367"/>
      <c r="I4" s="3366" t="s">
        <v>1670</v>
      </c>
      <c r="J4" s="3367"/>
      <c r="K4" s="1743" t="s">
        <v>1671</v>
      </c>
      <c r="L4" s="2486"/>
      <c r="M4" s="2487"/>
      <c r="N4" s="2487"/>
      <c r="O4" s="2487"/>
      <c r="P4" s="3429" t="s">
        <v>1672</v>
      </c>
      <c r="Q4" s="3430"/>
      <c r="R4" s="3433" t="s">
        <v>1668</v>
      </c>
      <c r="S4" s="3434"/>
      <c r="T4" s="3433" t="s">
        <v>1669</v>
      </c>
      <c r="U4" s="3434"/>
      <c r="V4" s="3350" t="s">
        <v>1670</v>
      </c>
      <c r="W4" s="3350"/>
      <c r="X4" s="1264"/>
      <c r="Y4" s="3433" t="s">
        <v>1672</v>
      </c>
      <c r="Z4" s="3434"/>
      <c r="AA4" s="3428" t="s">
        <v>1668</v>
      </c>
      <c r="AB4" s="3428" t="s">
        <v>1669</v>
      </c>
      <c r="AC4" s="3428" t="s">
        <v>1670</v>
      </c>
    </row>
    <row r="5" spans="1:29" ht="15">
      <c r="A5" s="348"/>
      <c r="B5" s="349"/>
      <c r="C5" s="3391" t="s">
        <v>1673</v>
      </c>
      <c r="D5" s="3386"/>
      <c r="E5" s="3435" t="s">
        <v>1674</v>
      </c>
      <c r="F5" s="3398"/>
      <c r="G5" s="3391" t="s">
        <v>1675</v>
      </c>
      <c r="H5" s="3386"/>
      <c r="I5" s="3391" t="s">
        <v>1676</v>
      </c>
      <c r="J5" s="3386"/>
      <c r="K5" s="1744"/>
      <c r="L5" s="2486"/>
      <c r="M5" s="2487"/>
      <c r="N5" s="2487"/>
      <c r="O5" s="2487"/>
      <c r="P5" s="3431"/>
      <c r="Q5" s="3373"/>
      <c r="R5" s="3378"/>
      <c r="S5" s="3379"/>
      <c r="T5" s="3378"/>
      <c r="U5" s="3379"/>
      <c r="V5" s="3350"/>
      <c r="W5" s="3350"/>
      <c r="X5" s="1264"/>
      <c r="Y5" s="3378"/>
      <c r="Z5" s="3379"/>
      <c r="AA5" s="3395"/>
      <c r="AB5" s="3395"/>
      <c r="AC5" s="3395"/>
    </row>
    <row r="6" spans="1:29" ht="15.75" thickBot="1">
      <c r="A6" s="350"/>
      <c r="B6" s="351"/>
      <c r="C6" s="3383" t="s">
        <v>1677</v>
      </c>
      <c r="D6" s="3384"/>
      <c r="E6" s="3392" t="s">
        <v>1677</v>
      </c>
      <c r="F6" s="3393"/>
      <c r="G6" s="3383" t="s">
        <v>1677</v>
      </c>
      <c r="H6" s="3384"/>
      <c r="I6" s="3383" t="s">
        <v>1677</v>
      </c>
      <c r="J6" s="3384"/>
      <c r="K6" s="1744" t="s">
        <v>1678</v>
      </c>
      <c r="L6" s="2486"/>
      <c r="M6" s="2487"/>
      <c r="N6" s="2487"/>
      <c r="O6" s="2487"/>
      <c r="P6" s="3432"/>
      <c r="Q6" s="3375"/>
      <c r="R6" s="3378"/>
      <c r="S6" s="3379"/>
      <c r="T6" s="3380"/>
      <c r="U6" s="3381"/>
      <c r="V6" s="3350"/>
      <c r="W6" s="3350"/>
      <c r="X6" s="1264"/>
      <c r="Y6" s="3380"/>
      <c r="Z6" s="3381"/>
      <c r="AA6" s="3396"/>
      <c r="AB6" s="3396"/>
      <c r="AC6" s="3396"/>
    </row>
    <row r="7" spans="1:29" s="102" customFormat="1" ht="15.75" thickBot="1">
      <c r="A7" s="352" t="s">
        <v>1679</v>
      </c>
      <c r="B7" s="353"/>
      <c r="C7" s="354">
        <f>'数据-取费表'!B2</f>
        <v>45833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89" t="s">
        <v>1680</v>
      </c>
      <c r="Q7" s="3390"/>
      <c r="R7" s="664" t="s">
        <v>20</v>
      </c>
      <c r="S7" s="665">
        <f t="shared" ref="S7:S15" si="0">F7</f>
        <v>0</v>
      </c>
      <c r="T7" s="664" t="s">
        <v>20</v>
      </c>
      <c r="U7" s="665">
        <f t="shared" ref="U7:U15" si="1">H7</f>
        <v>0</v>
      </c>
      <c r="V7" s="664" t="s">
        <v>20</v>
      </c>
      <c r="W7" s="665">
        <f t="shared" ref="W7:W15" si="2">J7</f>
        <v>0</v>
      </c>
      <c r="X7" s="666"/>
      <c r="Y7" s="3389" t="s">
        <v>1680</v>
      </c>
      <c r="Z7" s="3388"/>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9" t="s">
        <v>1683</v>
      </c>
      <c r="Q8" s="3388"/>
      <c r="R8" s="664" t="s">
        <v>20</v>
      </c>
      <c r="S8" s="665">
        <f t="shared" si="0"/>
        <v>100</v>
      </c>
      <c r="T8" s="664" t="s">
        <v>20</v>
      </c>
      <c r="U8" s="665">
        <f t="shared" si="1"/>
        <v>100</v>
      </c>
      <c r="V8" s="664" t="s">
        <v>20</v>
      </c>
      <c r="W8" s="665">
        <f t="shared" si="2"/>
        <v>100</v>
      </c>
      <c r="X8" s="666"/>
      <c r="Y8" s="3389" t="s">
        <v>1683</v>
      </c>
      <c r="Z8" s="338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4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4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48"/>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48"/>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48"/>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48"/>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54" t="s">
        <v>1691</v>
      </c>
      <c r="Q15" s="1262" t="str">
        <f t="shared" si="6"/>
        <v>居住社区成熟度</v>
      </c>
      <c r="R15" s="667" t="s">
        <v>18</v>
      </c>
      <c r="S15" s="668">
        <f t="shared" si="0"/>
        <v>100</v>
      </c>
      <c r="T15" s="667" t="s">
        <v>18</v>
      </c>
      <c r="U15" s="668">
        <f t="shared" si="1"/>
        <v>100</v>
      </c>
      <c r="V15" s="667" t="s">
        <v>18</v>
      </c>
      <c r="W15" s="668">
        <f t="shared" si="2"/>
        <v>100</v>
      </c>
      <c r="X15" s="1264"/>
      <c r="Y15" s="335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55"/>
      <c r="Q16" s="1262"/>
      <c r="R16" s="667"/>
      <c r="S16" s="668"/>
      <c r="T16" s="667"/>
      <c r="U16" s="668"/>
      <c r="V16" s="667"/>
      <c r="W16" s="668"/>
      <c r="X16" s="1264"/>
      <c r="Y16" s="3357"/>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55"/>
      <c r="Q17" s="1262" t="str">
        <f>B17</f>
        <v>交通便捷度</v>
      </c>
      <c r="R17" s="667" t="s">
        <v>18</v>
      </c>
      <c r="S17" s="668">
        <f>F17</f>
        <v>100</v>
      </c>
      <c r="T17" s="667" t="s">
        <v>18</v>
      </c>
      <c r="U17" s="668">
        <f>H17</f>
        <v>100</v>
      </c>
      <c r="V17" s="667" t="s">
        <v>18</v>
      </c>
      <c r="W17" s="668">
        <f>J17</f>
        <v>100</v>
      </c>
      <c r="X17" s="1264"/>
      <c r="Y17" s="335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55"/>
      <c r="Q18" s="1262"/>
      <c r="R18" s="667"/>
      <c r="S18" s="668"/>
      <c r="T18" s="667"/>
      <c r="U18" s="668"/>
      <c r="V18" s="667"/>
      <c r="W18" s="668"/>
      <c r="X18" s="1264"/>
      <c r="Y18" s="3357"/>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55"/>
      <c r="Q19" s="1262" t="str">
        <f>B19</f>
        <v>公共配套设施</v>
      </c>
      <c r="R19" s="667" t="s">
        <v>18</v>
      </c>
      <c r="S19" s="668">
        <f>F19</f>
        <v>100</v>
      </c>
      <c r="T19" s="667" t="s">
        <v>18</v>
      </c>
      <c r="U19" s="668">
        <f>H19</f>
        <v>100</v>
      </c>
      <c r="V19" s="667" t="s">
        <v>18</v>
      </c>
      <c r="W19" s="668">
        <f>J19</f>
        <v>100</v>
      </c>
      <c r="X19" s="1264"/>
      <c r="Y19" s="335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55"/>
      <c r="Q20" s="1262"/>
      <c r="R20" s="667"/>
      <c r="S20" s="668"/>
      <c r="T20" s="667"/>
      <c r="U20" s="668"/>
      <c r="V20" s="667"/>
      <c r="W20" s="668"/>
      <c r="X20" s="1264"/>
      <c r="Y20" s="3357"/>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55"/>
      <c r="Q21" s="1262" t="str">
        <f>B21</f>
        <v>基础设施水平</v>
      </c>
      <c r="R21" s="667" t="s">
        <v>14</v>
      </c>
      <c r="S21" s="668">
        <f>F21</f>
        <v>100</v>
      </c>
      <c r="T21" s="667" t="s">
        <v>14</v>
      </c>
      <c r="U21" s="668">
        <f>H21</f>
        <v>100</v>
      </c>
      <c r="V21" s="667" t="s">
        <v>14</v>
      </c>
      <c r="W21" s="668">
        <f>J21</f>
        <v>100</v>
      </c>
      <c r="X21" s="1264"/>
      <c r="Y21" s="335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55"/>
      <c r="Q22" s="1262"/>
      <c r="R22" s="667"/>
      <c r="S22" s="668"/>
      <c r="T22" s="667"/>
      <c r="U22" s="668"/>
      <c r="V22" s="667"/>
      <c r="W22" s="668"/>
      <c r="X22" s="1264"/>
      <c r="Y22" s="3357"/>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55"/>
      <c r="Q23" s="1262" t="str">
        <f>B23</f>
        <v>自然及人文环境</v>
      </c>
      <c r="R23" s="667" t="s">
        <v>18</v>
      </c>
      <c r="S23" s="668">
        <f>F23</f>
        <v>100</v>
      </c>
      <c r="T23" s="667" t="s">
        <v>18</v>
      </c>
      <c r="U23" s="668">
        <f>H23</f>
        <v>100</v>
      </c>
      <c r="V23" s="667" t="s">
        <v>18</v>
      </c>
      <c r="W23" s="668">
        <f>J23</f>
        <v>100</v>
      </c>
      <c r="X23" s="1264"/>
      <c r="Y23" s="335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55"/>
      <c r="Q24" s="1262"/>
      <c r="R24" s="667"/>
      <c r="S24" s="668"/>
      <c r="T24" s="667"/>
      <c r="U24" s="668"/>
      <c r="V24" s="667"/>
      <c r="W24" s="668"/>
      <c r="X24" s="1264"/>
      <c r="Y24" s="335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55"/>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5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55"/>
      <c r="Q26" s="1262" t="str">
        <f t="shared" si="11"/>
        <v>朝向</v>
      </c>
      <c r="R26" s="667" t="s">
        <v>18</v>
      </c>
      <c r="S26" s="668">
        <f t="shared" si="12"/>
        <v>100</v>
      </c>
      <c r="T26" s="667" t="s">
        <v>18</v>
      </c>
      <c r="U26" s="668">
        <f t="shared" si="13"/>
        <v>100</v>
      </c>
      <c r="V26" s="667" t="s">
        <v>18</v>
      </c>
      <c r="W26" s="668">
        <f t="shared" si="14"/>
        <v>100</v>
      </c>
      <c r="X26" s="1264"/>
      <c r="Y26" s="335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55"/>
      <c r="Q27" s="530">
        <f t="shared" si="11"/>
        <v>111</v>
      </c>
      <c r="R27" s="664" t="s">
        <v>18</v>
      </c>
      <c r="S27" s="665">
        <f t="shared" si="12"/>
        <v>100</v>
      </c>
      <c r="T27" s="664" t="s">
        <v>18</v>
      </c>
      <c r="U27" s="665">
        <f t="shared" si="13"/>
        <v>100</v>
      </c>
      <c r="V27" s="664" t="s">
        <v>18</v>
      </c>
      <c r="W27" s="665">
        <f t="shared" si="14"/>
        <v>100</v>
      </c>
      <c r="X27" s="666"/>
      <c r="Y27" s="335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55"/>
      <c r="Q28" s="1262">
        <f t="shared" si="11"/>
        <v>111</v>
      </c>
      <c r="R28" s="667" t="s">
        <v>18</v>
      </c>
      <c r="S28" s="668">
        <f t="shared" si="12"/>
        <v>100</v>
      </c>
      <c r="T28" s="667" t="s">
        <v>18</v>
      </c>
      <c r="U28" s="668">
        <f t="shared" si="13"/>
        <v>100</v>
      </c>
      <c r="V28" s="667" t="s">
        <v>18</v>
      </c>
      <c r="W28" s="668">
        <f t="shared" si="14"/>
        <v>100</v>
      </c>
      <c r="X28" s="1264"/>
      <c r="Y28" s="335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55"/>
      <c r="Q29" s="1262">
        <f t="shared" si="11"/>
        <v>111</v>
      </c>
      <c r="R29" s="667" t="s">
        <v>18</v>
      </c>
      <c r="S29" s="668">
        <f t="shared" si="12"/>
        <v>100</v>
      </c>
      <c r="T29" s="667" t="s">
        <v>18</v>
      </c>
      <c r="U29" s="668">
        <f t="shared" si="13"/>
        <v>100</v>
      </c>
      <c r="V29" s="667" t="s">
        <v>18</v>
      </c>
      <c r="W29" s="668">
        <f t="shared" si="14"/>
        <v>100</v>
      </c>
      <c r="X29" s="1264"/>
      <c r="Y29" s="335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55"/>
      <c r="Q30" s="1262">
        <f t="shared" si="11"/>
        <v>111</v>
      </c>
      <c r="R30" s="667" t="s">
        <v>18</v>
      </c>
      <c r="S30" s="668">
        <f t="shared" si="12"/>
        <v>100</v>
      </c>
      <c r="T30" s="667" t="s">
        <v>18</v>
      </c>
      <c r="U30" s="668">
        <f t="shared" si="13"/>
        <v>100</v>
      </c>
      <c r="V30" s="667" t="s">
        <v>18</v>
      </c>
      <c r="W30" s="668">
        <f t="shared" si="14"/>
        <v>100</v>
      </c>
      <c r="X30" s="1264"/>
      <c r="Y30" s="3357"/>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55"/>
      <c r="Q31" s="1262">
        <f t="shared" si="11"/>
        <v>111</v>
      </c>
      <c r="R31" s="667" t="s">
        <v>18</v>
      </c>
      <c r="S31" s="668">
        <f t="shared" si="12"/>
        <v>100</v>
      </c>
      <c r="T31" s="667" t="s">
        <v>18</v>
      </c>
      <c r="U31" s="668">
        <f t="shared" si="13"/>
        <v>100</v>
      </c>
      <c r="V31" s="667" t="s">
        <v>18</v>
      </c>
      <c r="W31" s="668">
        <f t="shared" si="14"/>
        <v>100</v>
      </c>
      <c r="X31" s="1264"/>
      <c r="Y31" s="335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58" t="s">
        <v>1696</v>
      </c>
      <c r="Q32" s="1262" t="str">
        <f t="shared" si="11"/>
        <v>建筑类型</v>
      </c>
      <c r="R32" s="667" t="s">
        <v>18</v>
      </c>
      <c r="S32" s="668">
        <f t="shared" si="12"/>
        <v>100</v>
      </c>
      <c r="T32" s="667" t="s">
        <v>18</v>
      </c>
      <c r="U32" s="668">
        <f t="shared" si="13"/>
        <v>100</v>
      </c>
      <c r="V32" s="667" t="s">
        <v>18</v>
      </c>
      <c r="W32" s="668">
        <f t="shared" si="14"/>
        <v>100</v>
      </c>
      <c r="X32" s="1264"/>
      <c r="Y32" s="336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59"/>
      <c r="Q33" s="531" t="str">
        <f t="shared" si="11"/>
        <v>项目建筑规模</v>
      </c>
      <c r="R33" s="669" t="s">
        <v>18</v>
      </c>
      <c r="S33" s="670" t="e">
        <f t="shared" si="12"/>
        <v>#N/A</v>
      </c>
      <c r="T33" s="669" t="s">
        <v>18</v>
      </c>
      <c r="U33" s="670" t="e">
        <f t="shared" si="13"/>
        <v>#N/A</v>
      </c>
      <c r="V33" s="669" t="s">
        <v>18</v>
      </c>
      <c r="W33" s="670" t="e">
        <f t="shared" si="14"/>
        <v>#N/A</v>
      </c>
      <c r="X33" s="671"/>
      <c r="Y33" s="3361"/>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59"/>
      <c r="Q34" s="1262" t="str">
        <f t="shared" si="11"/>
        <v>建筑结构</v>
      </c>
      <c r="R34" s="667" t="s">
        <v>18</v>
      </c>
      <c r="S34" s="668">
        <f t="shared" si="12"/>
        <v>100</v>
      </c>
      <c r="T34" s="667" t="s">
        <v>18</v>
      </c>
      <c r="U34" s="668">
        <f t="shared" si="13"/>
        <v>100</v>
      </c>
      <c r="V34" s="667" t="s">
        <v>18</v>
      </c>
      <c r="W34" s="668">
        <f t="shared" si="14"/>
        <v>100</v>
      </c>
      <c r="X34" s="1264"/>
      <c r="Y34" s="336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59"/>
      <c r="Q35" s="1262" t="str">
        <f t="shared" si="11"/>
        <v>建筑品质</v>
      </c>
      <c r="R35" s="667" t="s">
        <v>18</v>
      </c>
      <c r="S35" s="668">
        <f t="shared" si="12"/>
        <v>100</v>
      </c>
      <c r="T35" s="667" t="s">
        <v>18</v>
      </c>
      <c r="U35" s="668">
        <f t="shared" si="13"/>
        <v>100</v>
      </c>
      <c r="V35" s="667" t="s">
        <v>18</v>
      </c>
      <c r="W35" s="668">
        <f t="shared" si="14"/>
        <v>100</v>
      </c>
      <c r="X35" s="1264"/>
      <c r="Y35" s="336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59"/>
      <c r="Q36" s="1262" t="str">
        <f t="shared" si="11"/>
        <v>公共部分装修</v>
      </c>
      <c r="R36" s="667" t="s">
        <v>18</v>
      </c>
      <c r="S36" s="668">
        <f t="shared" si="12"/>
        <v>100</v>
      </c>
      <c r="T36" s="667" t="s">
        <v>18</v>
      </c>
      <c r="U36" s="668">
        <f t="shared" si="13"/>
        <v>100</v>
      </c>
      <c r="V36" s="667" t="s">
        <v>18</v>
      </c>
      <c r="W36" s="668">
        <f t="shared" si="14"/>
        <v>100</v>
      </c>
      <c r="X36" s="1264"/>
      <c r="Y36" s="336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59"/>
      <c r="Q37" s="530" t="str">
        <f t="shared" si="11"/>
        <v>成新度</v>
      </c>
      <c r="R37" s="664" t="s">
        <v>18</v>
      </c>
      <c r="S37" s="665" t="e">
        <f t="shared" si="12"/>
        <v>#N/A</v>
      </c>
      <c r="T37" s="664" t="s">
        <v>18</v>
      </c>
      <c r="U37" s="665" t="e">
        <f t="shared" si="13"/>
        <v>#N/A</v>
      </c>
      <c r="V37" s="664" t="s">
        <v>18</v>
      </c>
      <c r="W37" s="665" t="e">
        <f t="shared" si="14"/>
        <v>#N/A</v>
      </c>
      <c r="X37" s="666"/>
      <c r="Y37" s="336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59" t="s">
        <v>1696</v>
      </c>
      <c r="Q38" s="1262" t="str">
        <f t="shared" si="11"/>
        <v>物业管理</v>
      </c>
      <c r="R38" s="667" t="s">
        <v>18</v>
      </c>
      <c r="S38" s="668">
        <f t="shared" si="12"/>
        <v>100</v>
      </c>
      <c r="T38" s="667" t="s">
        <v>18</v>
      </c>
      <c r="U38" s="668">
        <f t="shared" si="13"/>
        <v>100</v>
      </c>
      <c r="V38" s="667" t="s">
        <v>18</v>
      </c>
      <c r="W38" s="668">
        <f t="shared" si="14"/>
        <v>100</v>
      </c>
      <c r="X38" s="1264"/>
      <c r="Y38" s="336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59"/>
      <c r="Q39" s="1262" t="str">
        <f t="shared" si="11"/>
        <v>市政基础设施</v>
      </c>
      <c r="R39" s="667" t="s">
        <v>18</v>
      </c>
      <c r="S39" s="668">
        <f t="shared" si="12"/>
        <v>100</v>
      </c>
      <c r="T39" s="667" t="s">
        <v>18</v>
      </c>
      <c r="U39" s="668">
        <f t="shared" si="13"/>
        <v>100</v>
      </c>
      <c r="V39" s="667" t="s">
        <v>18</v>
      </c>
      <c r="W39" s="668">
        <f t="shared" si="14"/>
        <v>100</v>
      </c>
      <c r="X39" s="1264"/>
      <c r="Y39" s="336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59"/>
      <c r="Q40" s="1262" t="str">
        <f t="shared" si="11"/>
        <v>房型</v>
      </c>
      <c r="R40" s="667" t="s">
        <v>18</v>
      </c>
      <c r="S40" s="668">
        <f t="shared" si="12"/>
        <v>100</v>
      </c>
      <c r="T40" s="667" t="s">
        <v>18</v>
      </c>
      <c r="U40" s="668">
        <f t="shared" si="13"/>
        <v>100</v>
      </c>
      <c r="V40" s="667" t="s">
        <v>18</v>
      </c>
      <c r="W40" s="668">
        <f t="shared" si="14"/>
        <v>100</v>
      </c>
      <c r="X40" s="1264"/>
      <c r="Y40" s="336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59"/>
      <c r="Q41" s="531" t="str">
        <f t="shared" si="11"/>
        <v>单套/主力户型建筑面积</v>
      </c>
      <c r="R41" s="669" t="s">
        <v>18</v>
      </c>
      <c r="S41" s="670">
        <f t="shared" si="12"/>
        <v>100</v>
      </c>
      <c r="T41" s="669" t="s">
        <v>18</v>
      </c>
      <c r="U41" s="670">
        <f t="shared" si="13"/>
        <v>100</v>
      </c>
      <c r="V41" s="669" t="s">
        <v>18</v>
      </c>
      <c r="W41" s="670">
        <f t="shared" si="14"/>
        <v>100</v>
      </c>
      <c r="X41" s="671"/>
      <c r="Y41" s="3361"/>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59"/>
      <c r="Q42" s="1262" t="str">
        <f t="shared" si="11"/>
        <v>内部装修</v>
      </c>
      <c r="R42" s="667" t="s">
        <v>18</v>
      </c>
      <c r="S42" s="668">
        <f t="shared" si="12"/>
        <v>100</v>
      </c>
      <c r="T42" s="667" t="s">
        <v>18</v>
      </c>
      <c r="U42" s="668">
        <f t="shared" si="13"/>
        <v>100</v>
      </c>
      <c r="V42" s="667" t="s">
        <v>18</v>
      </c>
      <c r="W42" s="668">
        <f t="shared" si="14"/>
        <v>100</v>
      </c>
      <c r="X42" s="1264"/>
      <c r="Y42" s="3361"/>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59"/>
      <c r="Q43" s="1262" t="str">
        <f t="shared" si="11"/>
        <v>内部装修维护情况</v>
      </c>
      <c r="R43" s="667" t="s">
        <v>18</v>
      </c>
      <c r="S43" s="668">
        <f t="shared" si="12"/>
        <v>100</v>
      </c>
      <c r="T43" s="667" t="s">
        <v>18</v>
      </c>
      <c r="U43" s="668">
        <f t="shared" si="13"/>
        <v>100</v>
      </c>
      <c r="V43" s="667" t="s">
        <v>18</v>
      </c>
      <c r="W43" s="668">
        <f t="shared" si="14"/>
        <v>100</v>
      </c>
      <c r="X43" s="1264"/>
      <c r="Y43" s="336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59"/>
      <c r="Q44" s="530">
        <f t="shared" si="11"/>
        <v>111</v>
      </c>
      <c r="R44" s="664" t="s">
        <v>18</v>
      </c>
      <c r="S44" s="665">
        <f t="shared" si="12"/>
        <v>100</v>
      </c>
      <c r="T44" s="664" t="s">
        <v>18</v>
      </c>
      <c r="U44" s="665">
        <f t="shared" si="13"/>
        <v>100</v>
      </c>
      <c r="V44" s="664" t="s">
        <v>18</v>
      </c>
      <c r="W44" s="665">
        <f t="shared" si="14"/>
        <v>100</v>
      </c>
      <c r="X44" s="666"/>
      <c r="Y44" s="336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59"/>
      <c r="Q45" s="1262">
        <f t="shared" si="11"/>
        <v>111</v>
      </c>
      <c r="R45" s="667" t="s">
        <v>18</v>
      </c>
      <c r="S45" s="668">
        <f t="shared" si="12"/>
        <v>100</v>
      </c>
      <c r="T45" s="667" t="s">
        <v>18</v>
      </c>
      <c r="U45" s="668">
        <f t="shared" si="13"/>
        <v>100</v>
      </c>
      <c r="V45" s="667" t="s">
        <v>18</v>
      </c>
      <c r="W45" s="668">
        <f t="shared" si="14"/>
        <v>100</v>
      </c>
      <c r="X45" s="1264"/>
      <c r="Y45" s="336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60"/>
      <c r="Q46" s="1262">
        <f t="shared" si="11"/>
        <v>111</v>
      </c>
      <c r="R46" s="667" t="s">
        <v>17</v>
      </c>
      <c r="S46" s="668">
        <f t="shared" si="12"/>
        <v>100</v>
      </c>
      <c r="T46" s="667" t="s">
        <v>17</v>
      </c>
      <c r="U46" s="668">
        <f t="shared" si="13"/>
        <v>100</v>
      </c>
      <c r="V46" s="667" t="s">
        <v>17</v>
      </c>
      <c r="W46" s="668">
        <f t="shared" si="14"/>
        <v>100</v>
      </c>
      <c r="X46" s="1264"/>
      <c r="Y46" s="3362"/>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49" t="str">
        <f>A47</f>
        <v>成交单价（元/平方米）</v>
      </c>
      <c r="Q47" s="3349"/>
      <c r="R47" s="3350">
        <f>E47</f>
        <v>0</v>
      </c>
      <c r="S47" s="3350"/>
      <c r="T47" s="3350">
        <f>G47</f>
        <v>0</v>
      </c>
      <c r="U47" s="3350"/>
      <c r="V47" s="3350">
        <f>I47</f>
        <v>0</v>
      </c>
      <c r="W47" s="3350"/>
      <c r="X47" s="385"/>
      <c r="Y47" s="673"/>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49" t="str">
        <f>A48</f>
        <v>比较价值（元/平方米）</v>
      </c>
      <c r="Q48" s="3349"/>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134.96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429" t="s">
        <v>1775</v>
      </c>
      <c r="Q4" s="3430"/>
      <c r="R4" s="3433" t="s">
        <v>1771</v>
      </c>
      <c r="S4" s="3434"/>
      <c r="T4" s="3433" t="s">
        <v>1772</v>
      </c>
      <c r="U4" s="3434"/>
      <c r="V4" s="3350" t="s">
        <v>1773</v>
      </c>
      <c r="W4" s="3350"/>
      <c r="X4" s="1264"/>
      <c r="Y4" s="3433" t="s">
        <v>1775</v>
      </c>
      <c r="Z4" s="3434"/>
      <c r="AA4" s="3428" t="s">
        <v>1771</v>
      </c>
      <c r="AB4" s="3350" t="s">
        <v>1772</v>
      </c>
      <c r="AC4" s="3428" t="s">
        <v>1773</v>
      </c>
    </row>
    <row r="5" spans="1:29" ht="15">
      <c r="A5" s="348"/>
      <c r="B5" s="349"/>
      <c r="C5" s="3391" t="s">
        <v>1673</v>
      </c>
      <c r="D5" s="3386"/>
      <c r="E5" s="3435" t="s">
        <v>1674</v>
      </c>
      <c r="F5" s="3398"/>
      <c r="G5" s="3391" t="s">
        <v>1675</v>
      </c>
      <c r="H5" s="3386"/>
      <c r="I5" s="3391" t="s">
        <v>1676</v>
      </c>
      <c r="J5" s="3386"/>
      <c r="K5" s="537"/>
      <c r="L5" s="2486"/>
      <c r="M5" s="2487"/>
      <c r="N5" s="2487"/>
      <c r="O5" s="2487"/>
      <c r="P5" s="3431"/>
      <c r="Q5" s="3373"/>
      <c r="R5" s="3378"/>
      <c r="S5" s="3379"/>
      <c r="T5" s="3378"/>
      <c r="U5" s="3379"/>
      <c r="V5" s="3350"/>
      <c r="W5" s="3350"/>
      <c r="X5" s="1264"/>
      <c r="Y5" s="3378"/>
      <c r="Z5" s="3379"/>
      <c r="AA5" s="3395"/>
      <c r="AB5" s="3350"/>
      <c r="AC5" s="3395"/>
    </row>
    <row r="6" spans="1:29" ht="15.75" thickBot="1">
      <c r="A6" s="350"/>
      <c r="B6" s="351"/>
      <c r="C6" s="3383" t="s">
        <v>1677</v>
      </c>
      <c r="D6" s="3384"/>
      <c r="E6" s="3392" t="s">
        <v>1677</v>
      </c>
      <c r="F6" s="3393"/>
      <c r="G6" s="3383" t="s">
        <v>1677</v>
      </c>
      <c r="H6" s="3384"/>
      <c r="I6" s="3383" t="s">
        <v>1677</v>
      </c>
      <c r="J6" s="3384"/>
      <c r="K6" s="537" t="s">
        <v>1678</v>
      </c>
      <c r="L6" s="2486"/>
      <c r="M6" s="2487"/>
      <c r="N6" s="2487"/>
      <c r="O6" s="2487"/>
      <c r="P6" s="3432"/>
      <c r="Q6" s="3375"/>
      <c r="R6" s="3378"/>
      <c r="S6" s="3379"/>
      <c r="T6" s="3380"/>
      <c r="U6" s="3381"/>
      <c r="V6" s="3350"/>
      <c r="W6" s="3350"/>
      <c r="X6" s="1264"/>
      <c r="Y6" s="3380"/>
      <c r="Z6" s="3381"/>
      <c r="AA6" s="3396"/>
      <c r="AB6" s="3350"/>
      <c r="AC6" s="3396"/>
    </row>
    <row r="7" spans="1:29" s="102" customFormat="1" ht="15.75" thickBot="1">
      <c r="A7" s="352" t="s">
        <v>1679</v>
      </c>
      <c r="B7" s="353"/>
      <c r="C7" s="354">
        <f>'数据-取费表'!B2</f>
        <v>45833</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9" t="s">
        <v>1680</v>
      </c>
      <c r="Q7" s="3390"/>
      <c r="R7" s="664" t="s">
        <v>14</v>
      </c>
      <c r="S7" s="665">
        <f t="shared" ref="S7:S15" si="0">F7</f>
        <v>0</v>
      </c>
      <c r="T7" s="664" t="s">
        <v>14</v>
      </c>
      <c r="U7" s="665">
        <f t="shared" ref="U7:U15" si="1">H7</f>
        <v>0</v>
      </c>
      <c r="V7" s="664" t="s">
        <v>14</v>
      </c>
      <c r="W7" s="665">
        <f t="shared" ref="W7:W15" si="2">J7</f>
        <v>0</v>
      </c>
      <c r="X7" s="666"/>
      <c r="Y7" s="3389" t="s">
        <v>1680</v>
      </c>
      <c r="Z7" s="338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9" t="s">
        <v>1683</v>
      </c>
      <c r="Q8" s="3388"/>
      <c r="R8" s="664" t="s">
        <v>14</v>
      </c>
      <c r="S8" s="665">
        <f t="shared" si="0"/>
        <v>100</v>
      </c>
      <c r="T8" s="664" t="s">
        <v>14</v>
      </c>
      <c r="U8" s="665">
        <f t="shared" si="1"/>
        <v>100</v>
      </c>
      <c r="V8" s="664" t="s">
        <v>14</v>
      </c>
      <c r="W8" s="665">
        <f t="shared" si="2"/>
        <v>100</v>
      </c>
      <c r="X8" s="666"/>
      <c r="Y8" s="3389" t="s">
        <v>1683</v>
      </c>
      <c r="Z8" s="338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4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4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48"/>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4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4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4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54" t="s">
        <v>1691</v>
      </c>
      <c r="Q15" s="1262" t="str">
        <f t="shared" si="6"/>
        <v>商业繁华度</v>
      </c>
      <c r="R15" s="667" t="s">
        <v>14</v>
      </c>
      <c r="S15" s="668">
        <f t="shared" si="0"/>
        <v>100</v>
      </c>
      <c r="T15" s="667" t="s">
        <v>14</v>
      </c>
      <c r="U15" s="668">
        <f t="shared" si="1"/>
        <v>100</v>
      </c>
      <c r="V15" s="667" t="s">
        <v>14</v>
      </c>
      <c r="W15" s="668">
        <f t="shared" si="2"/>
        <v>100</v>
      </c>
      <c r="X15" s="1264"/>
      <c r="Y15" s="335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55"/>
      <c r="Q16" s="1262"/>
      <c r="R16" s="667"/>
      <c r="S16" s="668"/>
      <c r="T16" s="667"/>
      <c r="U16" s="668"/>
      <c r="V16" s="667"/>
      <c r="W16" s="668"/>
      <c r="X16" s="1264"/>
      <c r="Y16" s="3357"/>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55"/>
      <c r="Q17" s="1262" t="str">
        <f>B17</f>
        <v>交通便捷度</v>
      </c>
      <c r="R17" s="667" t="s">
        <v>14</v>
      </c>
      <c r="S17" s="668">
        <f>F17</f>
        <v>100</v>
      </c>
      <c r="T17" s="667" t="s">
        <v>14</v>
      </c>
      <c r="U17" s="668">
        <f>H17</f>
        <v>100</v>
      </c>
      <c r="V17" s="667" t="s">
        <v>14</v>
      </c>
      <c r="W17" s="668">
        <f>J17</f>
        <v>100</v>
      </c>
      <c r="X17" s="1264"/>
      <c r="Y17" s="335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55"/>
      <c r="Q18" s="1262"/>
      <c r="R18" s="667"/>
      <c r="S18" s="668"/>
      <c r="T18" s="667"/>
      <c r="U18" s="668"/>
      <c r="V18" s="667"/>
      <c r="W18" s="668"/>
      <c r="X18" s="1264"/>
      <c r="Y18" s="3357"/>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55"/>
      <c r="Q19" s="1262" t="str">
        <f>B19</f>
        <v>公共配套设施</v>
      </c>
      <c r="R19" s="667" t="s">
        <v>14</v>
      </c>
      <c r="S19" s="668">
        <f>F19</f>
        <v>100</v>
      </c>
      <c r="T19" s="667" t="s">
        <v>14</v>
      </c>
      <c r="U19" s="668">
        <f>H19</f>
        <v>100</v>
      </c>
      <c r="V19" s="667" t="s">
        <v>14</v>
      </c>
      <c r="W19" s="668">
        <f>J19</f>
        <v>100</v>
      </c>
      <c r="X19" s="1264"/>
      <c r="Y19" s="335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55"/>
      <c r="Q20" s="1262"/>
      <c r="R20" s="667"/>
      <c r="S20" s="668"/>
      <c r="T20" s="667"/>
      <c r="U20" s="668"/>
      <c r="V20" s="667"/>
      <c r="W20" s="668"/>
      <c r="X20" s="1264"/>
      <c r="Y20" s="3357"/>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55"/>
      <c r="Q21" s="1262" t="str">
        <f>B21</f>
        <v>基础设施水平</v>
      </c>
      <c r="R21" s="667" t="s">
        <v>14</v>
      </c>
      <c r="S21" s="668">
        <f>F21</f>
        <v>100</v>
      </c>
      <c r="T21" s="667" t="s">
        <v>14</v>
      </c>
      <c r="U21" s="668">
        <f>H21</f>
        <v>100</v>
      </c>
      <c r="V21" s="667" t="s">
        <v>14</v>
      </c>
      <c r="W21" s="668">
        <f>J21</f>
        <v>100</v>
      </c>
      <c r="X21" s="1264"/>
      <c r="Y21" s="335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355"/>
      <c r="Q22" s="1262"/>
      <c r="R22" s="667"/>
      <c r="S22" s="668"/>
      <c r="T22" s="667"/>
      <c r="U22" s="668"/>
      <c r="V22" s="667"/>
      <c r="W22" s="668"/>
      <c r="X22" s="1264"/>
      <c r="Y22" s="3357"/>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55"/>
      <c r="Q23" s="1262" t="str">
        <f>B23</f>
        <v>自然及人文环境</v>
      </c>
      <c r="R23" s="667" t="s">
        <v>14</v>
      </c>
      <c r="S23" s="668">
        <f>F23</f>
        <v>100</v>
      </c>
      <c r="T23" s="667" t="s">
        <v>14</v>
      </c>
      <c r="U23" s="668">
        <f>H23</f>
        <v>100</v>
      </c>
      <c r="V23" s="667" t="s">
        <v>14</v>
      </c>
      <c r="W23" s="668">
        <f>J23</f>
        <v>100</v>
      </c>
      <c r="X23" s="1264"/>
      <c r="Y23" s="335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55"/>
      <c r="Q24" s="1262"/>
      <c r="R24" s="667"/>
      <c r="S24" s="668"/>
      <c r="T24" s="667"/>
      <c r="U24" s="668"/>
      <c r="V24" s="667"/>
      <c r="W24" s="668"/>
      <c r="X24" s="1264"/>
      <c r="Y24" s="335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55"/>
      <c r="Q25" s="1262" t="str">
        <f t="shared" ref="Q25:Q46" si="11">B25</f>
        <v>临街状况</v>
      </c>
      <c r="R25" s="667" t="s">
        <v>14</v>
      </c>
      <c r="S25" s="668">
        <f>F25</f>
        <v>100</v>
      </c>
      <c r="T25" s="667" t="s">
        <v>14</v>
      </c>
      <c r="U25" s="668">
        <f>H25</f>
        <v>100</v>
      </c>
      <c r="V25" s="667" t="s">
        <v>14</v>
      </c>
      <c r="W25" s="668">
        <f>J25</f>
        <v>100</v>
      </c>
      <c r="X25" s="1264"/>
      <c r="Y25" s="3357"/>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55"/>
      <c r="Q26" s="1262" t="str">
        <f t="shared" si="11"/>
        <v>平面位置/可视性</v>
      </c>
      <c r="R26" s="667" t="s">
        <v>14</v>
      </c>
      <c r="S26" s="668">
        <f>F26</f>
        <v>100</v>
      </c>
      <c r="T26" s="667" t="s">
        <v>14</v>
      </c>
      <c r="U26" s="668">
        <f>H26</f>
        <v>100</v>
      </c>
      <c r="V26" s="667" t="s">
        <v>14</v>
      </c>
      <c r="W26" s="668">
        <f>J26</f>
        <v>100</v>
      </c>
      <c r="X26" s="1264"/>
      <c r="Y26" s="335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55"/>
      <c r="Q27" s="530" t="str">
        <f t="shared" si="11"/>
        <v>人流量</v>
      </c>
      <c r="R27" s="664" t="s">
        <v>14</v>
      </c>
      <c r="S27" s="665">
        <f>F27</f>
        <v>100</v>
      </c>
      <c r="T27" s="664" t="s">
        <v>14</v>
      </c>
      <c r="U27" s="665">
        <f>H27</f>
        <v>100</v>
      </c>
      <c r="V27" s="664" t="s">
        <v>14</v>
      </c>
      <c r="W27" s="665">
        <f>J27</f>
        <v>100</v>
      </c>
      <c r="X27" s="666"/>
      <c r="Y27" s="335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55"/>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57"/>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55"/>
      <c r="Q29" s="1262">
        <f t="shared" si="11"/>
        <v>111</v>
      </c>
      <c r="R29" s="667" t="s">
        <v>14</v>
      </c>
      <c r="S29" s="668">
        <f t="shared" si="12"/>
        <v>100</v>
      </c>
      <c r="T29" s="667" t="s">
        <v>14</v>
      </c>
      <c r="U29" s="668">
        <f t="shared" si="13"/>
        <v>100</v>
      </c>
      <c r="V29" s="667" t="s">
        <v>14</v>
      </c>
      <c r="W29" s="668">
        <f t="shared" si="14"/>
        <v>100</v>
      </c>
      <c r="X29" s="1264"/>
      <c r="Y29" s="3357"/>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55"/>
      <c r="Q30" s="1262">
        <f t="shared" si="11"/>
        <v>111</v>
      </c>
      <c r="R30" s="667" t="s">
        <v>14</v>
      </c>
      <c r="S30" s="668">
        <f t="shared" si="12"/>
        <v>100</v>
      </c>
      <c r="T30" s="667" t="s">
        <v>14</v>
      </c>
      <c r="U30" s="668">
        <f t="shared" si="13"/>
        <v>100</v>
      </c>
      <c r="V30" s="667" t="s">
        <v>14</v>
      </c>
      <c r="W30" s="668">
        <f t="shared" si="14"/>
        <v>100</v>
      </c>
      <c r="X30" s="1264"/>
      <c r="Y30" s="3357"/>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55"/>
      <c r="Q31" s="1262">
        <f t="shared" si="11"/>
        <v>111</v>
      </c>
      <c r="R31" s="667" t="s">
        <v>14</v>
      </c>
      <c r="S31" s="668">
        <f t="shared" si="12"/>
        <v>100</v>
      </c>
      <c r="T31" s="667" t="s">
        <v>14</v>
      </c>
      <c r="U31" s="668">
        <f t="shared" si="13"/>
        <v>100</v>
      </c>
      <c r="V31" s="667" t="s">
        <v>14</v>
      </c>
      <c r="W31" s="668">
        <f t="shared" si="14"/>
        <v>100</v>
      </c>
      <c r="X31" s="1264"/>
      <c r="Y31" s="335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58" t="s">
        <v>1696</v>
      </c>
      <c r="Q32" s="1262" t="str">
        <f t="shared" si="11"/>
        <v>商业类型</v>
      </c>
      <c r="R32" s="667" t="s">
        <v>14</v>
      </c>
      <c r="S32" s="668">
        <f t="shared" si="12"/>
        <v>100</v>
      </c>
      <c r="T32" s="667" t="s">
        <v>14</v>
      </c>
      <c r="U32" s="668">
        <f t="shared" si="13"/>
        <v>100</v>
      </c>
      <c r="V32" s="667" t="s">
        <v>14</v>
      </c>
      <c r="W32" s="668">
        <f t="shared" si="14"/>
        <v>100</v>
      </c>
      <c r="X32" s="1264"/>
      <c r="Y32" s="336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59"/>
      <c r="Q33" s="531" t="str">
        <f t="shared" si="11"/>
        <v>项目建筑规模</v>
      </c>
      <c r="R33" s="669" t="s">
        <v>14</v>
      </c>
      <c r="S33" s="670" t="e">
        <f t="shared" si="12"/>
        <v>#N/A</v>
      </c>
      <c r="T33" s="669" t="s">
        <v>14</v>
      </c>
      <c r="U33" s="670" t="e">
        <f t="shared" si="13"/>
        <v>#N/A</v>
      </c>
      <c r="V33" s="669" t="s">
        <v>14</v>
      </c>
      <c r="W33" s="670" t="e">
        <f t="shared" si="14"/>
        <v>#N/A</v>
      </c>
      <c r="X33" s="671"/>
      <c r="Y33" s="336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59"/>
      <c r="Q34" s="1262" t="str">
        <f t="shared" si="11"/>
        <v>建筑结构</v>
      </c>
      <c r="R34" s="667" t="s">
        <v>14</v>
      </c>
      <c r="S34" s="668">
        <f t="shared" si="12"/>
        <v>100</v>
      </c>
      <c r="T34" s="667" t="s">
        <v>14</v>
      </c>
      <c r="U34" s="668">
        <f t="shared" si="13"/>
        <v>100</v>
      </c>
      <c r="V34" s="667" t="s">
        <v>14</v>
      </c>
      <c r="W34" s="668">
        <f t="shared" si="14"/>
        <v>100</v>
      </c>
      <c r="X34" s="1264"/>
      <c r="Y34" s="336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59"/>
      <c r="Q35" s="1262" t="str">
        <f t="shared" si="11"/>
        <v>公共部分装修</v>
      </c>
      <c r="R35" s="667" t="s">
        <v>14</v>
      </c>
      <c r="S35" s="668">
        <f t="shared" si="12"/>
        <v>100</v>
      </c>
      <c r="T35" s="667" t="s">
        <v>14</v>
      </c>
      <c r="U35" s="668">
        <f t="shared" si="13"/>
        <v>100</v>
      </c>
      <c r="V35" s="667" t="s">
        <v>14</v>
      </c>
      <c r="W35" s="668">
        <f t="shared" si="14"/>
        <v>100</v>
      </c>
      <c r="X35" s="1264"/>
      <c r="Y35" s="336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59"/>
      <c r="Q36" s="1262" t="str">
        <f t="shared" si="11"/>
        <v>成新度</v>
      </c>
      <c r="R36" s="667" t="s">
        <v>14</v>
      </c>
      <c r="S36" s="668" t="e">
        <f t="shared" si="12"/>
        <v>#N/A</v>
      </c>
      <c r="T36" s="667" t="s">
        <v>14</v>
      </c>
      <c r="U36" s="668" t="e">
        <f t="shared" si="13"/>
        <v>#N/A</v>
      </c>
      <c r="V36" s="667" t="s">
        <v>14</v>
      </c>
      <c r="W36" s="668" t="e">
        <f t="shared" si="14"/>
        <v>#N/A</v>
      </c>
      <c r="X36" s="1264"/>
      <c r="Y36" s="336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59"/>
      <c r="Q37" s="530" t="str">
        <f t="shared" si="11"/>
        <v>市政基础设施</v>
      </c>
      <c r="R37" s="664" t="s">
        <v>14</v>
      </c>
      <c r="S37" s="665">
        <f t="shared" si="12"/>
        <v>100</v>
      </c>
      <c r="T37" s="664" t="s">
        <v>14</v>
      </c>
      <c r="U37" s="665">
        <f t="shared" si="13"/>
        <v>100</v>
      </c>
      <c r="V37" s="664" t="s">
        <v>14</v>
      </c>
      <c r="W37" s="665">
        <f t="shared" si="14"/>
        <v>100</v>
      </c>
      <c r="X37" s="666"/>
      <c r="Y37" s="336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59" t="s">
        <v>1696</v>
      </c>
      <c r="Q38" s="1262" t="str">
        <f t="shared" si="11"/>
        <v>业态</v>
      </c>
      <c r="R38" s="667" t="s">
        <v>14</v>
      </c>
      <c r="S38" s="668">
        <f t="shared" si="12"/>
        <v>100</v>
      </c>
      <c r="T38" s="667" t="s">
        <v>14</v>
      </c>
      <c r="U38" s="668">
        <f t="shared" si="13"/>
        <v>100</v>
      </c>
      <c r="V38" s="667" t="s">
        <v>14</v>
      </c>
      <c r="W38" s="668">
        <f t="shared" si="14"/>
        <v>100</v>
      </c>
      <c r="X38" s="1264"/>
      <c r="Y38" s="336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59"/>
      <c r="Q39" s="1262" t="str">
        <f t="shared" si="11"/>
        <v>层高</v>
      </c>
      <c r="R39" s="667" t="s">
        <v>14</v>
      </c>
      <c r="S39" s="668">
        <f t="shared" si="12"/>
        <v>100</v>
      </c>
      <c r="T39" s="667" t="s">
        <v>14</v>
      </c>
      <c r="U39" s="668">
        <f t="shared" si="13"/>
        <v>100</v>
      </c>
      <c r="V39" s="667" t="s">
        <v>14</v>
      </c>
      <c r="W39" s="668">
        <f t="shared" si="14"/>
        <v>100</v>
      </c>
      <c r="X39" s="1264"/>
      <c r="Y39" s="336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59"/>
      <c r="Q40" s="1262" t="str">
        <f t="shared" si="11"/>
        <v>单套建筑面积</v>
      </c>
      <c r="R40" s="667" t="s">
        <v>14</v>
      </c>
      <c r="S40" s="668">
        <f t="shared" si="12"/>
        <v>100</v>
      </c>
      <c r="T40" s="667" t="s">
        <v>14</v>
      </c>
      <c r="U40" s="668">
        <f t="shared" si="13"/>
        <v>100</v>
      </c>
      <c r="V40" s="667" t="s">
        <v>14</v>
      </c>
      <c r="W40" s="668">
        <f t="shared" si="14"/>
        <v>100</v>
      </c>
      <c r="X40" s="1264"/>
      <c r="Y40" s="336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59"/>
      <c r="Q41" s="531" t="str">
        <f t="shared" si="11"/>
        <v>进深比</v>
      </c>
      <c r="R41" s="669" t="s">
        <v>14</v>
      </c>
      <c r="S41" s="670">
        <f t="shared" si="12"/>
        <v>100</v>
      </c>
      <c r="T41" s="669" t="s">
        <v>14</v>
      </c>
      <c r="U41" s="670">
        <f t="shared" si="13"/>
        <v>100</v>
      </c>
      <c r="V41" s="669" t="s">
        <v>14</v>
      </c>
      <c r="W41" s="670">
        <f t="shared" si="14"/>
        <v>100</v>
      </c>
      <c r="X41" s="671"/>
      <c r="Y41" s="3361"/>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59"/>
      <c r="Q42" s="1262" t="str">
        <f t="shared" si="11"/>
        <v>内部装修</v>
      </c>
      <c r="R42" s="667" t="s">
        <v>14</v>
      </c>
      <c r="S42" s="668">
        <f t="shared" si="12"/>
        <v>100</v>
      </c>
      <c r="T42" s="667" t="s">
        <v>14</v>
      </c>
      <c r="U42" s="668">
        <f t="shared" si="13"/>
        <v>100</v>
      </c>
      <c r="V42" s="667" t="s">
        <v>14</v>
      </c>
      <c r="W42" s="668">
        <f t="shared" si="14"/>
        <v>100</v>
      </c>
      <c r="X42" s="1264"/>
      <c r="Y42" s="3361"/>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59"/>
      <c r="Q43" s="1262" t="str">
        <f t="shared" si="11"/>
        <v>内部装修维护情况</v>
      </c>
      <c r="R43" s="667" t="s">
        <v>14</v>
      </c>
      <c r="S43" s="668">
        <f t="shared" si="12"/>
        <v>100</v>
      </c>
      <c r="T43" s="667" t="s">
        <v>14</v>
      </c>
      <c r="U43" s="668">
        <f t="shared" si="13"/>
        <v>100</v>
      </c>
      <c r="V43" s="667" t="s">
        <v>14</v>
      </c>
      <c r="W43" s="668">
        <f t="shared" si="14"/>
        <v>100</v>
      </c>
      <c r="X43" s="1264"/>
      <c r="Y43" s="3361"/>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59"/>
      <c r="Q44" s="530">
        <f t="shared" si="11"/>
        <v>111</v>
      </c>
      <c r="R44" s="664" t="s">
        <v>14</v>
      </c>
      <c r="S44" s="665">
        <f t="shared" si="12"/>
        <v>100</v>
      </c>
      <c r="T44" s="664" t="s">
        <v>14</v>
      </c>
      <c r="U44" s="665">
        <f t="shared" si="13"/>
        <v>100</v>
      </c>
      <c r="V44" s="664" t="s">
        <v>14</v>
      </c>
      <c r="W44" s="665">
        <f t="shared" si="14"/>
        <v>100</v>
      </c>
      <c r="X44" s="666"/>
      <c r="Y44" s="3361"/>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59"/>
      <c r="Q45" s="1262">
        <f t="shared" si="11"/>
        <v>111</v>
      </c>
      <c r="R45" s="667" t="s">
        <v>14</v>
      </c>
      <c r="S45" s="668">
        <f t="shared" si="12"/>
        <v>100</v>
      </c>
      <c r="T45" s="667" t="s">
        <v>14</v>
      </c>
      <c r="U45" s="668">
        <f t="shared" si="13"/>
        <v>100</v>
      </c>
      <c r="V45" s="667" t="s">
        <v>14</v>
      </c>
      <c r="W45" s="668">
        <f t="shared" si="14"/>
        <v>100</v>
      </c>
      <c r="X45" s="1264"/>
      <c r="Y45" s="336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60"/>
      <c r="Q46" s="1262">
        <f t="shared" si="11"/>
        <v>111</v>
      </c>
      <c r="R46" s="667" t="s">
        <v>14</v>
      </c>
      <c r="S46" s="668">
        <f t="shared" si="12"/>
        <v>100</v>
      </c>
      <c r="T46" s="667" t="s">
        <v>14</v>
      </c>
      <c r="U46" s="668">
        <f t="shared" si="13"/>
        <v>100</v>
      </c>
      <c r="V46" s="667" t="s">
        <v>14</v>
      </c>
      <c r="W46" s="668">
        <f t="shared" si="14"/>
        <v>100</v>
      </c>
      <c r="X46" s="1264"/>
      <c r="Y46" s="3362"/>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4"/>
      <c r="M47" s="2487"/>
      <c r="N47" s="2487"/>
      <c r="O47" s="2487"/>
      <c r="P47" s="3349" t="str">
        <f>A47</f>
        <v>成交单价（元/平方米）</v>
      </c>
      <c r="Q47" s="3349"/>
      <c r="R47" s="3350">
        <f>E47</f>
        <v>0</v>
      </c>
      <c r="S47" s="3350"/>
      <c r="T47" s="3350">
        <f>G47</f>
        <v>0</v>
      </c>
      <c r="U47" s="3350"/>
      <c r="V47" s="3350">
        <f>I47</f>
        <v>0</v>
      </c>
      <c r="W47" s="3350"/>
      <c r="X47" s="385"/>
      <c r="Y47" s="673"/>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349" t="str">
        <f>A48</f>
        <v>比较价值（元/平方米）</v>
      </c>
      <c r="Q48" s="3349"/>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2025-6</v>
      </c>
      <c r="D58" s="1103">
        <f>EDATE(C58,-1)</f>
        <v>45778</v>
      </c>
      <c r="E58" s="1103">
        <f t="shared" ref="E58:N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EDATE(N58,-1)</f>
        <v>45444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估价对象为房地产，为所有。根据《国有土地使用证》[]，估价对象（分摊）出让国有建设用地使用权面积为0平方米，建筑面积为134.96平方米。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估价对象为房地产,属开发建设的，该项目尚在开发建设中。根据《国有土地使用证》[]，估价对象（分摊）出让国有建设用地使用权面积为0平方米，规划建筑面积为134.96平方米。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2025年6月25日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134.96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860"/>
      <c r="M4" s="861"/>
      <c r="N4" s="861"/>
      <c r="O4" s="861"/>
      <c r="P4" s="3429" t="s">
        <v>1775</v>
      </c>
      <c r="Q4" s="3430"/>
      <c r="R4" s="3433" t="s">
        <v>1771</v>
      </c>
      <c r="S4" s="3434"/>
      <c r="T4" s="3433" t="s">
        <v>1772</v>
      </c>
      <c r="U4" s="3434"/>
      <c r="V4" s="3350" t="s">
        <v>1773</v>
      </c>
      <c r="W4" s="3350"/>
      <c r="X4" s="1264"/>
      <c r="Y4" s="3433" t="s">
        <v>1775</v>
      </c>
      <c r="Z4" s="3434"/>
      <c r="AA4" s="3428" t="s">
        <v>1771</v>
      </c>
      <c r="AB4" s="3395" t="s">
        <v>1772</v>
      </c>
      <c r="AC4" s="3428" t="s">
        <v>1773</v>
      </c>
    </row>
    <row r="5" spans="1:29" ht="15">
      <c r="A5" s="348"/>
      <c r="B5" s="349"/>
      <c r="C5" s="3391" t="s">
        <v>1673</v>
      </c>
      <c r="D5" s="3386"/>
      <c r="E5" s="3435" t="s">
        <v>1674</v>
      </c>
      <c r="F5" s="3398"/>
      <c r="G5" s="3391" t="s">
        <v>1675</v>
      </c>
      <c r="H5" s="3386"/>
      <c r="I5" s="3391" t="s">
        <v>1676</v>
      </c>
      <c r="J5" s="3386"/>
      <c r="K5" s="537"/>
      <c r="L5" s="860"/>
      <c r="M5" s="861"/>
      <c r="N5" s="861"/>
      <c r="O5" s="861"/>
      <c r="P5" s="3431"/>
      <c r="Q5" s="3373"/>
      <c r="R5" s="3378"/>
      <c r="S5" s="3379"/>
      <c r="T5" s="3378"/>
      <c r="U5" s="3379"/>
      <c r="V5" s="3350"/>
      <c r="W5" s="3350"/>
      <c r="X5" s="1264"/>
      <c r="Y5" s="3378"/>
      <c r="Z5" s="3379"/>
      <c r="AA5" s="3395"/>
      <c r="AB5" s="3395"/>
      <c r="AC5" s="3395"/>
    </row>
    <row r="6" spans="1:29" ht="15.75" thickBot="1">
      <c r="A6" s="350"/>
      <c r="B6" s="351"/>
      <c r="C6" s="3383" t="s">
        <v>1677</v>
      </c>
      <c r="D6" s="3384"/>
      <c r="E6" s="3392" t="s">
        <v>1677</v>
      </c>
      <c r="F6" s="3393"/>
      <c r="G6" s="3383" t="s">
        <v>1677</v>
      </c>
      <c r="H6" s="3384"/>
      <c r="I6" s="3383" t="s">
        <v>1677</v>
      </c>
      <c r="J6" s="3384"/>
      <c r="K6" s="537" t="s">
        <v>1678</v>
      </c>
      <c r="L6" s="860"/>
      <c r="M6" s="861"/>
      <c r="N6" s="861"/>
      <c r="O6" s="861"/>
      <c r="P6" s="3432"/>
      <c r="Q6" s="3375"/>
      <c r="R6" s="3378"/>
      <c r="S6" s="3379"/>
      <c r="T6" s="3380"/>
      <c r="U6" s="3381"/>
      <c r="V6" s="3350"/>
      <c r="W6" s="3350"/>
      <c r="X6" s="1264"/>
      <c r="Y6" s="3380"/>
      <c r="Z6" s="3381"/>
      <c r="AA6" s="3396"/>
      <c r="AB6" s="3396"/>
      <c r="AC6" s="3396"/>
    </row>
    <row r="7" spans="1:29" s="102" customFormat="1" ht="15.75" thickBot="1">
      <c r="A7" s="352" t="s">
        <v>1679</v>
      </c>
      <c r="B7" s="353"/>
      <c r="C7" s="354">
        <f>'数据-取费表'!B2</f>
        <v>45833</v>
      </c>
      <c r="D7" s="355">
        <v>100</v>
      </c>
      <c r="E7" s="356"/>
      <c r="F7" s="357">
        <f>SUMIF(52:52,YEAR(E7)&amp;"-"&amp;MONTH(E7),53:53)</f>
        <v>0</v>
      </c>
      <c r="G7" s="356"/>
      <c r="H7" s="355">
        <f>SUMIF(52:52,YEAR(G7)&amp;"-"&amp;MONTH(G7),53:53)</f>
        <v>0</v>
      </c>
      <c r="I7" s="356"/>
      <c r="J7" s="355">
        <f>SUMIF(52:52,YEAR(I7)&amp;"-"&amp;MONTH(I7),53:53)</f>
        <v>0</v>
      </c>
      <c r="K7" s="38"/>
      <c r="L7" s="862"/>
      <c r="M7" s="863"/>
      <c r="N7" s="863"/>
      <c r="O7" s="863"/>
      <c r="P7" s="3389" t="s">
        <v>1680</v>
      </c>
      <c r="Q7" s="3390"/>
      <c r="R7" s="664" t="s">
        <v>14</v>
      </c>
      <c r="S7" s="665">
        <f t="shared" ref="S7:S15" si="0">F7</f>
        <v>0</v>
      </c>
      <c r="T7" s="664" t="s">
        <v>14</v>
      </c>
      <c r="U7" s="665">
        <f t="shared" ref="U7:U15" si="1">H7</f>
        <v>0</v>
      </c>
      <c r="V7" s="664" t="s">
        <v>14</v>
      </c>
      <c r="W7" s="665">
        <f t="shared" ref="W7:W15" si="2">J7</f>
        <v>0</v>
      </c>
      <c r="X7" s="666"/>
      <c r="Y7" s="3389" t="s">
        <v>1680</v>
      </c>
      <c r="Z7" s="338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9" t="s">
        <v>1683</v>
      </c>
      <c r="Q8" s="3388"/>
      <c r="R8" s="664" t="s">
        <v>14</v>
      </c>
      <c r="S8" s="665">
        <f t="shared" si="0"/>
        <v>100</v>
      </c>
      <c r="T8" s="664" t="s">
        <v>14</v>
      </c>
      <c r="U8" s="665">
        <f t="shared" si="1"/>
        <v>100</v>
      </c>
      <c r="V8" s="664" t="s">
        <v>14</v>
      </c>
      <c r="W8" s="665">
        <f t="shared" si="2"/>
        <v>100</v>
      </c>
      <c r="X8" s="666"/>
      <c r="Y8" s="3389" t="s">
        <v>1683</v>
      </c>
      <c r="Z8" s="338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9"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49"/>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9"/>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49"/>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49"/>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49"/>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6" t="s">
        <v>1691</v>
      </c>
      <c r="Q15" s="1262" t="str">
        <f t="shared" si="6"/>
        <v>产业集聚程度</v>
      </c>
      <c r="R15" s="667" t="s">
        <v>14</v>
      </c>
      <c r="S15" s="668">
        <f t="shared" si="0"/>
        <v>100</v>
      </c>
      <c r="T15" s="667" t="s">
        <v>14</v>
      </c>
      <c r="U15" s="668">
        <f t="shared" si="1"/>
        <v>100</v>
      </c>
      <c r="V15" s="667" t="s">
        <v>14</v>
      </c>
      <c r="W15" s="668">
        <f t="shared" si="2"/>
        <v>100</v>
      </c>
      <c r="X15" s="1264"/>
      <c r="Y15" s="335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57"/>
      <c r="Q16" s="1262"/>
      <c r="R16" s="667"/>
      <c r="S16" s="668"/>
      <c r="T16" s="667"/>
      <c r="U16" s="668"/>
      <c r="V16" s="667"/>
      <c r="W16" s="668"/>
      <c r="X16" s="1264"/>
      <c r="Y16" s="3357"/>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7"/>
      <c r="Q17" s="1262" t="str">
        <f>B17</f>
        <v>交通便捷度</v>
      </c>
      <c r="R17" s="667" t="s">
        <v>14</v>
      </c>
      <c r="S17" s="668">
        <f>F17</f>
        <v>100</v>
      </c>
      <c r="T17" s="667" t="s">
        <v>14</v>
      </c>
      <c r="U17" s="668">
        <f>H17</f>
        <v>100</v>
      </c>
      <c r="V17" s="667" t="s">
        <v>14</v>
      </c>
      <c r="W17" s="668">
        <f>J17</f>
        <v>100</v>
      </c>
      <c r="X17" s="1264"/>
      <c r="Y17" s="335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57"/>
      <c r="Q18" s="1262"/>
      <c r="R18" s="667"/>
      <c r="S18" s="668"/>
      <c r="T18" s="667"/>
      <c r="U18" s="668"/>
      <c r="V18" s="667"/>
      <c r="W18" s="668"/>
      <c r="X18" s="1264"/>
      <c r="Y18" s="3357"/>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7"/>
      <c r="Q19" s="1262" t="str">
        <f>B19</f>
        <v>公共配套设施</v>
      </c>
      <c r="R19" s="667" t="s">
        <v>14</v>
      </c>
      <c r="S19" s="668">
        <f>F19</f>
        <v>100</v>
      </c>
      <c r="T19" s="667" t="s">
        <v>14</v>
      </c>
      <c r="U19" s="668">
        <f>H19</f>
        <v>100</v>
      </c>
      <c r="V19" s="667" t="s">
        <v>14</v>
      </c>
      <c r="W19" s="668">
        <f>J19</f>
        <v>100</v>
      </c>
      <c r="X19" s="1264"/>
      <c r="Y19" s="335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57"/>
      <c r="Q20" s="1262"/>
      <c r="R20" s="667"/>
      <c r="S20" s="668"/>
      <c r="T20" s="667"/>
      <c r="U20" s="668"/>
      <c r="V20" s="667"/>
      <c r="W20" s="668"/>
      <c r="X20" s="1264"/>
      <c r="Y20" s="3357"/>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7"/>
      <c r="Q21" s="1262" t="str">
        <f>B21</f>
        <v>基础设施水平</v>
      </c>
      <c r="R21" s="667" t="s">
        <v>14</v>
      </c>
      <c r="S21" s="668">
        <f>F21</f>
        <v>100</v>
      </c>
      <c r="T21" s="667" t="s">
        <v>14</v>
      </c>
      <c r="U21" s="668">
        <f>H21</f>
        <v>100</v>
      </c>
      <c r="V21" s="667" t="s">
        <v>14</v>
      </c>
      <c r="W21" s="668">
        <f>J21</f>
        <v>100</v>
      </c>
      <c r="X21" s="1264"/>
      <c r="Y21" s="335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70"/>
      <c r="M22" s="861"/>
      <c r="N22" s="861"/>
      <c r="O22" s="869"/>
      <c r="P22" s="3357"/>
      <c r="Q22" s="1262"/>
      <c r="R22" s="667"/>
      <c r="S22" s="668"/>
      <c r="T22" s="667"/>
      <c r="U22" s="668"/>
      <c r="V22" s="667"/>
      <c r="W22" s="668"/>
      <c r="X22" s="1264"/>
      <c r="Y22" s="3357"/>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7"/>
      <c r="Q23" s="1262" t="str">
        <f>B23</f>
        <v>环境质量</v>
      </c>
      <c r="R23" s="667" t="s">
        <v>14</v>
      </c>
      <c r="S23" s="668">
        <f>F23</f>
        <v>100</v>
      </c>
      <c r="T23" s="667" t="s">
        <v>14</v>
      </c>
      <c r="U23" s="668">
        <f>H23</f>
        <v>100</v>
      </c>
      <c r="V23" s="667" t="s">
        <v>14</v>
      </c>
      <c r="W23" s="668">
        <f>J23</f>
        <v>100</v>
      </c>
      <c r="X23" s="1264"/>
      <c r="Y23" s="335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57"/>
      <c r="Q24" s="1262"/>
      <c r="R24" s="667"/>
      <c r="S24" s="668"/>
      <c r="T24" s="667"/>
      <c r="U24" s="668"/>
      <c r="V24" s="667"/>
      <c r="W24" s="668"/>
      <c r="X24" s="1264"/>
      <c r="Y24" s="335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7"/>
      <c r="Q25" s="1262">
        <f>B25</f>
        <v>111</v>
      </c>
      <c r="R25" s="667" t="s">
        <v>14</v>
      </c>
      <c r="S25" s="668">
        <f>F25</f>
        <v>100</v>
      </c>
      <c r="T25" s="667" t="s">
        <v>14</v>
      </c>
      <c r="U25" s="668">
        <f>H25</f>
        <v>100</v>
      </c>
      <c r="V25" s="667" t="s">
        <v>14</v>
      </c>
      <c r="W25" s="668">
        <f>J25</f>
        <v>100</v>
      </c>
      <c r="X25" s="1264"/>
      <c r="Y25" s="335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7"/>
      <c r="Q26" s="1262">
        <f t="shared" ref="Q26:Q40" si="11">B26</f>
        <v>111</v>
      </c>
      <c r="R26" s="667" t="s">
        <v>14</v>
      </c>
      <c r="S26" s="668">
        <f>F26</f>
        <v>100</v>
      </c>
      <c r="T26" s="667" t="s">
        <v>14</v>
      </c>
      <c r="U26" s="668">
        <f>H26</f>
        <v>100</v>
      </c>
      <c r="V26" s="667" t="s">
        <v>14</v>
      </c>
      <c r="W26" s="668">
        <f>J26</f>
        <v>100</v>
      </c>
      <c r="X26" s="1264"/>
      <c r="Y26" s="335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7"/>
      <c r="Q27" s="530">
        <f t="shared" si="11"/>
        <v>111</v>
      </c>
      <c r="R27" s="664" t="s">
        <v>14</v>
      </c>
      <c r="S27" s="665">
        <f>F27</f>
        <v>100</v>
      </c>
      <c r="T27" s="664" t="s">
        <v>14</v>
      </c>
      <c r="U27" s="665">
        <f>H27</f>
        <v>100</v>
      </c>
      <c r="V27" s="664" t="s">
        <v>14</v>
      </c>
      <c r="W27" s="665">
        <f>J27</f>
        <v>100</v>
      </c>
      <c r="X27" s="666"/>
      <c r="Y27" s="3357"/>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7"/>
      <c r="Q28" s="1262">
        <f t="shared" si="11"/>
        <v>111</v>
      </c>
      <c r="R28" s="667" t="s">
        <v>14</v>
      </c>
      <c r="S28" s="668">
        <f t="shared" ref="S28:S40" si="12">F28</f>
        <v>100</v>
      </c>
      <c r="T28" s="667" t="s">
        <v>14</v>
      </c>
      <c r="U28" s="668">
        <f t="shared" ref="U28:U40" si="13">H28</f>
        <v>100</v>
      </c>
      <c r="V28" s="667" t="s">
        <v>14</v>
      </c>
      <c r="W28" s="668">
        <f t="shared" ref="W28:W40" si="14">J28</f>
        <v>100</v>
      </c>
      <c r="X28" s="1264"/>
      <c r="Y28" s="335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36" t="s">
        <v>1696</v>
      </c>
      <c r="Q29" s="1262" t="str">
        <f t="shared" si="11"/>
        <v>建筑类型</v>
      </c>
      <c r="R29" s="667" t="s">
        <v>14</v>
      </c>
      <c r="S29" s="668">
        <f t="shared" si="12"/>
        <v>100</v>
      </c>
      <c r="T29" s="667" t="s">
        <v>14</v>
      </c>
      <c r="U29" s="668">
        <f t="shared" si="13"/>
        <v>100</v>
      </c>
      <c r="V29" s="667" t="s">
        <v>14</v>
      </c>
      <c r="W29" s="668">
        <f t="shared" si="14"/>
        <v>100</v>
      </c>
      <c r="X29" s="1264"/>
      <c r="Y29" s="336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1"/>
      <c r="Q30" s="531" t="str">
        <f t="shared" si="11"/>
        <v>项目建筑规模</v>
      </c>
      <c r="R30" s="669" t="s">
        <v>14</v>
      </c>
      <c r="S30" s="670" t="e">
        <f t="shared" si="12"/>
        <v>#N/A</v>
      </c>
      <c r="T30" s="669" t="s">
        <v>14</v>
      </c>
      <c r="U30" s="670" t="e">
        <f t="shared" si="13"/>
        <v>#N/A</v>
      </c>
      <c r="V30" s="669" t="s">
        <v>14</v>
      </c>
      <c r="W30" s="670" t="e">
        <f t="shared" si="14"/>
        <v>#N/A</v>
      </c>
      <c r="X30" s="671"/>
      <c r="Y30" s="336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1"/>
      <c r="Q31" s="1262" t="str">
        <f t="shared" si="11"/>
        <v>建筑结构</v>
      </c>
      <c r="R31" s="667" t="s">
        <v>14</v>
      </c>
      <c r="S31" s="668">
        <f t="shared" si="12"/>
        <v>100</v>
      </c>
      <c r="T31" s="667" t="s">
        <v>14</v>
      </c>
      <c r="U31" s="668">
        <f t="shared" si="13"/>
        <v>100</v>
      </c>
      <c r="V31" s="667" t="s">
        <v>14</v>
      </c>
      <c r="W31" s="668">
        <f t="shared" si="14"/>
        <v>100</v>
      </c>
      <c r="X31" s="1264"/>
      <c r="Y31" s="336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1"/>
      <c r="Q32" s="1262" t="str">
        <f t="shared" si="11"/>
        <v>公共部分装修</v>
      </c>
      <c r="R32" s="667" t="s">
        <v>14</v>
      </c>
      <c r="S32" s="668">
        <f t="shared" si="12"/>
        <v>100</v>
      </c>
      <c r="T32" s="667" t="s">
        <v>14</v>
      </c>
      <c r="U32" s="668">
        <f t="shared" si="13"/>
        <v>100</v>
      </c>
      <c r="V32" s="667" t="s">
        <v>14</v>
      </c>
      <c r="W32" s="668">
        <f t="shared" si="14"/>
        <v>100</v>
      </c>
      <c r="X32" s="1264"/>
      <c r="Y32" s="336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1"/>
      <c r="Q33" s="1262" t="str">
        <f t="shared" si="11"/>
        <v>成新度</v>
      </c>
      <c r="R33" s="667" t="s">
        <v>14</v>
      </c>
      <c r="S33" s="668" t="e">
        <f t="shared" si="12"/>
        <v>#N/A</v>
      </c>
      <c r="T33" s="667" t="s">
        <v>14</v>
      </c>
      <c r="U33" s="668" t="e">
        <f t="shared" si="13"/>
        <v>#N/A</v>
      </c>
      <c r="V33" s="667" t="s">
        <v>14</v>
      </c>
      <c r="W33" s="668" t="e">
        <f t="shared" si="14"/>
        <v>#N/A</v>
      </c>
      <c r="X33" s="1264"/>
      <c r="Y33" s="336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1"/>
      <c r="Q34" s="530" t="str">
        <f t="shared" si="11"/>
        <v>物业管理</v>
      </c>
      <c r="R34" s="664" t="s">
        <v>14</v>
      </c>
      <c r="S34" s="665">
        <f t="shared" si="12"/>
        <v>100</v>
      </c>
      <c r="T34" s="664" t="s">
        <v>14</v>
      </c>
      <c r="U34" s="665">
        <f t="shared" si="13"/>
        <v>100</v>
      </c>
      <c r="V34" s="664" t="s">
        <v>14</v>
      </c>
      <c r="W34" s="665">
        <f t="shared" si="14"/>
        <v>100</v>
      </c>
      <c r="X34" s="666"/>
      <c r="Y34" s="336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1" t="s">
        <v>1696</v>
      </c>
      <c r="Q35" s="1262" t="str">
        <f t="shared" si="11"/>
        <v>市政基础设施</v>
      </c>
      <c r="R35" s="667" t="s">
        <v>14</v>
      </c>
      <c r="S35" s="668">
        <f t="shared" si="12"/>
        <v>100</v>
      </c>
      <c r="T35" s="667" t="s">
        <v>14</v>
      </c>
      <c r="U35" s="668">
        <f t="shared" si="13"/>
        <v>100</v>
      </c>
      <c r="V35" s="667" t="s">
        <v>14</v>
      </c>
      <c r="W35" s="668">
        <f t="shared" si="14"/>
        <v>100</v>
      </c>
      <c r="X35" s="1264"/>
      <c r="Y35" s="336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1"/>
      <c r="Q36" s="1262" t="str">
        <f t="shared" si="11"/>
        <v>内部装修</v>
      </c>
      <c r="R36" s="667" t="s">
        <v>14</v>
      </c>
      <c r="S36" s="668">
        <f t="shared" si="12"/>
        <v>100</v>
      </c>
      <c r="T36" s="667" t="s">
        <v>14</v>
      </c>
      <c r="U36" s="668">
        <f t="shared" si="13"/>
        <v>100</v>
      </c>
      <c r="V36" s="667" t="s">
        <v>14</v>
      </c>
      <c r="W36" s="668">
        <f t="shared" si="14"/>
        <v>100</v>
      </c>
      <c r="X36" s="1264"/>
      <c r="Y36" s="336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1"/>
      <c r="Q37" s="1262" t="str">
        <f t="shared" si="11"/>
        <v>内部装修状况</v>
      </c>
      <c r="R37" s="667" t="s">
        <v>14</v>
      </c>
      <c r="S37" s="668">
        <f t="shared" si="12"/>
        <v>100</v>
      </c>
      <c r="T37" s="667" t="s">
        <v>14</v>
      </c>
      <c r="U37" s="668">
        <f t="shared" si="13"/>
        <v>100</v>
      </c>
      <c r="V37" s="667" t="s">
        <v>14</v>
      </c>
      <c r="W37" s="668">
        <f t="shared" si="14"/>
        <v>100</v>
      </c>
      <c r="X37" s="1264"/>
      <c r="Y37" s="336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1"/>
      <c r="Q38" s="531">
        <f t="shared" si="11"/>
        <v>111</v>
      </c>
      <c r="R38" s="669" t="s">
        <v>14</v>
      </c>
      <c r="S38" s="670">
        <f t="shared" si="12"/>
        <v>100</v>
      </c>
      <c r="T38" s="669" t="s">
        <v>14</v>
      </c>
      <c r="U38" s="670">
        <f t="shared" si="13"/>
        <v>100</v>
      </c>
      <c r="V38" s="669" t="s">
        <v>14</v>
      </c>
      <c r="W38" s="670">
        <f t="shared" si="14"/>
        <v>100</v>
      </c>
      <c r="X38" s="671"/>
      <c r="Y38" s="3361"/>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1"/>
      <c r="Q39" s="1262">
        <f t="shared" si="11"/>
        <v>111</v>
      </c>
      <c r="R39" s="667" t="s">
        <v>14</v>
      </c>
      <c r="S39" s="668">
        <f t="shared" si="12"/>
        <v>100</v>
      </c>
      <c r="T39" s="667" t="s">
        <v>14</v>
      </c>
      <c r="U39" s="668">
        <f t="shared" si="13"/>
        <v>100</v>
      </c>
      <c r="V39" s="667" t="s">
        <v>14</v>
      </c>
      <c r="W39" s="668">
        <f t="shared" si="14"/>
        <v>100</v>
      </c>
      <c r="X39" s="1264"/>
      <c r="Y39" s="336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2"/>
      <c r="Q40" s="1262">
        <f t="shared" si="11"/>
        <v>111</v>
      </c>
      <c r="R40" s="667" t="s">
        <v>14</v>
      </c>
      <c r="S40" s="668">
        <f t="shared" si="12"/>
        <v>100</v>
      </c>
      <c r="T40" s="667" t="s">
        <v>14</v>
      </c>
      <c r="U40" s="668">
        <f t="shared" si="13"/>
        <v>100</v>
      </c>
      <c r="V40" s="667" t="s">
        <v>14</v>
      </c>
      <c r="W40" s="668">
        <f t="shared" si="14"/>
        <v>100</v>
      </c>
      <c r="X40" s="1264"/>
      <c r="Y40" s="3362"/>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49" t="str">
        <f>A41</f>
        <v>成交单价（元/平方米）</v>
      </c>
      <c r="Q41" s="3349"/>
      <c r="R41" s="3350">
        <f>E41</f>
        <v>0</v>
      </c>
      <c r="S41" s="3350"/>
      <c r="T41" s="3350">
        <f>G41</f>
        <v>0</v>
      </c>
      <c r="U41" s="3350"/>
      <c r="V41" s="3350">
        <f>I41</f>
        <v>0</v>
      </c>
      <c r="W41" s="3350"/>
      <c r="X41" s="385"/>
      <c r="Y41" s="673"/>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3"/>
      <c r="M42" s="861"/>
      <c r="N42" s="861"/>
      <c r="O42" s="861"/>
      <c r="P42" s="3349" t="str">
        <f>A42</f>
        <v>比较价值（元/平方米）</v>
      </c>
      <c r="Q42" s="3349"/>
      <c r="R42" s="3350" t="e">
        <f>IF(F1="售价",ROUND(PRODUCT(R41,AA7:AA40),0),ROUND(PRODUCT(R41,AA7:AA40),1))</f>
        <v>#DIV/0!</v>
      </c>
      <c r="S42" s="3350"/>
      <c r="T42" s="3350" t="e">
        <f>IF(F1="售价",ROUND(PRODUCT(T41,AB7:AB40),0),ROUND(PRODUCT(T41,AB7:AB40),1))</f>
        <v>#DIV/0!</v>
      </c>
      <c r="U42" s="3350"/>
      <c r="V42" s="3350" t="e">
        <f>IF(F1="售价",ROUND(PRODUCT(V41,AC7:AC40),0),ROUND(PRODUCT(V41,AC7:AC40),1))</f>
        <v>#DIV/0!</v>
      </c>
      <c r="W42" s="335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429" t="s">
        <v>1775</v>
      </c>
      <c r="Q4" s="3430"/>
      <c r="R4" s="3433" t="s">
        <v>1771</v>
      </c>
      <c r="S4" s="3434"/>
      <c r="T4" s="3433" t="s">
        <v>1772</v>
      </c>
      <c r="U4" s="3434"/>
      <c r="V4" s="3350" t="s">
        <v>1773</v>
      </c>
      <c r="W4" s="3350"/>
      <c r="X4" s="1264"/>
      <c r="Y4" s="3433" t="s">
        <v>1775</v>
      </c>
      <c r="Z4" s="3434"/>
      <c r="AA4" s="3428" t="s">
        <v>1771</v>
      </c>
      <c r="AB4" s="3395" t="s">
        <v>1772</v>
      </c>
      <c r="AC4" s="3428" t="s">
        <v>1773</v>
      </c>
    </row>
    <row r="5" spans="1:29" ht="15">
      <c r="A5" s="348"/>
      <c r="B5" s="349"/>
      <c r="C5" s="3391" t="s">
        <v>1673</v>
      </c>
      <c r="D5" s="3386"/>
      <c r="E5" s="3435" t="s">
        <v>1674</v>
      </c>
      <c r="F5" s="3398"/>
      <c r="G5" s="3391" t="s">
        <v>1675</v>
      </c>
      <c r="H5" s="3386"/>
      <c r="I5" s="3391" t="s">
        <v>1676</v>
      </c>
      <c r="J5" s="3386"/>
      <c r="K5" s="537"/>
      <c r="L5" s="2486"/>
      <c r="M5" s="2487"/>
      <c r="N5" s="2487"/>
      <c r="O5" s="2487"/>
      <c r="P5" s="3431"/>
      <c r="Q5" s="3373"/>
      <c r="R5" s="3378"/>
      <c r="S5" s="3379"/>
      <c r="T5" s="3378"/>
      <c r="U5" s="3379"/>
      <c r="V5" s="3350"/>
      <c r="W5" s="3350"/>
      <c r="X5" s="1264"/>
      <c r="Y5" s="3378"/>
      <c r="Z5" s="3379"/>
      <c r="AA5" s="3395"/>
      <c r="AB5" s="3395"/>
      <c r="AC5" s="3395"/>
    </row>
    <row r="6" spans="1:29" ht="15.75" thickBot="1">
      <c r="A6" s="350"/>
      <c r="B6" s="351"/>
      <c r="C6" s="3383" t="s">
        <v>1677</v>
      </c>
      <c r="D6" s="3384"/>
      <c r="E6" s="3392" t="s">
        <v>1677</v>
      </c>
      <c r="F6" s="3393"/>
      <c r="G6" s="3383" t="s">
        <v>1677</v>
      </c>
      <c r="H6" s="3384"/>
      <c r="I6" s="3383" t="s">
        <v>1677</v>
      </c>
      <c r="J6" s="3384"/>
      <c r="K6" s="537" t="s">
        <v>1678</v>
      </c>
      <c r="L6" s="2486"/>
      <c r="M6" s="2487"/>
      <c r="N6" s="2487"/>
      <c r="O6" s="2487"/>
      <c r="P6" s="3432"/>
      <c r="Q6" s="3375"/>
      <c r="R6" s="3378"/>
      <c r="S6" s="3379"/>
      <c r="T6" s="3380"/>
      <c r="U6" s="3381"/>
      <c r="V6" s="3350"/>
      <c r="W6" s="3350"/>
      <c r="X6" s="1264"/>
      <c r="Y6" s="3380"/>
      <c r="Z6" s="3381"/>
      <c r="AA6" s="3396"/>
      <c r="AB6" s="3396"/>
      <c r="AC6" s="3396"/>
    </row>
    <row r="7" spans="1:29" s="102" customFormat="1" ht="15.75" thickBot="1">
      <c r="A7" s="352" t="s">
        <v>1679</v>
      </c>
      <c r="B7" s="353"/>
      <c r="C7" s="354">
        <f>'数据-取费表'!B2</f>
        <v>45833</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9" t="s">
        <v>1680</v>
      </c>
      <c r="Q7" s="3390"/>
      <c r="R7" s="664" t="s">
        <v>14</v>
      </c>
      <c r="S7" s="665">
        <f t="shared" ref="S7:S14" si="0">F7</f>
        <v>0</v>
      </c>
      <c r="T7" s="664" t="s">
        <v>14</v>
      </c>
      <c r="U7" s="665">
        <f t="shared" ref="U7:U14" si="1">H7</f>
        <v>0</v>
      </c>
      <c r="V7" s="664" t="s">
        <v>14</v>
      </c>
      <c r="W7" s="665">
        <f t="shared" ref="W7:W14" si="2">J7</f>
        <v>0</v>
      </c>
      <c r="X7" s="666"/>
      <c r="Y7" s="3389" t="s">
        <v>1680</v>
      </c>
      <c r="Z7" s="338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9" t="s">
        <v>1683</v>
      </c>
      <c r="Q8" s="3388"/>
      <c r="R8" s="664" t="s">
        <v>14</v>
      </c>
      <c r="S8" s="665">
        <f t="shared" si="0"/>
        <v>100</v>
      </c>
      <c r="T8" s="664" t="s">
        <v>14</v>
      </c>
      <c r="U8" s="665">
        <f t="shared" si="1"/>
        <v>100</v>
      </c>
      <c r="V8" s="664" t="s">
        <v>14</v>
      </c>
      <c r="W8" s="665">
        <f t="shared" si="2"/>
        <v>100</v>
      </c>
      <c r="X8" s="666"/>
      <c r="Y8" s="3389" t="s">
        <v>1683</v>
      </c>
      <c r="Z8" s="338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49"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49"/>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49"/>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49"/>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49"/>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56" t="s">
        <v>1691</v>
      </c>
      <c r="Q14" s="1262" t="str">
        <f t="shared" si="6"/>
        <v>交通便捷度</v>
      </c>
      <c r="R14" s="667" t="s">
        <v>14</v>
      </c>
      <c r="S14" s="668">
        <f t="shared" si="0"/>
        <v>100</v>
      </c>
      <c r="T14" s="667" t="s">
        <v>14</v>
      </c>
      <c r="U14" s="668">
        <f t="shared" si="1"/>
        <v>100</v>
      </c>
      <c r="V14" s="667" t="s">
        <v>14</v>
      </c>
      <c r="W14" s="668">
        <f t="shared" si="2"/>
        <v>100</v>
      </c>
      <c r="X14" s="1264"/>
      <c r="Y14" s="335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57"/>
      <c r="Q15" s="1262"/>
      <c r="R15" s="667"/>
      <c r="S15" s="668"/>
      <c r="T15" s="667"/>
      <c r="U15" s="668"/>
      <c r="V15" s="667"/>
      <c r="W15" s="668"/>
      <c r="X15" s="1264"/>
      <c r="Y15" s="3357"/>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57"/>
      <c r="Q16" s="1262" t="str">
        <f>B16</f>
        <v>公共配套设施</v>
      </c>
      <c r="R16" s="667" t="s">
        <v>14</v>
      </c>
      <c r="S16" s="668">
        <f>F16</f>
        <v>100</v>
      </c>
      <c r="T16" s="667" t="s">
        <v>14</v>
      </c>
      <c r="U16" s="668">
        <f>H16</f>
        <v>100</v>
      </c>
      <c r="V16" s="667" t="s">
        <v>14</v>
      </c>
      <c r="W16" s="668">
        <f>J16</f>
        <v>100</v>
      </c>
      <c r="X16" s="1264"/>
      <c r="Y16" s="335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57"/>
      <c r="Q17" s="1262"/>
      <c r="R17" s="667"/>
      <c r="S17" s="668"/>
      <c r="T17" s="667"/>
      <c r="U17" s="668"/>
      <c r="V17" s="667"/>
      <c r="W17" s="668"/>
      <c r="X17" s="1264"/>
      <c r="Y17" s="3357"/>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57"/>
      <c r="Q18" s="1262" t="str">
        <f>B18</f>
        <v>基础设施水平</v>
      </c>
      <c r="R18" s="667" t="s">
        <v>14</v>
      </c>
      <c r="S18" s="668">
        <f>F18</f>
        <v>100</v>
      </c>
      <c r="T18" s="667" t="s">
        <v>14</v>
      </c>
      <c r="U18" s="668">
        <f>H18</f>
        <v>100</v>
      </c>
      <c r="V18" s="667" t="s">
        <v>14</v>
      </c>
      <c r="W18" s="668">
        <f>J18</f>
        <v>100</v>
      </c>
      <c r="X18" s="1264"/>
      <c r="Y18" s="335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57"/>
      <c r="Q19" s="1262"/>
      <c r="R19" s="667"/>
      <c r="S19" s="668"/>
      <c r="T19" s="667"/>
      <c r="U19" s="668"/>
      <c r="V19" s="667"/>
      <c r="W19" s="668"/>
      <c r="X19" s="1264"/>
      <c r="Y19" s="3357"/>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57"/>
      <c r="Q20" s="1262" t="str">
        <f>B20</f>
        <v>自然及人文环境</v>
      </c>
      <c r="R20" s="667" t="s">
        <v>14</v>
      </c>
      <c r="S20" s="668">
        <f>F20</f>
        <v>100</v>
      </c>
      <c r="T20" s="667" t="s">
        <v>14</v>
      </c>
      <c r="U20" s="668">
        <f>H20</f>
        <v>100</v>
      </c>
      <c r="V20" s="667" t="s">
        <v>14</v>
      </c>
      <c r="W20" s="668">
        <f>J20</f>
        <v>100</v>
      </c>
      <c r="X20" s="1264"/>
      <c r="Y20" s="335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57"/>
      <c r="Q21" s="1262"/>
      <c r="R21" s="667"/>
      <c r="S21" s="668"/>
      <c r="T21" s="667"/>
      <c r="U21" s="668"/>
      <c r="V21" s="667"/>
      <c r="W21" s="668"/>
      <c r="X21" s="1264"/>
      <c r="Y21" s="335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57"/>
      <c r="Q22" s="1262" t="str">
        <f>B22</f>
        <v>楼层</v>
      </c>
      <c r="R22" s="667" t="s">
        <v>14</v>
      </c>
      <c r="S22" s="668">
        <f>F22</f>
        <v>100</v>
      </c>
      <c r="T22" s="667" t="s">
        <v>14</v>
      </c>
      <c r="U22" s="668">
        <f>H22</f>
        <v>100</v>
      </c>
      <c r="V22" s="667" t="s">
        <v>14</v>
      </c>
      <c r="W22" s="668">
        <f>J22</f>
        <v>100</v>
      </c>
      <c r="X22" s="1264"/>
      <c r="Y22" s="335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57"/>
      <c r="Q23" s="1262">
        <f>B23</f>
        <v>111</v>
      </c>
      <c r="R23" s="667" t="s">
        <v>14</v>
      </c>
      <c r="S23" s="668">
        <f>F23</f>
        <v>100</v>
      </c>
      <c r="T23" s="667" t="s">
        <v>14</v>
      </c>
      <c r="U23" s="668">
        <f>H23</f>
        <v>100</v>
      </c>
      <c r="V23" s="667" t="s">
        <v>14</v>
      </c>
      <c r="W23" s="668">
        <f>J23</f>
        <v>100</v>
      </c>
      <c r="X23" s="1264"/>
      <c r="Y23" s="335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57"/>
      <c r="Q24" s="1262">
        <f t="shared" ref="Q24:Q36" si="11">B24</f>
        <v>111</v>
      </c>
      <c r="R24" s="667" t="s">
        <v>14</v>
      </c>
      <c r="S24" s="668">
        <f>F24</f>
        <v>100</v>
      </c>
      <c r="T24" s="667" t="s">
        <v>14</v>
      </c>
      <c r="U24" s="668">
        <f>H24</f>
        <v>100</v>
      </c>
      <c r="V24" s="667" t="s">
        <v>14</v>
      </c>
      <c r="W24" s="668">
        <f>J24</f>
        <v>100</v>
      </c>
      <c r="X24" s="1264"/>
      <c r="Y24" s="335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57"/>
      <c r="Q25" s="530">
        <f t="shared" si="11"/>
        <v>111</v>
      </c>
      <c r="R25" s="664" t="s">
        <v>14</v>
      </c>
      <c r="S25" s="665">
        <f>F25</f>
        <v>100</v>
      </c>
      <c r="T25" s="664" t="s">
        <v>14</v>
      </c>
      <c r="U25" s="665">
        <f>H25</f>
        <v>100</v>
      </c>
      <c r="V25" s="664" t="s">
        <v>14</v>
      </c>
      <c r="W25" s="665">
        <f>J25</f>
        <v>100</v>
      </c>
      <c r="X25" s="666"/>
      <c r="Y25" s="3357"/>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6"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6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61"/>
      <c r="Q27" s="531" t="str">
        <f t="shared" si="11"/>
        <v>项目停车位配比</v>
      </c>
      <c r="R27" s="669" t="s">
        <v>14</v>
      </c>
      <c r="S27" s="670">
        <f t="shared" si="12"/>
        <v>100</v>
      </c>
      <c r="T27" s="669" t="s">
        <v>14</v>
      </c>
      <c r="U27" s="670">
        <f t="shared" si="13"/>
        <v>100</v>
      </c>
      <c r="V27" s="669" t="s">
        <v>14</v>
      </c>
      <c r="W27" s="670">
        <f t="shared" si="14"/>
        <v>100</v>
      </c>
      <c r="X27" s="671"/>
      <c r="Y27" s="336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61"/>
      <c r="Q28" s="1262" t="str">
        <f t="shared" si="11"/>
        <v>公共部分装修</v>
      </c>
      <c r="R28" s="667" t="s">
        <v>14</v>
      </c>
      <c r="S28" s="668">
        <f t="shared" si="12"/>
        <v>100</v>
      </c>
      <c r="T28" s="667" t="s">
        <v>14</v>
      </c>
      <c r="U28" s="668">
        <f t="shared" si="13"/>
        <v>100</v>
      </c>
      <c r="V28" s="667" t="s">
        <v>14</v>
      </c>
      <c r="W28" s="668">
        <f t="shared" si="14"/>
        <v>100</v>
      </c>
      <c r="X28" s="1264"/>
      <c r="Y28" s="336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61"/>
      <c r="Q29" s="1262" t="str">
        <f t="shared" si="11"/>
        <v>成新率</v>
      </c>
      <c r="R29" s="667" t="s">
        <v>14</v>
      </c>
      <c r="S29" s="668" t="e">
        <f t="shared" si="12"/>
        <v>#N/A</v>
      </c>
      <c r="T29" s="667" t="s">
        <v>14</v>
      </c>
      <c r="U29" s="668" t="e">
        <f t="shared" si="13"/>
        <v>#N/A</v>
      </c>
      <c r="V29" s="667" t="s">
        <v>14</v>
      </c>
      <c r="W29" s="668" t="e">
        <f t="shared" si="14"/>
        <v>#N/A</v>
      </c>
      <c r="X29" s="1264"/>
      <c r="Y29" s="336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61"/>
      <c r="Q30" s="1262" t="str">
        <f t="shared" si="11"/>
        <v>物业等级</v>
      </c>
      <c r="R30" s="667" t="s">
        <v>14</v>
      </c>
      <c r="S30" s="668">
        <f t="shared" si="12"/>
        <v>100</v>
      </c>
      <c r="T30" s="667" t="s">
        <v>14</v>
      </c>
      <c r="U30" s="668">
        <f t="shared" si="13"/>
        <v>100</v>
      </c>
      <c r="V30" s="667" t="s">
        <v>14</v>
      </c>
      <c r="W30" s="668">
        <f t="shared" si="14"/>
        <v>100</v>
      </c>
      <c r="X30" s="1264"/>
      <c r="Y30" s="336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61"/>
      <c r="Q31" s="530" t="str">
        <f t="shared" si="11"/>
        <v>停车位面积</v>
      </c>
      <c r="R31" s="664" t="s">
        <v>14</v>
      </c>
      <c r="S31" s="665" t="e">
        <f t="shared" si="12"/>
        <v>#N/A</v>
      </c>
      <c r="T31" s="664" t="s">
        <v>14</v>
      </c>
      <c r="U31" s="665" t="e">
        <f t="shared" si="13"/>
        <v>#N/A</v>
      </c>
      <c r="V31" s="664" t="s">
        <v>14</v>
      </c>
      <c r="W31" s="665" t="e">
        <f t="shared" si="14"/>
        <v>#N/A</v>
      </c>
      <c r="X31" s="666"/>
      <c r="Y31" s="336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61" t="s">
        <v>1696</v>
      </c>
      <c r="Q32" s="1262" t="str">
        <f t="shared" si="11"/>
        <v>车位类型</v>
      </c>
      <c r="R32" s="667" t="s">
        <v>14</v>
      </c>
      <c r="S32" s="668">
        <f t="shared" si="12"/>
        <v>100</v>
      </c>
      <c r="T32" s="667" t="s">
        <v>14</v>
      </c>
      <c r="U32" s="668">
        <f t="shared" si="13"/>
        <v>100</v>
      </c>
      <c r="V32" s="667" t="s">
        <v>14</v>
      </c>
      <c r="W32" s="668">
        <f t="shared" si="14"/>
        <v>100</v>
      </c>
      <c r="X32" s="1264"/>
      <c r="Y32" s="336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61"/>
      <c r="Q33" s="1262" t="str">
        <f t="shared" si="11"/>
        <v>是否直接入户</v>
      </c>
      <c r="R33" s="667" t="s">
        <v>14</v>
      </c>
      <c r="S33" s="668">
        <f t="shared" si="12"/>
        <v>100</v>
      </c>
      <c r="T33" s="667" t="s">
        <v>14</v>
      </c>
      <c r="U33" s="668">
        <f t="shared" si="13"/>
        <v>100</v>
      </c>
      <c r="V33" s="667" t="s">
        <v>14</v>
      </c>
      <c r="W33" s="668">
        <f t="shared" si="14"/>
        <v>100</v>
      </c>
      <c r="X33" s="1264"/>
      <c r="Y33" s="336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61"/>
      <c r="Q34" s="1262">
        <f t="shared" si="11"/>
        <v>111</v>
      </c>
      <c r="R34" s="667" t="s">
        <v>14</v>
      </c>
      <c r="S34" s="668">
        <f t="shared" si="12"/>
        <v>100</v>
      </c>
      <c r="T34" s="667" t="s">
        <v>14</v>
      </c>
      <c r="U34" s="668">
        <f t="shared" si="13"/>
        <v>100</v>
      </c>
      <c r="V34" s="667" t="s">
        <v>14</v>
      </c>
      <c r="W34" s="668">
        <f t="shared" si="14"/>
        <v>100</v>
      </c>
      <c r="X34" s="1264"/>
      <c r="Y34" s="336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61"/>
      <c r="Q35" s="531">
        <f t="shared" si="11"/>
        <v>111</v>
      </c>
      <c r="R35" s="669" t="s">
        <v>14</v>
      </c>
      <c r="S35" s="670">
        <f t="shared" si="12"/>
        <v>100</v>
      </c>
      <c r="T35" s="669" t="s">
        <v>14</v>
      </c>
      <c r="U35" s="670">
        <f t="shared" si="13"/>
        <v>100</v>
      </c>
      <c r="V35" s="669" t="s">
        <v>14</v>
      </c>
      <c r="W35" s="670">
        <f t="shared" si="14"/>
        <v>100</v>
      </c>
      <c r="X35" s="671"/>
      <c r="Y35" s="3361"/>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61"/>
      <c r="Q36" s="1262">
        <f t="shared" si="11"/>
        <v>111</v>
      </c>
      <c r="R36" s="667" t="s">
        <v>14</v>
      </c>
      <c r="S36" s="668">
        <f t="shared" si="12"/>
        <v>100</v>
      </c>
      <c r="T36" s="667" t="s">
        <v>14</v>
      </c>
      <c r="U36" s="668">
        <f t="shared" si="13"/>
        <v>100</v>
      </c>
      <c r="V36" s="667" t="s">
        <v>14</v>
      </c>
      <c r="W36" s="668">
        <f t="shared" si="14"/>
        <v>100</v>
      </c>
      <c r="X36" s="1264"/>
      <c r="Y36" s="3361"/>
      <c r="Z36" s="1263">
        <f t="shared" si="15"/>
        <v>111</v>
      </c>
      <c r="AA36" s="1263">
        <f t="shared" si="3"/>
        <v>1</v>
      </c>
      <c r="AB36" s="1263">
        <f t="shared" si="4"/>
        <v>1</v>
      </c>
      <c r="AC36" s="1263">
        <f t="shared" si="5"/>
        <v>1</v>
      </c>
    </row>
    <row r="37" spans="1:29" ht="15">
      <c r="A37" s="416" t="s">
        <v>1844</v>
      </c>
      <c r="B37" s="1820" t="s">
        <v>3353</v>
      </c>
      <c r="C37" s="1080" t="s">
        <v>0</v>
      </c>
      <c r="D37" s="418"/>
      <c r="E37" s="419"/>
      <c r="F37" s="420"/>
      <c r="G37" s="421"/>
      <c r="H37" s="422"/>
      <c r="I37" s="419"/>
      <c r="J37" s="422"/>
      <c r="K37" s="545"/>
      <c r="L37" s="2494"/>
      <c r="M37" s="2487"/>
      <c r="N37" s="2487"/>
      <c r="O37" s="2487"/>
      <c r="P37" s="3349" t="str">
        <f>A37</f>
        <v>成交单价</v>
      </c>
      <c r="Q37" s="3349"/>
      <c r="R37" s="3350">
        <f>E37</f>
        <v>0</v>
      </c>
      <c r="S37" s="3350"/>
      <c r="T37" s="3350">
        <f>G37</f>
        <v>0</v>
      </c>
      <c r="U37" s="3350"/>
      <c r="V37" s="3350">
        <f>I37</f>
        <v>0</v>
      </c>
      <c r="W37" s="3350"/>
      <c r="X37" s="385"/>
      <c r="Y37" s="673"/>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49" t="str">
        <f>A38</f>
        <v>比较价值（元/平方米）</v>
      </c>
      <c r="Q38" s="3349"/>
      <c r="R38" s="3350" t="e">
        <f>IF(F1="售价",ROUND(PRODUCT(R37,AA7:AA36),0),ROUND(PRODUCT(R37,AA7:AA36),1))</f>
        <v>#DIV/0!</v>
      </c>
      <c r="S38" s="3350"/>
      <c r="T38" s="3350" t="e">
        <f>IF(F1="售价",ROUND(PRODUCT(T37,AB7:AB36),0),ROUND(PRODUCT(T37,AB7:AB36),1))</f>
        <v>#DIV/0!</v>
      </c>
      <c r="U38" s="3350"/>
      <c r="V38" s="3350" t="e">
        <f>IF(F1="售价",ROUND(PRODUCT(V37,AC7:AC36),0),ROUND(PRODUCT(V37,AC7:AC36),1))</f>
        <v>#DIV/0!</v>
      </c>
      <c r="W38" s="335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25" t="str">
        <f>A39</f>
        <v>估价对象XX用房的比较价值（楼面单价，元/平方米）</v>
      </c>
      <c r="Q39" s="3426"/>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1"/>
      <c r="C47" s="886"/>
      <c r="D47" s="886"/>
      <c r="E47" s="886"/>
      <c r="F47" s="1087"/>
      <c r="G47" s="1087"/>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429" t="s">
        <v>1775</v>
      </c>
      <c r="Q4" s="3430"/>
      <c r="R4" s="3433" t="s">
        <v>1771</v>
      </c>
      <c r="S4" s="3434"/>
      <c r="T4" s="3433" t="s">
        <v>1772</v>
      </c>
      <c r="U4" s="3434"/>
      <c r="V4" s="3350" t="s">
        <v>1773</v>
      </c>
      <c r="W4" s="3350"/>
      <c r="X4" s="1264"/>
      <c r="Y4" s="3433" t="s">
        <v>1775</v>
      </c>
      <c r="Z4" s="3434"/>
      <c r="AA4" s="3428" t="s">
        <v>1771</v>
      </c>
      <c r="AB4" s="3395" t="s">
        <v>1772</v>
      </c>
      <c r="AC4" s="3428" t="s">
        <v>1773</v>
      </c>
    </row>
    <row r="5" spans="1:29" ht="15">
      <c r="A5" s="348"/>
      <c r="B5" s="349"/>
      <c r="C5" s="3391" t="s">
        <v>1673</v>
      </c>
      <c r="D5" s="3386"/>
      <c r="E5" s="3435" t="s">
        <v>1674</v>
      </c>
      <c r="F5" s="3398"/>
      <c r="G5" s="3391" t="s">
        <v>1675</v>
      </c>
      <c r="H5" s="3386"/>
      <c r="I5" s="3391" t="s">
        <v>1676</v>
      </c>
      <c r="J5" s="3386"/>
      <c r="K5" s="537"/>
      <c r="L5" s="2486"/>
      <c r="M5" s="2487"/>
      <c r="N5" s="2487"/>
      <c r="O5" s="2487"/>
      <c r="P5" s="3431"/>
      <c r="Q5" s="3373"/>
      <c r="R5" s="3378"/>
      <c r="S5" s="3379"/>
      <c r="T5" s="3378"/>
      <c r="U5" s="3379"/>
      <c r="V5" s="3350"/>
      <c r="W5" s="3350"/>
      <c r="X5" s="1264"/>
      <c r="Y5" s="3378"/>
      <c r="Z5" s="3379"/>
      <c r="AA5" s="3395"/>
      <c r="AB5" s="3395"/>
      <c r="AC5" s="3395"/>
    </row>
    <row r="6" spans="1:29" ht="15.75" thickBot="1">
      <c r="A6" s="350"/>
      <c r="B6" s="351"/>
      <c r="C6" s="3383" t="s">
        <v>1677</v>
      </c>
      <c r="D6" s="3384"/>
      <c r="E6" s="3392" t="s">
        <v>1677</v>
      </c>
      <c r="F6" s="3393"/>
      <c r="G6" s="3383" t="s">
        <v>1677</v>
      </c>
      <c r="H6" s="3384"/>
      <c r="I6" s="3383" t="s">
        <v>1677</v>
      </c>
      <c r="J6" s="3384"/>
      <c r="K6" s="537" t="s">
        <v>1678</v>
      </c>
      <c r="L6" s="2486"/>
      <c r="M6" s="2487"/>
      <c r="N6" s="2487"/>
      <c r="O6" s="2487"/>
      <c r="P6" s="3432"/>
      <c r="Q6" s="3375"/>
      <c r="R6" s="3378"/>
      <c r="S6" s="3379"/>
      <c r="T6" s="3380"/>
      <c r="U6" s="3381"/>
      <c r="V6" s="3350"/>
      <c r="W6" s="3350"/>
      <c r="X6" s="1264"/>
      <c r="Y6" s="3380"/>
      <c r="Z6" s="3381"/>
      <c r="AA6" s="3396"/>
      <c r="AB6" s="3396"/>
      <c r="AC6" s="3396"/>
    </row>
    <row r="7" spans="1:29" s="102" customFormat="1" ht="15.75" thickBot="1">
      <c r="A7" s="352" t="s">
        <v>1679</v>
      </c>
      <c r="B7" s="353"/>
      <c r="C7" s="354">
        <f>'数据-取费表'!B2</f>
        <v>45833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9" t="s">
        <v>1680</v>
      </c>
      <c r="Q7" s="3390"/>
      <c r="R7" s="664" t="s">
        <v>14</v>
      </c>
      <c r="S7" s="665">
        <f t="shared" ref="S7:S14" si="0">F7</f>
        <v>0</v>
      </c>
      <c r="T7" s="664" t="s">
        <v>14</v>
      </c>
      <c r="U7" s="665">
        <f t="shared" ref="U7:U14" si="1">H7</f>
        <v>0</v>
      </c>
      <c r="V7" s="664" t="s">
        <v>14</v>
      </c>
      <c r="W7" s="665">
        <f t="shared" ref="W7:W14" si="2">J7</f>
        <v>0</v>
      </c>
      <c r="X7" s="666"/>
      <c r="Y7" s="3389" t="s">
        <v>1680</v>
      </c>
      <c r="Z7" s="338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9" t="s">
        <v>1683</v>
      </c>
      <c r="Q8" s="3388"/>
      <c r="R8" s="664" t="s">
        <v>14</v>
      </c>
      <c r="S8" s="665">
        <f t="shared" si="0"/>
        <v>100</v>
      </c>
      <c r="T8" s="664" t="s">
        <v>14</v>
      </c>
      <c r="U8" s="665">
        <f t="shared" si="1"/>
        <v>100</v>
      </c>
      <c r="V8" s="664" t="s">
        <v>14</v>
      </c>
      <c r="W8" s="665">
        <f t="shared" si="2"/>
        <v>100</v>
      </c>
      <c r="X8" s="666"/>
      <c r="Y8" s="3389" t="s">
        <v>1683</v>
      </c>
      <c r="Z8" s="338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49"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49"/>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49"/>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49"/>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49"/>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56" t="s">
        <v>1691</v>
      </c>
      <c r="Q14" s="1262" t="str">
        <f t="shared" si="6"/>
        <v>交通便捷度</v>
      </c>
      <c r="R14" s="667" t="s">
        <v>14</v>
      </c>
      <c r="S14" s="668">
        <f t="shared" si="0"/>
        <v>100</v>
      </c>
      <c r="T14" s="667" t="s">
        <v>14</v>
      </c>
      <c r="U14" s="668">
        <f t="shared" si="1"/>
        <v>100</v>
      </c>
      <c r="V14" s="667" t="s">
        <v>14</v>
      </c>
      <c r="W14" s="668">
        <f t="shared" si="2"/>
        <v>100</v>
      </c>
      <c r="X14" s="1264"/>
      <c r="Y14" s="335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57"/>
      <c r="Q15" s="1262"/>
      <c r="R15" s="667"/>
      <c r="S15" s="668"/>
      <c r="T15" s="667"/>
      <c r="U15" s="668"/>
      <c r="V15" s="667"/>
      <c r="W15" s="668"/>
      <c r="X15" s="1264"/>
      <c r="Y15" s="3357"/>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57"/>
      <c r="Q16" s="1262" t="str">
        <f>B16</f>
        <v>公共配套设施</v>
      </c>
      <c r="R16" s="667" t="s">
        <v>14</v>
      </c>
      <c r="S16" s="668">
        <f>F16</f>
        <v>100</v>
      </c>
      <c r="T16" s="667" t="s">
        <v>14</v>
      </c>
      <c r="U16" s="668">
        <f>H16</f>
        <v>100</v>
      </c>
      <c r="V16" s="667" t="s">
        <v>14</v>
      </c>
      <c r="W16" s="668">
        <f>J16</f>
        <v>100</v>
      </c>
      <c r="X16" s="1264"/>
      <c r="Y16" s="335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57"/>
      <c r="Q17" s="1262"/>
      <c r="R17" s="667"/>
      <c r="S17" s="668"/>
      <c r="T17" s="667"/>
      <c r="U17" s="668"/>
      <c r="V17" s="667"/>
      <c r="W17" s="668"/>
      <c r="X17" s="1264"/>
      <c r="Y17" s="3357"/>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57"/>
      <c r="Q18" s="1262" t="str">
        <f>B18</f>
        <v>基础设施水平</v>
      </c>
      <c r="R18" s="667" t="s">
        <v>14</v>
      </c>
      <c r="S18" s="668">
        <f>F18</f>
        <v>100</v>
      </c>
      <c r="T18" s="667" t="s">
        <v>14</v>
      </c>
      <c r="U18" s="668">
        <f>H18</f>
        <v>100</v>
      </c>
      <c r="V18" s="667" t="s">
        <v>14</v>
      </c>
      <c r="W18" s="668">
        <f>J18</f>
        <v>100</v>
      </c>
      <c r="X18" s="1264"/>
      <c r="Y18" s="335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357"/>
      <c r="Q19" s="1262"/>
      <c r="R19" s="667"/>
      <c r="S19" s="668"/>
      <c r="T19" s="667"/>
      <c r="U19" s="668"/>
      <c r="V19" s="667"/>
      <c r="W19" s="668"/>
      <c r="X19" s="1264"/>
      <c r="Y19" s="3357"/>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57"/>
      <c r="Q20" s="1262" t="str">
        <f>B20</f>
        <v>自然及人文环境</v>
      </c>
      <c r="R20" s="667" t="s">
        <v>14</v>
      </c>
      <c r="S20" s="668">
        <f>F20</f>
        <v>100</v>
      </c>
      <c r="T20" s="667" t="s">
        <v>14</v>
      </c>
      <c r="U20" s="668">
        <f>H20</f>
        <v>100</v>
      </c>
      <c r="V20" s="667" t="s">
        <v>14</v>
      </c>
      <c r="W20" s="668">
        <f>J20</f>
        <v>100</v>
      </c>
      <c r="X20" s="1264"/>
      <c r="Y20" s="335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57"/>
      <c r="Q21" s="1262"/>
      <c r="R21" s="667"/>
      <c r="S21" s="668"/>
      <c r="T21" s="667"/>
      <c r="U21" s="668"/>
      <c r="V21" s="667"/>
      <c r="W21" s="668"/>
      <c r="X21" s="1264"/>
      <c r="Y21" s="335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57"/>
      <c r="Q22" s="1262" t="str">
        <f>B22</f>
        <v>楼层</v>
      </c>
      <c r="R22" s="667" t="s">
        <v>14</v>
      </c>
      <c r="S22" s="668">
        <f>F22</f>
        <v>100</v>
      </c>
      <c r="T22" s="667" t="s">
        <v>14</v>
      </c>
      <c r="U22" s="668">
        <f>H22</f>
        <v>100</v>
      </c>
      <c r="V22" s="667" t="s">
        <v>14</v>
      </c>
      <c r="W22" s="668">
        <f>J22</f>
        <v>100</v>
      </c>
      <c r="X22" s="1264"/>
      <c r="Y22" s="335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57"/>
      <c r="Q23" s="1262">
        <f>B23</f>
        <v>111</v>
      </c>
      <c r="R23" s="667" t="s">
        <v>14</v>
      </c>
      <c r="S23" s="668">
        <f>F23</f>
        <v>100</v>
      </c>
      <c r="T23" s="667" t="s">
        <v>14</v>
      </c>
      <c r="U23" s="668">
        <f>H23</f>
        <v>100</v>
      </c>
      <c r="V23" s="667" t="s">
        <v>14</v>
      </c>
      <c r="W23" s="668">
        <f>J23</f>
        <v>100</v>
      </c>
      <c r="X23" s="1264"/>
      <c r="Y23" s="335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57"/>
      <c r="Q24" s="1262">
        <f t="shared" ref="Q24:Q34" si="11">B24</f>
        <v>111</v>
      </c>
      <c r="R24" s="667" t="s">
        <v>14</v>
      </c>
      <c r="S24" s="668">
        <f>F24</f>
        <v>100</v>
      </c>
      <c r="T24" s="667" t="s">
        <v>14</v>
      </c>
      <c r="U24" s="668">
        <f>H24</f>
        <v>100</v>
      </c>
      <c r="V24" s="667" t="s">
        <v>14</v>
      </c>
      <c r="W24" s="668">
        <f>J24</f>
        <v>100</v>
      </c>
      <c r="X24" s="1264"/>
      <c r="Y24" s="3357"/>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57"/>
      <c r="Q25" s="530">
        <f t="shared" si="11"/>
        <v>111</v>
      </c>
      <c r="R25" s="664" t="s">
        <v>14</v>
      </c>
      <c r="S25" s="665">
        <f>F25</f>
        <v>100</v>
      </c>
      <c r="T25" s="664" t="s">
        <v>14</v>
      </c>
      <c r="U25" s="665">
        <f>H25</f>
        <v>100</v>
      </c>
      <c r="V25" s="664" t="s">
        <v>14</v>
      </c>
      <c r="W25" s="665">
        <f>J25</f>
        <v>100</v>
      </c>
      <c r="X25" s="666"/>
      <c r="Y25" s="3357"/>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36"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6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61"/>
      <c r="Q27" s="531" t="str">
        <f t="shared" si="11"/>
        <v>成新率</v>
      </c>
      <c r="R27" s="669" t="s">
        <v>14</v>
      </c>
      <c r="S27" s="670" t="e">
        <f t="shared" si="12"/>
        <v>#N/A</v>
      </c>
      <c r="T27" s="669" t="s">
        <v>14</v>
      </c>
      <c r="U27" s="670" t="e">
        <f t="shared" si="13"/>
        <v>#N/A</v>
      </c>
      <c r="V27" s="669" t="s">
        <v>14</v>
      </c>
      <c r="W27" s="670" t="e">
        <f t="shared" si="14"/>
        <v>#N/A</v>
      </c>
      <c r="X27" s="671"/>
      <c r="Y27" s="336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61"/>
      <c r="Q28" s="1262" t="str">
        <f t="shared" si="11"/>
        <v>物业等级</v>
      </c>
      <c r="R28" s="667" t="s">
        <v>14</v>
      </c>
      <c r="S28" s="668">
        <f t="shared" si="12"/>
        <v>100</v>
      </c>
      <c r="T28" s="667" t="s">
        <v>14</v>
      </c>
      <c r="U28" s="668">
        <f t="shared" si="13"/>
        <v>100</v>
      </c>
      <c r="V28" s="667" t="s">
        <v>14</v>
      </c>
      <c r="W28" s="668">
        <f t="shared" si="14"/>
        <v>100</v>
      </c>
      <c r="X28" s="1264"/>
      <c r="Y28" s="336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61"/>
      <c r="Q29" s="1262" t="str">
        <f t="shared" si="11"/>
        <v>有无电梯</v>
      </c>
      <c r="R29" s="667" t="s">
        <v>14</v>
      </c>
      <c r="S29" s="668">
        <f t="shared" si="12"/>
        <v>100</v>
      </c>
      <c r="T29" s="667" t="s">
        <v>14</v>
      </c>
      <c r="U29" s="668">
        <f t="shared" si="13"/>
        <v>100</v>
      </c>
      <c r="V29" s="667" t="s">
        <v>14</v>
      </c>
      <c r="W29" s="668">
        <f t="shared" si="14"/>
        <v>100</v>
      </c>
      <c r="X29" s="1264"/>
      <c r="Y29" s="336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61"/>
      <c r="Q30" s="1262" t="str">
        <f t="shared" si="11"/>
        <v>建筑面积</v>
      </c>
      <c r="R30" s="667" t="s">
        <v>14</v>
      </c>
      <c r="S30" s="668" t="e">
        <f t="shared" si="12"/>
        <v>#N/A</v>
      </c>
      <c r="T30" s="667" t="s">
        <v>14</v>
      </c>
      <c r="U30" s="668" t="e">
        <f t="shared" si="13"/>
        <v>#N/A</v>
      </c>
      <c r="V30" s="667" t="s">
        <v>14</v>
      </c>
      <c r="W30" s="668" t="e">
        <f t="shared" si="14"/>
        <v>#N/A</v>
      </c>
      <c r="X30" s="1264"/>
      <c r="Y30" s="336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61"/>
      <c r="Q31" s="530" t="str">
        <f t="shared" si="11"/>
        <v>是否封闭</v>
      </c>
      <c r="R31" s="664" t="s">
        <v>14</v>
      </c>
      <c r="S31" s="665">
        <f t="shared" si="12"/>
        <v>100</v>
      </c>
      <c r="T31" s="664" t="s">
        <v>14</v>
      </c>
      <c r="U31" s="665">
        <f t="shared" si="13"/>
        <v>100</v>
      </c>
      <c r="V31" s="664" t="s">
        <v>14</v>
      </c>
      <c r="W31" s="665">
        <f t="shared" si="14"/>
        <v>100</v>
      </c>
      <c r="X31" s="666"/>
      <c r="Y31" s="336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61" t="s">
        <v>1696</v>
      </c>
      <c r="Q32" s="1262">
        <f t="shared" si="11"/>
        <v>111</v>
      </c>
      <c r="R32" s="667" t="s">
        <v>14</v>
      </c>
      <c r="S32" s="668">
        <f t="shared" si="12"/>
        <v>100</v>
      </c>
      <c r="T32" s="667" t="s">
        <v>14</v>
      </c>
      <c r="U32" s="668">
        <f t="shared" si="13"/>
        <v>100</v>
      </c>
      <c r="V32" s="667" t="s">
        <v>14</v>
      </c>
      <c r="W32" s="668">
        <f t="shared" si="14"/>
        <v>100</v>
      </c>
      <c r="X32" s="1264"/>
      <c r="Y32" s="336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61"/>
      <c r="Q33" s="1262">
        <f t="shared" si="11"/>
        <v>111</v>
      </c>
      <c r="R33" s="667" t="s">
        <v>14</v>
      </c>
      <c r="S33" s="668">
        <f t="shared" si="12"/>
        <v>100</v>
      </c>
      <c r="T33" s="667" t="s">
        <v>14</v>
      </c>
      <c r="U33" s="668">
        <f t="shared" si="13"/>
        <v>100</v>
      </c>
      <c r="V33" s="667" t="s">
        <v>14</v>
      </c>
      <c r="W33" s="668">
        <f t="shared" si="14"/>
        <v>100</v>
      </c>
      <c r="X33" s="1264"/>
      <c r="Y33" s="3361"/>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61"/>
      <c r="Q34" s="1262">
        <f t="shared" si="11"/>
        <v>111</v>
      </c>
      <c r="R34" s="667" t="s">
        <v>14</v>
      </c>
      <c r="S34" s="668">
        <f t="shared" si="12"/>
        <v>100</v>
      </c>
      <c r="T34" s="667" t="s">
        <v>14</v>
      </c>
      <c r="U34" s="668">
        <f t="shared" si="13"/>
        <v>100</v>
      </c>
      <c r="V34" s="667" t="s">
        <v>14</v>
      </c>
      <c r="W34" s="668">
        <f t="shared" si="14"/>
        <v>100</v>
      </c>
      <c r="X34" s="1264"/>
      <c r="Y34" s="3361"/>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4"/>
      <c r="M35" s="2487"/>
      <c r="N35" s="2487"/>
      <c r="O35" s="2487"/>
      <c r="P35" s="3349" t="str">
        <f>A35</f>
        <v>成交单价（元/平方米）</v>
      </c>
      <c r="Q35" s="3349"/>
      <c r="R35" s="3350">
        <f>E35</f>
        <v>0</v>
      </c>
      <c r="S35" s="3350"/>
      <c r="T35" s="3350">
        <f>G35</f>
        <v>0</v>
      </c>
      <c r="U35" s="3350"/>
      <c r="V35" s="3350">
        <f>I35</f>
        <v>0</v>
      </c>
      <c r="W35" s="3350"/>
      <c r="X35" s="385"/>
      <c r="Y35" s="673"/>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49" t="str">
        <f>A36</f>
        <v>比较价值（元/平方米）</v>
      </c>
      <c r="Q36" s="3349"/>
      <c r="R36" s="3350" t="e">
        <f>IF(F1="售价",ROUND(PRODUCT(R35,AA7:AA34),0),ROUND(PRODUCT(R35,AA7:AA34),1))</f>
        <v>#DIV/0!</v>
      </c>
      <c r="S36" s="3350"/>
      <c r="T36" s="3350" t="e">
        <f>IF(F1="售价",ROUND(PRODUCT(T35,AB7:AB34),0),ROUND(PRODUCT(T35,AB7:AB34),1))</f>
        <v>#DIV/0!</v>
      </c>
      <c r="U36" s="3350"/>
      <c r="V36" s="3350" t="e">
        <f>IF(F1="售价",ROUND(PRODUCT(V35,AC7:AC34),0),ROUND(PRODUCT(V35,AC7:AC34),1))</f>
        <v>#DIV/0!</v>
      </c>
      <c r="W36" s="335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25" t="str">
        <f>A37</f>
        <v>估价对象XX用房的比较价值（楼面单价，元/平方米）</v>
      </c>
      <c r="Q37" s="3426"/>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429" t="s">
        <v>1775</v>
      </c>
      <c r="Q4" s="3430"/>
      <c r="R4" s="3433" t="s">
        <v>1771</v>
      </c>
      <c r="S4" s="3434"/>
      <c r="T4" s="3433" t="s">
        <v>1772</v>
      </c>
      <c r="U4" s="3434"/>
      <c r="V4" s="3350" t="s">
        <v>1773</v>
      </c>
      <c r="W4" s="3350"/>
      <c r="X4" s="1264"/>
      <c r="Y4" s="3433" t="s">
        <v>1775</v>
      </c>
      <c r="Z4" s="3434"/>
      <c r="AA4" s="3428" t="s">
        <v>1771</v>
      </c>
      <c r="AB4" s="3395" t="s">
        <v>1772</v>
      </c>
      <c r="AC4" s="3428" t="s">
        <v>1773</v>
      </c>
    </row>
    <row r="5" spans="1:29" ht="15">
      <c r="A5" s="348"/>
      <c r="B5" s="349"/>
      <c r="C5" s="3391" t="s">
        <v>1673</v>
      </c>
      <c r="D5" s="3386"/>
      <c r="E5" s="3435" t="s">
        <v>1674</v>
      </c>
      <c r="F5" s="3398"/>
      <c r="G5" s="3391" t="s">
        <v>1675</v>
      </c>
      <c r="H5" s="3386"/>
      <c r="I5" s="3391" t="s">
        <v>1676</v>
      </c>
      <c r="J5" s="3386"/>
      <c r="K5" s="537"/>
      <c r="L5" s="2486"/>
      <c r="M5" s="2487"/>
      <c r="N5" s="2487"/>
      <c r="O5" s="2487"/>
      <c r="P5" s="3431"/>
      <c r="Q5" s="3373"/>
      <c r="R5" s="3378"/>
      <c r="S5" s="3379"/>
      <c r="T5" s="3378"/>
      <c r="U5" s="3379"/>
      <c r="V5" s="3350"/>
      <c r="W5" s="3350"/>
      <c r="X5" s="1264"/>
      <c r="Y5" s="3378"/>
      <c r="Z5" s="3379"/>
      <c r="AA5" s="3395"/>
      <c r="AB5" s="3395"/>
      <c r="AC5" s="3395"/>
    </row>
    <row r="6" spans="1:29" ht="15.75" thickBot="1">
      <c r="A6" s="350"/>
      <c r="B6" s="351"/>
      <c r="C6" s="3383" t="s">
        <v>1677</v>
      </c>
      <c r="D6" s="3384"/>
      <c r="E6" s="3392" t="s">
        <v>1677</v>
      </c>
      <c r="F6" s="3393"/>
      <c r="G6" s="3383" t="s">
        <v>1677</v>
      </c>
      <c r="H6" s="3384"/>
      <c r="I6" s="3383" t="s">
        <v>1677</v>
      </c>
      <c r="J6" s="3384"/>
      <c r="K6" s="537" t="s">
        <v>1678</v>
      </c>
      <c r="L6" s="2486"/>
      <c r="M6" s="2487"/>
      <c r="N6" s="2487"/>
      <c r="O6" s="2487"/>
      <c r="P6" s="3432"/>
      <c r="Q6" s="3375"/>
      <c r="R6" s="3378"/>
      <c r="S6" s="3379"/>
      <c r="T6" s="3380"/>
      <c r="U6" s="3381"/>
      <c r="V6" s="3350"/>
      <c r="W6" s="3350"/>
      <c r="X6" s="1264"/>
      <c r="Y6" s="3380"/>
      <c r="Z6" s="3381"/>
      <c r="AA6" s="3396"/>
      <c r="AB6" s="3396"/>
      <c r="AC6" s="3396"/>
    </row>
    <row r="7" spans="1:29" s="102" customFormat="1" ht="15.75" thickBot="1">
      <c r="A7" s="352" t="s">
        <v>1679</v>
      </c>
      <c r="B7" s="353"/>
      <c r="C7" s="354">
        <f>'数据-取费表'!B2</f>
        <v>45833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9" t="s">
        <v>1680</v>
      </c>
      <c r="Q7" s="3390"/>
      <c r="R7" s="664" t="s">
        <v>14</v>
      </c>
      <c r="S7" s="665">
        <f t="shared" ref="S7:S15" si="0">F7</f>
        <v>0</v>
      </c>
      <c r="T7" s="664" t="s">
        <v>14</v>
      </c>
      <c r="U7" s="665">
        <f t="shared" ref="U7:U15" si="1">H7</f>
        <v>0</v>
      </c>
      <c r="V7" s="664" t="s">
        <v>14</v>
      </c>
      <c r="W7" s="665">
        <f t="shared" ref="W7:W15" si="2">J7</f>
        <v>0</v>
      </c>
      <c r="X7" s="666"/>
      <c r="Y7" s="3389" t="s">
        <v>1680</v>
      </c>
      <c r="Z7" s="338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9" t="s">
        <v>1683</v>
      </c>
      <c r="Q8" s="3388"/>
      <c r="R8" s="664" t="s">
        <v>14</v>
      </c>
      <c r="S8" s="665">
        <f t="shared" si="0"/>
        <v>0</v>
      </c>
      <c r="T8" s="664" t="s">
        <v>14</v>
      </c>
      <c r="U8" s="665">
        <f t="shared" si="1"/>
        <v>0</v>
      </c>
      <c r="V8" s="664" t="s">
        <v>14</v>
      </c>
      <c r="W8" s="665">
        <f t="shared" si="2"/>
        <v>0</v>
      </c>
      <c r="X8" s="666"/>
      <c r="Y8" s="3389" t="s">
        <v>1683</v>
      </c>
      <c r="Z8" s="3388"/>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49"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89"/>
      <c r="M10" s="2490"/>
      <c r="N10" s="2490"/>
      <c r="O10" s="2541"/>
      <c r="P10" s="3349"/>
      <c r="Q10" s="530" t="str">
        <f t="shared" si="6"/>
        <v>土地使用年限（年）</v>
      </c>
      <c r="R10" s="664" t="s">
        <v>14</v>
      </c>
      <c r="S10" s="665">
        <f t="shared" si="0"/>
        <v>116</v>
      </c>
      <c r="T10" s="664" t="s">
        <v>14</v>
      </c>
      <c r="U10" s="665">
        <f t="shared" si="1"/>
        <v>116</v>
      </c>
      <c r="V10" s="664" t="s">
        <v>14</v>
      </c>
      <c r="W10" s="665">
        <f t="shared" si="2"/>
        <v>116</v>
      </c>
      <c r="X10" s="666"/>
      <c r="Y10" s="3252"/>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49"/>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49"/>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49"/>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49"/>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56" t="s">
        <v>1691</v>
      </c>
      <c r="Q15" s="1262" t="str">
        <f t="shared" si="6"/>
        <v>居住社区成熟度</v>
      </c>
      <c r="R15" s="667" t="s">
        <v>14</v>
      </c>
      <c r="S15" s="668">
        <f t="shared" si="0"/>
        <v>100</v>
      </c>
      <c r="T15" s="667" t="s">
        <v>14</v>
      </c>
      <c r="U15" s="668">
        <f t="shared" si="1"/>
        <v>100</v>
      </c>
      <c r="V15" s="667" t="s">
        <v>14</v>
      </c>
      <c r="W15" s="668">
        <f t="shared" si="2"/>
        <v>100</v>
      </c>
      <c r="X15" s="1264"/>
      <c r="Y15" s="335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57"/>
      <c r="Q16" s="1262"/>
      <c r="R16" s="667"/>
      <c r="S16" s="668"/>
      <c r="T16" s="667"/>
      <c r="U16" s="668"/>
      <c r="V16" s="667"/>
      <c r="W16" s="668"/>
      <c r="X16" s="1264"/>
      <c r="Y16" s="3357"/>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57"/>
      <c r="Q17" s="1262" t="str">
        <f>B17</f>
        <v>商业繁华度</v>
      </c>
      <c r="R17" s="667" t="s">
        <v>14</v>
      </c>
      <c r="S17" s="668">
        <f>F17</f>
        <v>100</v>
      </c>
      <c r="T17" s="667" t="s">
        <v>14</v>
      </c>
      <c r="U17" s="668">
        <f>H17</f>
        <v>100</v>
      </c>
      <c r="V17" s="667" t="s">
        <v>14</v>
      </c>
      <c r="W17" s="668">
        <f>J17</f>
        <v>100</v>
      </c>
      <c r="X17" s="1264"/>
      <c r="Y17" s="335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57"/>
      <c r="Q18" s="1262"/>
      <c r="R18" s="667"/>
      <c r="S18" s="668"/>
      <c r="T18" s="667"/>
      <c r="U18" s="668"/>
      <c r="V18" s="667"/>
      <c r="W18" s="668"/>
      <c r="X18" s="1264"/>
      <c r="Y18" s="3357"/>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57"/>
      <c r="Q19" s="1262" t="str">
        <f>B19</f>
        <v>办公集聚程度</v>
      </c>
      <c r="R19" s="667" t="s">
        <v>14</v>
      </c>
      <c r="S19" s="668">
        <f>F19</f>
        <v>100</v>
      </c>
      <c r="T19" s="667" t="s">
        <v>14</v>
      </c>
      <c r="U19" s="668">
        <f>H19</f>
        <v>100</v>
      </c>
      <c r="V19" s="667" t="s">
        <v>14</v>
      </c>
      <c r="W19" s="668">
        <f>J19</f>
        <v>100</v>
      </c>
      <c r="X19" s="1264"/>
      <c r="Y19" s="335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57"/>
      <c r="Q20" s="1262"/>
      <c r="R20" s="667"/>
      <c r="S20" s="668"/>
      <c r="T20" s="667"/>
      <c r="U20" s="668"/>
      <c r="V20" s="667"/>
      <c r="W20" s="668"/>
      <c r="X20" s="1264"/>
      <c r="Y20" s="3357"/>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57"/>
      <c r="Q21" s="1262" t="str">
        <f>B21</f>
        <v>交通便捷度</v>
      </c>
      <c r="R21" s="667" t="s">
        <v>14</v>
      </c>
      <c r="S21" s="668">
        <f>F21</f>
        <v>100</v>
      </c>
      <c r="T21" s="667" t="s">
        <v>14</v>
      </c>
      <c r="U21" s="668">
        <f>H21</f>
        <v>100</v>
      </c>
      <c r="V21" s="667" t="s">
        <v>14</v>
      </c>
      <c r="W21" s="668">
        <f>J21</f>
        <v>100</v>
      </c>
      <c r="X21" s="1264"/>
      <c r="Y21" s="335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57"/>
      <c r="Q22" s="1262"/>
      <c r="R22" s="667"/>
      <c r="S22" s="668"/>
      <c r="T22" s="667"/>
      <c r="U22" s="668"/>
      <c r="V22" s="667"/>
      <c r="W22" s="668"/>
      <c r="X22" s="1264"/>
      <c r="Y22" s="3357"/>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57"/>
      <c r="Q23" s="1262" t="str">
        <f t="shared" ref="Q23:Q37" si="8">B23</f>
        <v>区域土地利用方向</v>
      </c>
      <c r="R23" s="667" t="s">
        <v>14</v>
      </c>
      <c r="S23" s="668">
        <f>F23</f>
        <v>100</v>
      </c>
      <c r="T23" s="667" t="s">
        <v>14</v>
      </c>
      <c r="U23" s="668">
        <f>H23</f>
        <v>100</v>
      </c>
      <c r="V23" s="667" t="s">
        <v>14</v>
      </c>
      <c r="W23" s="668">
        <f>J23</f>
        <v>100</v>
      </c>
      <c r="X23" s="1264"/>
      <c r="Y23" s="335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357"/>
      <c r="Q24" s="1262"/>
      <c r="R24" s="667"/>
      <c r="S24" s="668"/>
      <c r="T24" s="667"/>
      <c r="U24" s="668"/>
      <c r="V24" s="667"/>
      <c r="W24" s="668"/>
      <c r="X24" s="1264"/>
      <c r="Y24" s="3357"/>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57"/>
      <c r="Q25" s="1262" t="str">
        <f t="shared" si="8"/>
        <v>自然及人文环境状况</v>
      </c>
      <c r="R25" s="667" t="s">
        <v>14</v>
      </c>
      <c r="S25" s="668">
        <f>F25</f>
        <v>100</v>
      </c>
      <c r="T25" s="667" t="s">
        <v>14</v>
      </c>
      <c r="U25" s="668">
        <f>H25</f>
        <v>100</v>
      </c>
      <c r="V25" s="667" t="s">
        <v>14</v>
      </c>
      <c r="W25" s="668">
        <f>J25</f>
        <v>100</v>
      </c>
      <c r="X25" s="1264"/>
      <c r="Y25" s="335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57"/>
      <c r="Q26" s="1262"/>
      <c r="R26" s="667"/>
      <c r="S26" s="668"/>
      <c r="T26" s="667"/>
      <c r="U26" s="668"/>
      <c r="V26" s="667"/>
      <c r="W26" s="668"/>
      <c r="X26" s="1264"/>
      <c r="Y26" s="3357"/>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57"/>
      <c r="Q27" s="530" t="str">
        <f t="shared" si="8"/>
        <v>公共配套设施</v>
      </c>
      <c r="R27" s="664" t="s">
        <v>14</v>
      </c>
      <c r="S27" s="665">
        <f>F27</f>
        <v>100</v>
      </c>
      <c r="T27" s="664" t="s">
        <v>14</v>
      </c>
      <c r="U27" s="665">
        <f>H27</f>
        <v>100</v>
      </c>
      <c r="V27" s="664" t="s">
        <v>14</v>
      </c>
      <c r="W27" s="665">
        <f>J27</f>
        <v>100</v>
      </c>
      <c r="X27" s="666"/>
      <c r="Y27" s="335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57"/>
      <c r="Q28" s="530"/>
      <c r="R28" s="664"/>
      <c r="S28" s="665"/>
      <c r="T28" s="664"/>
      <c r="U28" s="665"/>
      <c r="V28" s="664"/>
      <c r="W28" s="665"/>
      <c r="X28" s="666"/>
      <c r="Y28" s="3357"/>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57"/>
      <c r="Q29" s="530" t="str">
        <f t="shared" ref="Q29" si="9">B29</f>
        <v>基础设施水平</v>
      </c>
      <c r="R29" s="664" t="s">
        <v>14</v>
      </c>
      <c r="S29" s="665">
        <f>F29</f>
        <v>100</v>
      </c>
      <c r="T29" s="664" t="s">
        <v>14</v>
      </c>
      <c r="U29" s="665">
        <f>H29</f>
        <v>100</v>
      </c>
      <c r="V29" s="664" t="s">
        <v>14</v>
      </c>
      <c r="W29" s="665">
        <f>J29</f>
        <v>100</v>
      </c>
      <c r="X29" s="666"/>
      <c r="Y29" s="335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57"/>
      <c r="Q30" s="530"/>
      <c r="R30" s="664"/>
      <c r="S30" s="665"/>
      <c r="T30" s="664"/>
      <c r="U30" s="665"/>
      <c r="V30" s="664"/>
      <c r="W30" s="665"/>
      <c r="X30" s="666"/>
      <c r="Y30" s="335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5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57"/>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57"/>
      <c r="Q32" s="1262" t="str">
        <f t="shared" si="8"/>
        <v>毗邻道路的类型与等级</v>
      </c>
      <c r="R32" s="667" t="s">
        <v>14</v>
      </c>
      <c r="S32" s="668">
        <f t="shared" si="10"/>
        <v>100</v>
      </c>
      <c r="T32" s="667" t="s">
        <v>14</v>
      </c>
      <c r="U32" s="668">
        <f t="shared" si="11"/>
        <v>100</v>
      </c>
      <c r="V32" s="667" t="s">
        <v>14</v>
      </c>
      <c r="W32" s="668">
        <f t="shared" si="12"/>
        <v>100</v>
      </c>
      <c r="X32" s="1264"/>
      <c r="Y32" s="335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57"/>
      <c r="Q33" s="1262"/>
      <c r="R33" s="667"/>
      <c r="S33" s="668"/>
      <c r="T33" s="667"/>
      <c r="U33" s="668"/>
      <c r="V33" s="667"/>
      <c r="W33" s="668"/>
      <c r="X33" s="1264"/>
      <c r="Y33" s="335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57"/>
      <c r="Q34" s="1262" t="str">
        <f t="shared" si="8"/>
        <v>土地级别</v>
      </c>
      <c r="R34" s="667" t="s">
        <v>14</v>
      </c>
      <c r="S34" s="668">
        <f t="shared" si="10"/>
        <v>100</v>
      </c>
      <c r="T34" s="667" t="s">
        <v>14</v>
      </c>
      <c r="U34" s="668">
        <f t="shared" si="11"/>
        <v>100</v>
      </c>
      <c r="V34" s="667" t="s">
        <v>14</v>
      </c>
      <c r="W34" s="668">
        <f t="shared" si="12"/>
        <v>100</v>
      </c>
      <c r="X34" s="1264"/>
      <c r="Y34" s="3357"/>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57"/>
      <c r="Q35" s="1262">
        <f t="shared" si="8"/>
        <v>111</v>
      </c>
      <c r="R35" s="667" t="s">
        <v>14</v>
      </c>
      <c r="S35" s="668">
        <f t="shared" si="10"/>
        <v>100</v>
      </c>
      <c r="T35" s="667" t="s">
        <v>14</v>
      </c>
      <c r="U35" s="668">
        <f t="shared" si="11"/>
        <v>100</v>
      </c>
      <c r="V35" s="667" t="s">
        <v>14</v>
      </c>
      <c r="W35" s="668">
        <f t="shared" si="12"/>
        <v>100</v>
      </c>
      <c r="X35" s="1264"/>
      <c r="Y35" s="3357"/>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6" t="s">
        <v>1696</v>
      </c>
      <c r="Q36" s="1262">
        <f t="shared" si="8"/>
        <v>111</v>
      </c>
      <c r="R36" s="667" t="s">
        <v>14</v>
      </c>
      <c r="S36" s="668">
        <f t="shared" si="10"/>
        <v>100</v>
      </c>
      <c r="T36" s="667" t="s">
        <v>14</v>
      </c>
      <c r="U36" s="668">
        <f t="shared" si="11"/>
        <v>100</v>
      </c>
      <c r="V36" s="667" t="s">
        <v>14</v>
      </c>
      <c r="W36" s="668">
        <f t="shared" si="12"/>
        <v>100</v>
      </c>
      <c r="X36" s="1264"/>
      <c r="Y36" s="3361"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61"/>
      <c r="Q37" s="1262">
        <f t="shared" si="8"/>
        <v>111</v>
      </c>
      <c r="R37" s="669" t="s">
        <v>14</v>
      </c>
      <c r="S37" s="670">
        <f t="shared" si="10"/>
        <v>100</v>
      </c>
      <c r="T37" s="669" t="s">
        <v>14</v>
      </c>
      <c r="U37" s="670">
        <f t="shared" si="11"/>
        <v>100</v>
      </c>
      <c r="V37" s="669" t="s">
        <v>14</v>
      </c>
      <c r="W37" s="670">
        <f t="shared" si="12"/>
        <v>100</v>
      </c>
      <c r="X37" s="671"/>
      <c r="Y37" s="3361"/>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61"/>
      <c r="Q38" s="1262" t="str">
        <f>B38</f>
        <v>宗地面积</v>
      </c>
      <c r="R38" s="667" t="s">
        <v>14</v>
      </c>
      <c r="S38" s="668" t="e">
        <f t="shared" si="10"/>
        <v>#N/A</v>
      </c>
      <c r="T38" s="667" t="s">
        <v>14</v>
      </c>
      <c r="U38" s="668" t="e">
        <f t="shared" si="11"/>
        <v>#N/A</v>
      </c>
      <c r="V38" s="667" t="s">
        <v>14</v>
      </c>
      <c r="W38" s="668" t="e">
        <f t="shared" si="12"/>
        <v>#N/A</v>
      </c>
      <c r="X38" s="1264"/>
      <c r="Y38" s="336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61"/>
      <c r="Q39" s="1262" t="str">
        <f t="shared" ref="Q39:Q45" si="14">B39</f>
        <v>宗地形状</v>
      </c>
      <c r="R39" s="667" t="s">
        <v>14</v>
      </c>
      <c r="S39" s="668">
        <f t="shared" si="10"/>
        <v>100</v>
      </c>
      <c r="T39" s="667" t="s">
        <v>14</v>
      </c>
      <c r="U39" s="668">
        <f t="shared" si="11"/>
        <v>100</v>
      </c>
      <c r="V39" s="667" t="s">
        <v>14</v>
      </c>
      <c r="W39" s="668">
        <f t="shared" si="12"/>
        <v>100</v>
      </c>
      <c r="X39" s="1264"/>
      <c r="Y39" s="336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61"/>
      <c r="Q40" s="1262" t="str">
        <f t="shared" si="14"/>
        <v>临街宽度及深度</v>
      </c>
      <c r="R40" s="667" t="s">
        <v>14</v>
      </c>
      <c r="S40" s="668">
        <f t="shared" si="10"/>
        <v>100</v>
      </c>
      <c r="T40" s="667" t="s">
        <v>14</v>
      </c>
      <c r="U40" s="668">
        <f t="shared" si="11"/>
        <v>100</v>
      </c>
      <c r="V40" s="667" t="s">
        <v>14</v>
      </c>
      <c r="W40" s="668">
        <f t="shared" si="12"/>
        <v>100</v>
      </c>
      <c r="X40" s="1264"/>
      <c r="Y40" s="336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61"/>
      <c r="Q41" s="1262" t="str">
        <f t="shared" si="14"/>
        <v>宗地开发程度</v>
      </c>
      <c r="R41" s="664" t="s">
        <v>14</v>
      </c>
      <c r="S41" s="665">
        <f t="shared" si="10"/>
        <v>100</v>
      </c>
      <c r="T41" s="664" t="s">
        <v>14</v>
      </c>
      <c r="U41" s="665">
        <f t="shared" si="11"/>
        <v>100</v>
      </c>
      <c r="V41" s="664" t="s">
        <v>14</v>
      </c>
      <c r="W41" s="665">
        <f t="shared" si="12"/>
        <v>100</v>
      </c>
      <c r="X41" s="666"/>
      <c r="Y41" s="336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61" t="s">
        <v>1696</v>
      </c>
      <c r="Q42" s="1262" t="str">
        <f t="shared" si="14"/>
        <v>工程地质条件</v>
      </c>
      <c r="R42" s="667" t="s">
        <v>14</v>
      </c>
      <c r="S42" s="668">
        <f t="shared" si="10"/>
        <v>100</v>
      </c>
      <c r="T42" s="667" t="s">
        <v>14</v>
      </c>
      <c r="U42" s="668">
        <f t="shared" si="11"/>
        <v>100</v>
      </c>
      <c r="V42" s="667" t="s">
        <v>14</v>
      </c>
      <c r="W42" s="668">
        <f t="shared" si="12"/>
        <v>100</v>
      </c>
      <c r="X42" s="1264"/>
      <c r="Y42" s="3361"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61"/>
      <c r="Q43" s="1262">
        <f t="shared" si="14"/>
        <v>111</v>
      </c>
      <c r="R43" s="667" t="s">
        <v>14</v>
      </c>
      <c r="S43" s="668">
        <f t="shared" si="10"/>
        <v>100</v>
      </c>
      <c r="T43" s="667" t="s">
        <v>14</v>
      </c>
      <c r="U43" s="668">
        <f t="shared" si="11"/>
        <v>100</v>
      </c>
      <c r="V43" s="667" t="s">
        <v>14</v>
      </c>
      <c r="W43" s="668">
        <f t="shared" si="12"/>
        <v>100</v>
      </c>
      <c r="X43" s="1264"/>
      <c r="Y43" s="3361"/>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61"/>
      <c r="Q44" s="1262">
        <f t="shared" si="14"/>
        <v>111</v>
      </c>
      <c r="R44" s="667" t="s">
        <v>14</v>
      </c>
      <c r="S44" s="668">
        <f t="shared" si="10"/>
        <v>100</v>
      </c>
      <c r="T44" s="667" t="s">
        <v>14</v>
      </c>
      <c r="U44" s="668">
        <f t="shared" si="11"/>
        <v>100</v>
      </c>
      <c r="V44" s="667" t="s">
        <v>14</v>
      </c>
      <c r="W44" s="668">
        <f t="shared" si="12"/>
        <v>100</v>
      </c>
      <c r="X44" s="1264"/>
      <c r="Y44" s="3361"/>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61"/>
      <c r="Q45" s="1262">
        <f t="shared" si="14"/>
        <v>111</v>
      </c>
      <c r="R45" s="669" t="s">
        <v>14</v>
      </c>
      <c r="S45" s="670">
        <f t="shared" si="10"/>
        <v>100</v>
      </c>
      <c r="T45" s="669" t="s">
        <v>14</v>
      </c>
      <c r="U45" s="670">
        <f t="shared" si="11"/>
        <v>100</v>
      </c>
      <c r="V45" s="669" t="s">
        <v>14</v>
      </c>
      <c r="W45" s="670">
        <f t="shared" si="12"/>
        <v>100</v>
      </c>
      <c r="X45" s="671"/>
      <c r="Y45" s="3361"/>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349" t="str">
        <f>A46</f>
        <v>成交单价</v>
      </c>
      <c r="Q46" s="3349"/>
      <c r="R46" s="3350">
        <f>E46</f>
        <v>0</v>
      </c>
      <c r="S46" s="3350"/>
      <c r="T46" s="3350">
        <f>G46</f>
        <v>0</v>
      </c>
      <c r="U46" s="3350"/>
      <c r="V46" s="3350">
        <f>I46</f>
        <v>0</v>
      </c>
      <c r="W46" s="3350"/>
      <c r="X46" s="385"/>
      <c r="Y46" s="673"/>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349" t="str">
        <f>A47</f>
        <v>比较价值（元/平方米）</v>
      </c>
      <c r="Q47" s="3349"/>
      <c r="R47" s="3438" t="e">
        <f>ROUND(PRODUCT(R46,AA7:AA45),0)</f>
        <v>#DIV/0!</v>
      </c>
      <c r="S47" s="3438"/>
      <c r="T47" s="3438" t="e">
        <f>ROUND(PRODUCT(T46,AB7:AB45),0)</f>
        <v>#DIV/0!</v>
      </c>
      <c r="U47" s="3438"/>
      <c r="V47" s="3438" t="e">
        <f>ROUND(PRODUCT(V46,AC7:AC45),0)</f>
        <v>#DIV/0!</v>
      </c>
      <c r="W47" s="343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25" t="str">
        <f>A48</f>
        <v>估价对象XX用房的比较价值（楼面单价，元/平方米）</v>
      </c>
      <c r="Q48" s="3426"/>
      <c r="R48" s="3439" t="e">
        <f>ROUND(IF(D47="简单平均",AVERAGE(R47:W47),R47*F47+T47*H47+V47*J47),0)</f>
        <v>#DIV/0!</v>
      </c>
      <c r="S48" s="3439"/>
      <c r="T48" s="3439"/>
      <c r="U48" s="3439"/>
      <c r="V48" s="3439"/>
      <c r="W48" s="343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66" t="s">
        <v>1887</v>
      </c>
      <c r="H55" s="3440"/>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134.96</v>
      </c>
      <c r="F56" s="833" t="e">
        <f t="shared" ref="F56:F64" si="15">ROUND(B56*E56/10000,0)</f>
        <v>#DIV/0!</v>
      </c>
      <c r="G56" s="3348"/>
      <c r="H56" s="334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134.96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429" t="s">
        <v>1775</v>
      </c>
      <c r="Q4" s="3430"/>
      <c r="R4" s="3433" t="s">
        <v>1771</v>
      </c>
      <c r="S4" s="3434"/>
      <c r="T4" s="3433" t="s">
        <v>1772</v>
      </c>
      <c r="U4" s="3434"/>
      <c r="V4" s="3350" t="s">
        <v>1773</v>
      </c>
      <c r="W4" s="3350"/>
      <c r="X4" s="1264"/>
      <c r="Y4" s="3433" t="s">
        <v>1775</v>
      </c>
      <c r="Z4" s="3434"/>
      <c r="AA4" s="3428" t="s">
        <v>1771</v>
      </c>
      <c r="AB4" s="3395" t="s">
        <v>1772</v>
      </c>
      <c r="AC4" s="3428" t="s">
        <v>1773</v>
      </c>
    </row>
    <row r="5" spans="1:29" ht="15">
      <c r="A5" s="348"/>
      <c r="B5" s="349"/>
      <c r="C5" s="3391" t="s">
        <v>1673</v>
      </c>
      <c r="D5" s="3386"/>
      <c r="E5" s="3435" t="s">
        <v>1674</v>
      </c>
      <c r="F5" s="3398"/>
      <c r="G5" s="3391" t="s">
        <v>1675</v>
      </c>
      <c r="H5" s="3386"/>
      <c r="I5" s="3391" t="s">
        <v>1676</v>
      </c>
      <c r="J5" s="3386"/>
      <c r="K5" s="537"/>
      <c r="L5" s="2486"/>
      <c r="M5" s="2487"/>
      <c r="N5" s="2487"/>
      <c r="O5" s="2487"/>
      <c r="P5" s="3431"/>
      <c r="Q5" s="3373"/>
      <c r="R5" s="3378"/>
      <c r="S5" s="3379"/>
      <c r="T5" s="3378"/>
      <c r="U5" s="3379"/>
      <c r="V5" s="3350"/>
      <c r="W5" s="3350"/>
      <c r="X5" s="1264"/>
      <c r="Y5" s="3378"/>
      <c r="Z5" s="3379"/>
      <c r="AA5" s="3395"/>
      <c r="AB5" s="3395"/>
      <c r="AC5" s="3395"/>
    </row>
    <row r="6" spans="1:29" ht="15.75" thickBot="1">
      <c r="A6" s="350"/>
      <c r="B6" s="351"/>
      <c r="C6" s="3441" t="s">
        <v>1919</v>
      </c>
      <c r="D6" s="3442"/>
      <c r="E6" s="3443" t="s">
        <v>1919</v>
      </c>
      <c r="F6" s="3444"/>
      <c r="G6" s="3441" t="s">
        <v>1919</v>
      </c>
      <c r="H6" s="3442"/>
      <c r="I6" s="3441" t="s">
        <v>1919</v>
      </c>
      <c r="J6" s="3442"/>
      <c r="K6" s="537" t="s">
        <v>1678</v>
      </c>
      <c r="L6" s="2486"/>
      <c r="M6" s="2487"/>
      <c r="N6" s="2487"/>
      <c r="O6" s="2487"/>
      <c r="P6" s="3432"/>
      <c r="Q6" s="3375"/>
      <c r="R6" s="3378"/>
      <c r="S6" s="3379"/>
      <c r="T6" s="3380"/>
      <c r="U6" s="3381"/>
      <c r="V6" s="3350"/>
      <c r="W6" s="3350"/>
      <c r="X6" s="1264"/>
      <c r="Y6" s="3380"/>
      <c r="Z6" s="3381"/>
      <c r="AA6" s="3396"/>
      <c r="AB6" s="3396"/>
      <c r="AC6" s="3396"/>
    </row>
    <row r="7" spans="1:29" s="102" customFormat="1" ht="15.75" thickBot="1">
      <c r="A7" s="352" t="s">
        <v>1679</v>
      </c>
      <c r="B7" s="353"/>
      <c r="C7" s="354">
        <f>'数据-取费表'!B2</f>
        <v>45833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9" t="s">
        <v>1680</v>
      </c>
      <c r="Q7" s="3390"/>
      <c r="R7" s="664" t="s">
        <v>14</v>
      </c>
      <c r="S7" s="665">
        <f t="shared" ref="S7:S15" si="0">F7</f>
        <v>0</v>
      </c>
      <c r="T7" s="664" t="s">
        <v>14</v>
      </c>
      <c r="U7" s="665">
        <f t="shared" ref="U7:U15" si="1">H7</f>
        <v>0</v>
      </c>
      <c r="V7" s="664" t="s">
        <v>14</v>
      </c>
      <c r="W7" s="665">
        <f t="shared" ref="W7:W15" si="2">J7</f>
        <v>0</v>
      </c>
      <c r="X7" s="666"/>
      <c r="Y7" s="3389" t="s">
        <v>1680</v>
      </c>
      <c r="Z7" s="338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9" t="s">
        <v>1683</v>
      </c>
      <c r="Q8" s="3388"/>
      <c r="R8" s="664" t="s">
        <v>14</v>
      </c>
      <c r="S8" s="665">
        <f t="shared" si="0"/>
        <v>0</v>
      </c>
      <c r="T8" s="664" t="s">
        <v>14</v>
      </c>
      <c r="U8" s="665">
        <f t="shared" si="1"/>
        <v>0</v>
      </c>
      <c r="V8" s="664" t="s">
        <v>14</v>
      </c>
      <c r="W8" s="665">
        <f t="shared" si="2"/>
        <v>0</v>
      </c>
      <c r="X8" s="666"/>
      <c r="Y8" s="3389" t="s">
        <v>1683</v>
      </c>
      <c r="Z8" s="3388"/>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49"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89"/>
      <c r="M10" s="2490"/>
      <c r="N10" s="2490"/>
      <c r="O10" s="2541"/>
      <c r="P10" s="3349"/>
      <c r="Q10" s="530" t="str">
        <f t="shared" si="6"/>
        <v>土地使用年限（年）</v>
      </c>
      <c r="R10" s="664" t="s">
        <v>14</v>
      </c>
      <c r="S10" s="665">
        <f t="shared" si="0"/>
        <v>116</v>
      </c>
      <c r="T10" s="664" t="s">
        <v>14</v>
      </c>
      <c r="U10" s="665">
        <f t="shared" si="1"/>
        <v>116</v>
      </c>
      <c r="V10" s="664" t="s">
        <v>14</v>
      </c>
      <c r="W10" s="665">
        <f t="shared" si="2"/>
        <v>116</v>
      </c>
      <c r="X10" s="666"/>
      <c r="Y10" s="3252"/>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49"/>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49"/>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49"/>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49"/>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56" t="s">
        <v>1691</v>
      </c>
      <c r="Q15" s="1262" t="str">
        <f t="shared" si="6"/>
        <v>产业集聚程度</v>
      </c>
      <c r="R15" s="667" t="s">
        <v>14</v>
      </c>
      <c r="S15" s="668">
        <f t="shared" si="0"/>
        <v>100</v>
      </c>
      <c r="T15" s="667" t="s">
        <v>14</v>
      </c>
      <c r="U15" s="668">
        <f t="shared" si="1"/>
        <v>100</v>
      </c>
      <c r="V15" s="667" t="s">
        <v>14</v>
      </c>
      <c r="W15" s="668">
        <f t="shared" si="2"/>
        <v>100</v>
      </c>
      <c r="X15" s="1264"/>
      <c r="Y15" s="335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57"/>
      <c r="Q16" s="1262"/>
      <c r="R16" s="667"/>
      <c r="S16" s="668"/>
      <c r="T16" s="667"/>
      <c r="U16" s="668"/>
      <c r="V16" s="667"/>
      <c r="W16" s="668"/>
      <c r="X16" s="1264"/>
      <c r="Y16" s="3357"/>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57"/>
      <c r="Q17" s="1262" t="str">
        <f>B17</f>
        <v>交通便捷度</v>
      </c>
      <c r="R17" s="667" t="s">
        <v>14</v>
      </c>
      <c r="S17" s="668">
        <f>F17</f>
        <v>100</v>
      </c>
      <c r="T17" s="667" t="s">
        <v>14</v>
      </c>
      <c r="U17" s="668">
        <f>H17</f>
        <v>100</v>
      </c>
      <c r="V17" s="667" t="s">
        <v>14</v>
      </c>
      <c r="W17" s="668">
        <f>J17</f>
        <v>100</v>
      </c>
      <c r="X17" s="1264"/>
      <c r="Y17" s="335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57"/>
      <c r="Q18" s="1262"/>
      <c r="R18" s="667"/>
      <c r="S18" s="668"/>
      <c r="T18" s="667"/>
      <c r="U18" s="668"/>
      <c r="V18" s="667"/>
      <c r="W18" s="668"/>
      <c r="X18" s="1264"/>
      <c r="Y18" s="3357"/>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57"/>
      <c r="Q19" s="1262" t="str">
        <f t="shared" ref="Q19:Q33" si="8">B19</f>
        <v>区域土地利用方向</v>
      </c>
      <c r="R19" s="667" t="s">
        <v>14</v>
      </c>
      <c r="S19" s="668">
        <f>F19</f>
        <v>100</v>
      </c>
      <c r="T19" s="667" t="s">
        <v>14</v>
      </c>
      <c r="U19" s="668">
        <f>H19</f>
        <v>100</v>
      </c>
      <c r="V19" s="667" t="s">
        <v>14</v>
      </c>
      <c r="W19" s="668">
        <f>J19</f>
        <v>100</v>
      </c>
      <c r="X19" s="1264"/>
      <c r="Y19" s="335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57"/>
      <c r="Q20" s="1262"/>
      <c r="R20" s="667"/>
      <c r="S20" s="668"/>
      <c r="T20" s="667"/>
      <c r="U20" s="668"/>
      <c r="V20" s="667"/>
      <c r="W20" s="668"/>
      <c r="X20" s="1264"/>
      <c r="Y20" s="3357"/>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57"/>
      <c r="Q21" s="1262" t="str">
        <f t="shared" si="8"/>
        <v>环境状况</v>
      </c>
      <c r="R21" s="667" t="s">
        <v>14</v>
      </c>
      <c r="S21" s="668">
        <f>F21</f>
        <v>100</v>
      </c>
      <c r="T21" s="667" t="s">
        <v>14</v>
      </c>
      <c r="U21" s="668">
        <f>H21</f>
        <v>100</v>
      </c>
      <c r="V21" s="667" t="s">
        <v>14</v>
      </c>
      <c r="W21" s="668">
        <f>J21</f>
        <v>100</v>
      </c>
      <c r="X21" s="1264"/>
      <c r="Y21" s="335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57"/>
      <c r="Q22" s="1262"/>
      <c r="R22" s="667"/>
      <c r="S22" s="668"/>
      <c r="T22" s="667"/>
      <c r="U22" s="668"/>
      <c r="V22" s="667"/>
      <c r="W22" s="668"/>
      <c r="X22" s="1264"/>
      <c r="Y22" s="3357"/>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57"/>
      <c r="Q23" s="530" t="str">
        <f t="shared" si="8"/>
        <v>公共配套设施</v>
      </c>
      <c r="R23" s="664" t="s">
        <v>14</v>
      </c>
      <c r="S23" s="665">
        <f>F23</f>
        <v>100</v>
      </c>
      <c r="T23" s="664" t="s">
        <v>14</v>
      </c>
      <c r="U23" s="665">
        <f>H23</f>
        <v>100</v>
      </c>
      <c r="V23" s="664" t="s">
        <v>14</v>
      </c>
      <c r="W23" s="665">
        <f>J23</f>
        <v>100</v>
      </c>
      <c r="X23" s="666"/>
      <c r="Y23" s="335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57"/>
      <c r="Q24" s="530"/>
      <c r="R24" s="664"/>
      <c r="S24" s="665"/>
      <c r="T24" s="664"/>
      <c r="U24" s="665"/>
      <c r="V24" s="664"/>
      <c r="W24" s="665"/>
      <c r="X24" s="666"/>
      <c r="Y24" s="3357"/>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57"/>
      <c r="Q25" s="530" t="str">
        <f t="shared" ref="Q25" si="9">B25</f>
        <v>基础设施水平</v>
      </c>
      <c r="R25" s="664" t="s">
        <v>14</v>
      </c>
      <c r="S25" s="665">
        <f>F25</f>
        <v>100</v>
      </c>
      <c r="T25" s="664" t="s">
        <v>14</v>
      </c>
      <c r="U25" s="665">
        <f>H25</f>
        <v>100</v>
      </c>
      <c r="V25" s="664" t="s">
        <v>14</v>
      </c>
      <c r="W25" s="665">
        <f>J25</f>
        <v>100</v>
      </c>
      <c r="X25" s="666"/>
      <c r="Y25" s="335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57"/>
      <c r="Q26" s="530"/>
      <c r="R26" s="664"/>
      <c r="S26" s="665"/>
      <c r="T26" s="664"/>
      <c r="U26" s="665"/>
      <c r="V26" s="664"/>
      <c r="W26" s="665"/>
      <c r="X26" s="666"/>
      <c r="Y26" s="335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5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57"/>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57"/>
      <c r="Q28" s="1262" t="str">
        <f t="shared" si="8"/>
        <v>毗邻道路的类型与等级</v>
      </c>
      <c r="R28" s="667" t="s">
        <v>14</v>
      </c>
      <c r="S28" s="668">
        <f t="shared" si="10"/>
        <v>100</v>
      </c>
      <c r="T28" s="667" t="s">
        <v>14</v>
      </c>
      <c r="U28" s="668">
        <f t="shared" si="11"/>
        <v>100</v>
      </c>
      <c r="V28" s="667" t="s">
        <v>14</v>
      </c>
      <c r="W28" s="668">
        <f t="shared" si="12"/>
        <v>100</v>
      </c>
      <c r="X28" s="1264"/>
      <c r="Y28" s="335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57"/>
      <c r="Q29" s="1262"/>
      <c r="R29" s="667"/>
      <c r="S29" s="668"/>
      <c r="T29" s="667"/>
      <c r="U29" s="668"/>
      <c r="V29" s="667"/>
      <c r="W29" s="668"/>
      <c r="X29" s="1264"/>
      <c r="Y29" s="3357"/>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57"/>
      <c r="Q30" s="1262" t="str">
        <f t="shared" si="8"/>
        <v>土地级别</v>
      </c>
      <c r="R30" s="667" t="s">
        <v>14</v>
      </c>
      <c r="S30" s="668">
        <f t="shared" si="10"/>
        <v>100</v>
      </c>
      <c r="T30" s="667" t="s">
        <v>14</v>
      </c>
      <c r="U30" s="668">
        <f t="shared" si="11"/>
        <v>100</v>
      </c>
      <c r="V30" s="667" t="s">
        <v>14</v>
      </c>
      <c r="W30" s="668">
        <f t="shared" si="12"/>
        <v>100</v>
      </c>
      <c r="X30" s="1264"/>
      <c r="Y30" s="335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57"/>
      <c r="Q31" s="1262">
        <f t="shared" si="8"/>
        <v>111</v>
      </c>
      <c r="R31" s="667" t="s">
        <v>14</v>
      </c>
      <c r="S31" s="668">
        <f t="shared" si="10"/>
        <v>100</v>
      </c>
      <c r="T31" s="667" t="s">
        <v>14</v>
      </c>
      <c r="U31" s="668">
        <f t="shared" si="11"/>
        <v>100</v>
      </c>
      <c r="V31" s="667" t="s">
        <v>14</v>
      </c>
      <c r="W31" s="668">
        <f t="shared" si="12"/>
        <v>100</v>
      </c>
      <c r="X31" s="1264"/>
      <c r="Y31" s="3357"/>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6" t="s">
        <v>1696</v>
      </c>
      <c r="Q32" s="1262">
        <f t="shared" si="8"/>
        <v>111</v>
      </c>
      <c r="R32" s="667" t="s">
        <v>14</v>
      </c>
      <c r="S32" s="668">
        <f t="shared" si="10"/>
        <v>100</v>
      </c>
      <c r="T32" s="667" t="s">
        <v>14</v>
      </c>
      <c r="U32" s="668">
        <f t="shared" si="11"/>
        <v>100</v>
      </c>
      <c r="V32" s="667" t="s">
        <v>14</v>
      </c>
      <c r="W32" s="668">
        <f t="shared" si="12"/>
        <v>100</v>
      </c>
      <c r="X32" s="1264"/>
      <c r="Y32" s="3361"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61"/>
      <c r="Q33" s="1262">
        <f t="shared" si="8"/>
        <v>111</v>
      </c>
      <c r="R33" s="669" t="s">
        <v>14</v>
      </c>
      <c r="S33" s="670">
        <f t="shared" si="10"/>
        <v>100</v>
      </c>
      <c r="T33" s="669" t="s">
        <v>14</v>
      </c>
      <c r="U33" s="670">
        <f t="shared" si="11"/>
        <v>100</v>
      </c>
      <c r="V33" s="669" t="s">
        <v>14</v>
      </c>
      <c r="W33" s="670">
        <f t="shared" si="12"/>
        <v>100</v>
      </c>
      <c r="X33" s="671"/>
      <c r="Y33" s="336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61"/>
      <c r="Q34" s="1262" t="str">
        <f>B34</f>
        <v>宗地面积</v>
      </c>
      <c r="R34" s="667" t="s">
        <v>14</v>
      </c>
      <c r="S34" s="668" t="e">
        <f t="shared" si="10"/>
        <v>#N/A</v>
      </c>
      <c r="T34" s="667" t="s">
        <v>14</v>
      </c>
      <c r="U34" s="668" t="e">
        <f t="shared" si="11"/>
        <v>#N/A</v>
      </c>
      <c r="V34" s="667" t="s">
        <v>14</v>
      </c>
      <c r="W34" s="668" t="e">
        <f t="shared" si="12"/>
        <v>#N/A</v>
      </c>
      <c r="X34" s="1264"/>
      <c r="Y34" s="336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61"/>
      <c r="Q35" s="1262" t="str">
        <f t="shared" ref="Q35:Q40" si="14">B35</f>
        <v>宗地形状</v>
      </c>
      <c r="R35" s="667" t="s">
        <v>14</v>
      </c>
      <c r="S35" s="668">
        <f t="shared" si="10"/>
        <v>100</v>
      </c>
      <c r="T35" s="667" t="s">
        <v>14</v>
      </c>
      <c r="U35" s="668">
        <f t="shared" si="11"/>
        <v>100</v>
      </c>
      <c r="V35" s="667" t="s">
        <v>14</v>
      </c>
      <c r="W35" s="668">
        <f t="shared" si="12"/>
        <v>100</v>
      </c>
      <c r="X35" s="1264"/>
      <c r="Y35" s="336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61"/>
      <c r="Q36" s="1262" t="str">
        <f t="shared" si="14"/>
        <v>宗地开发程度</v>
      </c>
      <c r="R36" s="664" t="s">
        <v>14</v>
      </c>
      <c r="S36" s="665">
        <f t="shared" si="10"/>
        <v>100</v>
      </c>
      <c r="T36" s="664" t="s">
        <v>14</v>
      </c>
      <c r="U36" s="665">
        <f t="shared" si="11"/>
        <v>100</v>
      </c>
      <c r="V36" s="664" t="s">
        <v>14</v>
      </c>
      <c r="W36" s="665">
        <f t="shared" si="12"/>
        <v>100</v>
      </c>
      <c r="X36" s="666"/>
      <c r="Y36" s="336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61" t="s">
        <v>1696</v>
      </c>
      <c r="Q37" s="1262" t="str">
        <f t="shared" si="14"/>
        <v>工程地质条件</v>
      </c>
      <c r="R37" s="667" t="s">
        <v>14</v>
      </c>
      <c r="S37" s="668">
        <f t="shared" si="10"/>
        <v>100</v>
      </c>
      <c r="T37" s="667" t="s">
        <v>14</v>
      </c>
      <c r="U37" s="668">
        <f t="shared" si="11"/>
        <v>100</v>
      </c>
      <c r="V37" s="667" t="s">
        <v>14</v>
      </c>
      <c r="W37" s="668">
        <f t="shared" si="12"/>
        <v>100</v>
      </c>
      <c r="X37" s="1264"/>
      <c r="Y37" s="3361"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61"/>
      <c r="Q38" s="1262">
        <f t="shared" si="14"/>
        <v>111</v>
      </c>
      <c r="R38" s="667" t="s">
        <v>14</v>
      </c>
      <c r="S38" s="668">
        <f t="shared" si="10"/>
        <v>100</v>
      </c>
      <c r="T38" s="667" t="s">
        <v>14</v>
      </c>
      <c r="U38" s="668">
        <f t="shared" si="11"/>
        <v>100</v>
      </c>
      <c r="V38" s="667" t="s">
        <v>14</v>
      </c>
      <c r="W38" s="668">
        <f t="shared" si="12"/>
        <v>100</v>
      </c>
      <c r="X38" s="1264"/>
      <c r="Y38" s="3361"/>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61"/>
      <c r="Q39" s="1262">
        <f t="shared" si="14"/>
        <v>111</v>
      </c>
      <c r="R39" s="667" t="s">
        <v>14</v>
      </c>
      <c r="S39" s="668">
        <f t="shared" si="10"/>
        <v>100</v>
      </c>
      <c r="T39" s="667" t="s">
        <v>14</v>
      </c>
      <c r="U39" s="668">
        <f t="shared" si="11"/>
        <v>100</v>
      </c>
      <c r="V39" s="667" t="s">
        <v>14</v>
      </c>
      <c r="W39" s="668">
        <f t="shared" si="12"/>
        <v>100</v>
      </c>
      <c r="X39" s="1264"/>
      <c r="Y39" s="3361"/>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61"/>
      <c r="Q40" s="1262">
        <f t="shared" si="14"/>
        <v>111</v>
      </c>
      <c r="R40" s="669" t="s">
        <v>14</v>
      </c>
      <c r="S40" s="670">
        <f t="shared" si="10"/>
        <v>100</v>
      </c>
      <c r="T40" s="669" t="s">
        <v>14</v>
      </c>
      <c r="U40" s="670">
        <f t="shared" si="11"/>
        <v>100</v>
      </c>
      <c r="V40" s="669" t="s">
        <v>14</v>
      </c>
      <c r="W40" s="670">
        <f t="shared" si="12"/>
        <v>100</v>
      </c>
      <c r="X40" s="671"/>
      <c r="Y40" s="3361"/>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349" t="str">
        <f>A41</f>
        <v>成交单价</v>
      </c>
      <c r="Q41" s="3349"/>
      <c r="R41" s="3350">
        <f>E41</f>
        <v>0</v>
      </c>
      <c r="S41" s="3350"/>
      <c r="T41" s="3350">
        <f>G41</f>
        <v>0</v>
      </c>
      <c r="U41" s="3350"/>
      <c r="V41" s="3350">
        <f>I41</f>
        <v>0</v>
      </c>
      <c r="W41" s="3350"/>
      <c r="X41" s="385"/>
      <c r="Y41" s="673"/>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349" t="str">
        <f>A42</f>
        <v>比较价值（元/平方米）</v>
      </c>
      <c r="Q42" s="3349"/>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25" t="str">
        <f>A43</f>
        <v>估价对象XX用房的比较价值（楼面单价，元/平方米）</v>
      </c>
      <c r="Q43" s="3426"/>
      <c r="R43" s="3439" t="e">
        <f>ROUND(IF(D42="简单平均",AVERAGE(R42:W42),R42*F42+T42*H42+V42*J42),0)</f>
        <v>#DIV/0!</v>
      </c>
      <c r="S43" s="3439"/>
      <c r="T43" s="3439"/>
      <c r="U43" s="3439"/>
      <c r="V43" s="3439"/>
      <c r="W43" s="343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66" t="s">
        <v>1887</v>
      </c>
      <c r="H50" s="3440"/>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134.96</v>
      </c>
      <c r="F51" s="611" t="e">
        <f t="shared" ref="F51:F60" si="15">ROUND(B51*E51/10000,0)</f>
        <v>#DIV/0!</v>
      </c>
      <c r="G51" s="3348"/>
      <c r="H51" s="334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J31" sqref="J3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v>1302</v>
      </c>
      <c r="C1" s="1716" t="s">
        <v>1563</v>
      </c>
      <c r="D1" s="190"/>
      <c r="E1" s="190"/>
      <c r="F1" s="190"/>
      <c r="G1" s="1061">
        <f>MATCH(B1,'数据-取费表'!A6:A16,0)+5</f>
        <v>6</v>
      </c>
      <c r="H1" s="997" t="str">
        <f>IF(ISERROR(FIND("住宅",B1)),"非住宅","住宅")</f>
        <v>非住宅</v>
      </c>
    </row>
    <row r="2" spans="1:8" s="192" customFormat="1" ht="18" customHeight="1">
      <c r="A2" s="193" t="s">
        <v>1462</v>
      </c>
      <c r="B2" s="3122">
        <f ca="1">ROUND(IF(D2="——",C52/10000,C52/10000-E2),4)</f>
        <v>121.82389999999999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9027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479824.76</v>
      </c>
      <c r="D5" s="203" t="s">
        <v>1469</v>
      </c>
      <c r="E5" s="204" t="s">
        <v>1470</v>
      </c>
      <c r="F5" s="204" t="s">
        <v>1471</v>
      </c>
      <c r="G5" s="205"/>
    </row>
    <row r="6" spans="1:8" s="206" customFormat="1" ht="13.5" customHeight="1">
      <c r="A6" s="732" t="s">
        <v>1472</v>
      </c>
      <c r="B6" s="207" t="s">
        <v>1473</v>
      </c>
      <c r="C6" s="208">
        <f>基准地价修正!C33*基准地价修正!D33</f>
        <v>439429.76</v>
      </c>
      <c r="D6" s="209"/>
      <c r="E6" s="210"/>
      <c r="F6" s="210"/>
      <c r="G6" s="211"/>
    </row>
    <row r="7" spans="1:8" s="206" customFormat="1" ht="13.5" customHeight="1">
      <c r="A7" s="732" t="s">
        <v>1474</v>
      </c>
      <c r="B7" s="207" t="s">
        <v>1475</v>
      </c>
      <c r="C7" s="212">
        <f>ROUND(C6*F7,0)</f>
        <v>13403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26992</v>
      </c>
      <c r="D8" s="214"/>
      <c r="E8" s="212"/>
      <c r="F8" s="213"/>
      <c r="G8" s="1713" t="s">
        <v>3477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26992</v>
      </c>
      <c r="D10" s="795">
        <f ca="1">IF(B1="",'数据-汇总表'!E6,IF(INDIRECT("'数据-取费表'!c"&amp;$G$1)="住宅",INDIRECT("'数据-取费表'!s"&amp;$G$1),INDIRECT("'数据-取费表'!k"&amp;$G$1)+INDIRECT("'数据-取费表'!s"&amp;$G$1)))</f>
        <v>134.96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134.96</v>
      </c>
      <c r="E19" s="203">
        <f>'数据-取费表'!B31</f>
        <v>200</v>
      </c>
      <c r="F19" s="223"/>
      <c r="G19" s="1713" t="s">
        <v>3478</v>
      </c>
    </row>
    <row r="20" spans="1:7" s="206" customFormat="1" ht="13.5" customHeight="1">
      <c r="A20" s="247" t="s">
        <v>1574</v>
      </c>
      <c r="B20" s="202" t="s">
        <v>1575</v>
      </c>
      <c r="C20" s="224">
        <f ca="1">ROUND((C5+C19)*F20,0)</f>
        <v>9596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30507</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30210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297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48942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48942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614994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604621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539840</v>
      </c>
      <c r="D34" s="209"/>
      <c r="E34" s="212"/>
      <c r="F34" s="249"/>
      <c r="G34" s="211"/>
    </row>
    <row r="35" spans="1:7" ht="13.5" customHeight="1">
      <c r="A35" s="734" t="s">
        <v>351</v>
      </c>
      <c r="B35" s="207" t="s">
        <v>1527</v>
      </c>
      <c r="C35" s="212">
        <f ca="1">ROUND(C34*F35,0)</f>
        <v>26992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26992</v>
      </c>
      <c r="D37" s="209">
        <f ca="1">D19</f>
        <v>134.96</v>
      </c>
      <c r="E37" s="241">
        <f>'数据-取费表'!B35</f>
        <v>200</v>
      </c>
      <c r="F37" s="251"/>
      <c r="G37" s="253"/>
    </row>
    <row r="38" spans="1:7" ht="13.5" customHeight="1">
      <c r="A38" s="734" t="s">
        <v>354</v>
      </c>
      <c r="B38" s="207" t="s">
        <v>1533</v>
      </c>
      <c r="C38" s="212">
        <f ca="1">ROUND(C34*F38,0)</f>
        <v>10797</v>
      </c>
      <c r="D38" s="212"/>
      <c r="E38" s="212"/>
      <c r="F38" s="251">
        <f>'数据-取费表'!B36</f>
        <v>0.02</v>
      </c>
      <c r="G38" s="211" t="s">
        <v>1528</v>
      </c>
    </row>
    <row r="39" spans="1:7" s="206" customFormat="1" ht="13.5" customHeight="1">
      <c r="A39" s="247" t="s">
        <v>1534</v>
      </c>
      <c r="B39" s="202" t="s">
        <v>1535</v>
      </c>
      <c r="C39" s="224">
        <f ca="1">ROUND(C33*F20,0)</f>
        <v>12092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19118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18743</v>
      </c>
      <c r="D42" s="230"/>
      <c r="E42" s="230"/>
      <c r="F42" s="231"/>
      <c r="G42" s="3345" t="s">
        <v>1591</v>
      </c>
    </row>
    <row r="43" spans="1:7" ht="13.5" customHeight="1">
      <c r="A43" s="734" t="s">
        <v>347</v>
      </c>
      <c r="B43" s="207" t="s">
        <v>1545</v>
      </c>
      <c r="C43" s="230">
        <f ca="1">ROUND(IF('数据-取费表'!B22&lt;=1,C39*F22*'数据-取费表'!B20/2,C39*(POWER((1+F22),'数据-取费表'!B20/2)-1)),0)</f>
        <v>375</v>
      </c>
      <c r="D43" s="230"/>
      <c r="E43" s="230"/>
      <c r="F43" s="231"/>
      <c r="G43" s="3346"/>
    </row>
    <row r="44" spans="1:7" ht="13.5" customHeight="1">
      <c r="A44" s="734" t="s">
        <v>348</v>
      </c>
      <c r="B44" s="207" t="s">
        <v>1546</v>
      </c>
      <c r="C44" s="230">
        <f ca="1">ROUND(IF('数据-取费表'!B22&lt;=1,C40*F22*'数据-取费表'!B20/2,C40*(POWER((1+F22),'数据-取费表'!B20/2)-1)),4)</f>
        <v>5.9999999999999995E-4</v>
      </c>
      <c r="D44" s="230"/>
      <c r="E44" s="230"/>
      <c r="F44" s="231"/>
      <c r="G44" s="3347"/>
    </row>
    <row r="45" spans="1:7" s="206" customFormat="1" ht="13.5" customHeight="1">
      <c r="A45" s="247" t="s">
        <v>1547</v>
      </c>
      <c r="B45" s="236" t="s">
        <v>1513</v>
      </c>
      <c r="C45" s="237">
        <f ca="1">C46</f>
        <v>61671</v>
      </c>
      <c r="D45" s="227">
        <f ca="1">C47</f>
        <v>2E-3</v>
      </c>
      <c r="E45" s="228" t="s">
        <v>1539</v>
      </c>
      <c r="F45" s="238">
        <f ca="1">F27</f>
        <v>0.1</v>
      </c>
      <c r="G45" s="239" t="s">
        <v>1548</v>
      </c>
    </row>
    <row r="46" spans="1:7" s="206" customFormat="1" ht="13.5" customHeight="1">
      <c r="A46" s="734" t="s">
        <v>346</v>
      </c>
      <c r="B46" s="240" t="s">
        <v>1549</v>
      </c>
      <c r="C46" s="241">
        <f ca="1">ROUND((C33+C39)*F27,0)</f>
        <v>61671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754056</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603245</v>
      </c>
      <c r="D51" s="224"/>
      <c r="E51" s="224"/>
      <c r="F51" s="256"/>
      <c r="G51" s="226" t="s">
        <v>1560</v>
      </c>
    </row>
    <row r="52" spans="1:7" s="200" customFormat="1" ht="16.5" thickBot="1">
      <c r="A52" s="257" t="s">
        <v>1561</v>
      </c>
      <c r="B52" s="258"/>
      <c r="C52" s="259">
        <f ca="1">C31+C51</f>
        <v>1218239</v>
      </c>
      <c r="D52" s="258"/>
      <c r="E52" s="258"/>
      <c r="F52" s="258"/>
      <c r="G52" s="260"/>
    </row>
    <row r="55" spans="1:7" ht="15">
      <c r="B55" s="262" t="s">
        <v>1562</v>
      </c>
      <c r="C55" s="263"/>
    </row>
    <row r="56" spans="1:7">
      <c r="B56" s="265" t="s">
        <v>802</v>
      </c>
      <c r="C56" s="267">
        <f ca="1">1-C57</f>
        <v>0.505</v>
      </c>
    </row>
    <row r="57" spans="1:7">
      <c r="B57" s="265" t="s">
        <v>803</v>
      </c>
      <c r="C57" s="266">
        <f ca="1">ROUND(C51/C52,3)</f>
        <v>0.495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zoomScaleSheetLayoutView="100" workbookViewId="0">
      <selection activeCell="J31" sqref="J31"/>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134.96</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44</v>
      </c>
      <c r="C2" s="1845" t="s">
        <v>1935</v>
      </c>
      <c r="D2" s="162" t="s">
        <v>1936</v>
      </c>
      <c r="E2" s="3120"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Ⅶ-石龙开发区</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3">
        <f>ROUND(SUMPRODUCT((B106:B110=R2)*(C105:N105=G2)*(C106:N110)),4)</f>
        <v>1.5019</v>
      </c>
      <c r="T2" s="3063">
        <f t="shared" ref="T2:T16" si="0">ROUND($C$5*$C$22*$C$23*$C$24*S2*$C$28,0)</f>
        <v>4890</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3260</v>
      </c>
      <c r="C3" s="1845" t="s">
        <v>1941</v>
      </c>
      <c r="D3" s="162" t="s">
        <v>1942</v>
      </c>
      <c r="E3" s="3118" t="s">
        <v>3463</v>
      </c>
      <c r="F3" s="1847" t="s">
        <v>3464</v>
      </c>
      <c r="G3" s="708">
        <f>IF(F3="宗地容积率",'数据-汇总表'!I4,IF(F3="估价对象容积率",'数据-汇总表'!I6,'数据-汇总表'!I7))</f>
        <v>2</v>
      </c>
      <c r="H3" s="162" t="s">
        <v>1943</v>
      </c>
      <c r="I3" s="729"/>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3">
        <f>ROUND(SUMPRODUCT((B106:B110=R3)*(C105:N105=G2)*(C106:N110)),4)</f>
        <v>1.1838</v>
      </c>
      <c r="T3" s="3063">
        <f t="shared" si="0"/>
        <v>3854</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52"/>
      <c r="B4" s="3453"/>
      <c r="C4" s="3453"/>
      <c r="D4" s="3454"/>
      <c r="E4" s="3454"/>
      <c r="F4" s="3454"/>
      <c r="G4" s="3454"/>
      <c r="H4" s="3454"/>
      <c r="I4" s="3454"/>
      <c r="J4" s="3455"/>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3">
        <f>ROUND(SUMPRODUCT((B106:B110=R4)*(C105:N105=G2)*(C106:N110)),4)</f>
        <v>1.0004999999999999</v>
      </c>
      <c r="T4" s="3063">
        <f t="shared" si="0"/>
        <v>3257</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1700</v>
      </c>
      <c r="D5" s="1251">
        <f>ROUND(C6*C17+C20,0)</f>
        <v>1700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3">
        <f>ROUND(SUMPRODUCT((B106:B110=R5)*(C105:N105=G2)*(C106:N110)),4)</f>
        <v>0.88239999999999996</v>
      </c>
      <c r="T5" s="3063">
        <f t="shared" si="0"/>
        <v>2873</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1700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5"/>
      <c r="P6" s="1055"/>
      <c r="Q6" s="1055"/>
      <c r="R6" s="1128">
        <v>5</v>
      </c>
      <c r="S6" s="3063">
        <f>ROUND(SUMPRODUCT((B106:B110=R6)*(C105:N105=G2)*(C106:N110)),4)</f>
        <v>0.84799999999999998</v>
      </c>
      <c r="T6" s="3063">
        <f t="shared" si="0"/>
        <v>2761</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3236</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1700</v>
      </c>
      <c r="N7" s="813">
        <f>SUMPRODUCT((因素修正幅度!B190:B233=I2)*(因素修正幅度!C3:G3=E2)*(因素修正幅度!C190:G233))</f>
        <v>0.05</v>
      </c>
      <c r="O7" s="1055"/>
      <c r="P7" s="1055"/>
      <c r="Q7" s="1055"/>
      <c r="R7" s="1128">
        <v>6</v>
      </c>
      <c r="S7" s="3117"/>
      <c r="T7" s="3063">
        <f t="shared" si="0"/>
        <v>0</v>
      </c>
      <c r="U7" s="1129"/>
      <c r="V7" s="3063">
        <f t="shared" si="1"/>
        <v>0</v>
      </c>
      <c r="W7" s="1266" t="s">
        <v>1955</v>
      </c>
      <c r="X7" s="1130" t="str">
        <f>G2</f>
        <v>七级</v>
      </c>
      <c r="Y7" s="1130" t="s">
        <v>1956</v>
      </c>
      <c r="Z7" s="1131">
        <f>G3</f>
        <v>2</v>
      </c>
      <c r="AA7" s="1132"/>
      <c r="AB7" s="1132"/>
      <c r="AC7" s="1133"/>
      <c r="AD7" s="1134"/>
      <c r="AE7" s="1134"/>
      <c r="AF7" s="1134"/>
      <c r="AG7" s="1134"/>
      <c r="AH7" s="1134"/>
      <c r="AI7" s="1134"/>
      <c r="AJ7" s="1135"/>
    </row>
    <row r="8" spans="1:36" ht="25.5">
      <c r="A8" s="3009"/>
      <c r="B8" s="162" t="s">
        <v>1957</v>
      </c>
      <c r="C8" s="1869" t="s">
        <v>3465</v>
      </c>
      <c r="D8" s="712" t="s">
        <v>112</v>
      </c>
      <c r="E8" s="713" t="e">
        <f>ROUND(C11/E7,4)</f>
        <v>#DIV/0!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3">
        <f t="shared" si="0"/>
        <v>0</v>
      </c>
      <c r="U8" s="1129"/>
      <c r="V8" s="3063">
        <f t="shared" si="1"/>
        <v>0</v>
      </c>
      <c r="W8" s="3449" t="s">
        <v>1960</v>
      </c>
      <c r="X8" s="345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SUMIF(修正!C71:C138,C8,修正!E71:E138)</f>
        <v>0</v>
      </c>
      <c r="D9" s="163" t="s">
        <v>113</v>
      </c>
      <c r="E9" s="163" t="e">
        <f>ROUND(C11/E7,4)</f>
        <v>#DIV/0!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3">
        <f t="shared" si="0"/>
        <v>0</v>
      </c>
      <c r="U9" s="1129"/>
      <c r="V9" s="3063">
        <f t="shared" si="1"/>
        <v>0</v>
      </c>
      <c r="W9" s="3451"/>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3">
        <f t="shared" si="0"/>
        <v>0</v>
      </c>
      <c r="U10" s="1129"/>
      <c r="V10" s="3063">
        <f t="shared" si="1"/>
        <v>0</v>
      </c>
      <c r="W10" s="345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3237</v>
      </c>
      <c r="B12" s="3013" t="s">
        <v>3238</v>
      </c>
      <c r="C12" s="3014"/>
      <c r="D12" s="3015" t="s">
        <v>3239</v>
      </c>
      <c r="E12" s="3016" t="s">
        <v>3240</v>
      </c>
      <c r="F12" s="3017"/>
      <c r="G12" s="3018"/>
      <c r="H12" s="3018"/>
      <c r="I12" s="3018"/>
      <c r="J12" s="3019"/>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3241</v>
      </c>
      <c r="B13" s="1877" t="s">
        <v>1982</v>
      </c>
      <c r="C13" s="711">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3242</v>
      </c>
      <c r="G14" s="3020" t="s">
        <v>3242</v>
      </c>
      <c r="H14" s="3020" t="s">
        <v>3242</v>
      </c>
      <c r="I14" s="3020" t="s">
        <v>3242</v>
      </c>
      <c r="J14" s="3020" t="s">
        <v>3242</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3243</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3247</v>
      </c>
      <c r="E18" s="2356"/>
      <c r="F18" s="3030" t="s">
        <v>3250</v>
      </c>
      <c r="G18" s="3034">
        <f>ROUND(1-(1/(POWER(1+G24,E18))),4)</f>
        <v>0</v>
      </c>
      <c r="H18" s="3030" t="s">
        <v>3252</v>
      </c>
      <c r="I18" s="3034">
        <f>ROUND(1-(1/(POWER(1+G24,J24))),4)</f>
        <v>0.91279999999999994</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3248</v>
      </c>
      <c r="E19" s="3043"/>
      <c r="F19" s="3044" t="s">
        <v>3251</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56" t="s">
        <v>3253</v>
      </c>
      <c r="B20" s="159" t="s">
        <v>1994</v>
      </c>
      <c r="C20" s="3031">
        <f>ROUND(IF(F21="与级别开发程度一致",0,(G21-E21)/C21),0)</f>
        <v>0</v>
      </c>
      <c r="D20" s="3046" t="s">
        <v>1998</v>
      </c>
      <c r="E20" s="3047"/>
      <c r="F20" s="3462" t="s">
        <v>1995</v>
      </c>
      <c r="G20" s="3463"/>
      <c r="H20" s="3032" t="s">
        <v>3466</v>
      </c>
      <c r="I20" s="3032" t="s">
        <v>3467</v>
      </c>
      <c r="J20" s="3033" t="s">
        <v>3468</v>
      </c>
      <c r="K20" s="1888" t="s">
        <v>3469</v>
      </c>
      <c r="L20" s="1888" t="s">
        <v>3470</v>
      </c>
      <c r="M20" s="1888" t="s">
        <v>3473</v>
      </c>
      <c r="N20" s="1888" t="s">
        <v>3471</v>
      </c>
      <c r="O20" s="1889" t="s">
        <v>3472</v>
      </c>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57"/>
      <c r="B21" s="2001" t="s">
        <v>1997</v>
      </c>
      <c r="C21" s="2002">
        <f>IF(E3="M4科研用地",SUMPRODUCT((修正!A2:A7=E3)*(修正!B1:M1=G2)*(修正!B2:M7)),SUMPRODUCT((修正!A2:A7=E2)*(修正!B1:M1=G2)*(修正!B2:M7)))</f>
        <v>2</v>
      </c>
      <c r="D21" s="179" t="str">
        <f>IF(OR(G2="八级",G2="九级",G2="十级",G2="十一级",G2="十二级"),"五通一平","七通一平")</f>
        <v>七通一平</v>
      </c>
      <c r="E21" s="1992">
        <f>SUMPRODUCT((修正!B1:M1=G2)*(修正!B17:M17))</f>
        <v>315</v>
      </c>
      <c r="F21" s="1993" t="s">
        <v>3474</v>
      </c>
      <c r="G21" s="1994">
        <f>SUM(H21:O21)</f>
        <v>315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40</v>
      </c>
      <c r="O21" s="2004">
        <f>SUMPRODUCT((七通一平=O20)*(修正!B1:M1=G2)*(修正!B8:M16))</f>
        <v>15</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2</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16=YEAR(G23)&amp;"-"&amp;ROUNDUP(MONTH(G23)/3,0))*(地价!Y2:AD2=E2)*(地价!Y3:AD16)),IF(H23="地价指数",M24/M23,(1+I23)^O23))))),4)</f>
        <v>1.0827</v>
      </c>
      <c r="D23" s="1895" t="s">
        <v>2002</v>
      </c>
      <c r="E23" s="717">
        <v>44197</v>
      </c>
      <c r="F23" s="1895" t="s">
        <v>2003</v>
      </c>
      <c r="G23" s="718">
        <f>'数据-取费表'!B2</f>
        <v>45833</v>
      </c>
      <c r="H23" s="3048" t="s">
        <v>3255</v>
      </c>
      <c r="I23" s="3049" t="str">
        <f>IF(H23="季度增幅（自定义）",SUMIF(N25:N28,E2,O25:O28),"")</f>
        <v/>
      </c>
      <c r="J23" s="3141" t="s">
        <v>3254</v>
      </c>
      <c r="K23" s="1060"/>
      <c r="L23" s="1896" t="s">
        <v>2004</v>
      </c>
      <c r="M23" s="1240">
        <f>ROUND(SUMIF(地价!B2:G2,E2,地价!B16:G16),0)</f>
        <v>318</v>
      </c>
      <c r="N23" s="1897" t="s">
        <v>2005</v>
      </c>
      <c r="O23" s="719">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20">
        <f>ROUND(POWER(1+G24,J24-I24)*(POWER(1+G24,I24)-1)/(POWER(1+G24,J24)-1),4)</f>
        <v>0.86370000000000002</v>
      </c>
      <c r="D24" s="1901" t="s">
        <v>2007</v>
      </c>
      <c r="E24" s="1247">
        <f>存贷款利率!E27/100</f>
        <v>4.3499999999999997E-2</v>
      </c>
      <c r="F24" s="1901" t="s">
        <v>1999</v>
      </c>
      <c r="G24" s="724">
        <f>SUMIF(M30:Q30,E2,M33:Q33)</f>
        <v>0.05</v>
      </c>
      <c r="H24" s="1901" t="s">
        <v>2008</v>
      </c>
      <c r="I24" s="725">
        <f>SUMIF('数据-取费表'!C6:C15,E2,'数据-取费表'!F6:F15)/COUNTIF('数据-取费表'!C6:C15,E2)</f>
        <v>31.83</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3334</v>
      </c>
      <c r="C25" s="461">
        <f>IF(B25="容积率修正",IF(G3&lt;10,D26,J26),C27)</f>
        <v>1</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3256</v>
      </c>
      <c r="D26" s="1262">
        <f>IF(E26=G26,F26,IF(G3&lt;10,ROUND(F26+(H26-F26)*(G3-E26)/(G26-E26),4),"——"))</f>
        <v>1</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3257</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6">
        <f>SUMIF(A47:A101,E2,B47:B101)</f>
        <v>1.024</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1"/>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44</v>
      </c>
      <c r="D30" s="1924"/>
      <c r="E30" s="1841"/>
      <c r="F30" s="1925"/>
      <c r="G30" s="1841"/>
      <c r="H30" s="1841"/>
      <c r="I30" s="1841"/>
      <c r="J30" s="1926"/>
      <c r="K30" s="1055"/>
      <c r="L30" s="3055" t="s">
        <v>1936</v>
      </c>
      <c r="M30" s="3056" t="s">
        <v>1990</v>
      </c>
      <c r="N30" s="3056" t="s">
        <v>1991</v>
      </c>
      <c r="O30" s="3056" t="s">
        <v>1992</v>
      </c>
      <c r="P30" s="3056" t="s">
        <v>1993</v>
      </c>
      <c r="Q30" s="3059" t="s">
        <v>3261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2">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3256</v>
      </c>
      <c r="D33" s="1939">
        <f>'数据-基础表'!I13</f>
        <v>134.96</v>
      </c>
      <c r="E33" s="727">
        <f>ROUND(C33*D33/10000,0)</f>
        <v>44</v>
      </c>
      <c r="F33" s="3050" t="s">
        <v>3259</v>
      </c>
      <c r="G33" s="1940"/>
      <c r="H33" s="1940"/>
      <c r="I33" s="1940"/>
      <c r="J33" s="1941"/>
      <c r="K33" s="1055"/>
      <c r="L33" s="3053" t="s">
        <v>3262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488</v>
      </c>
      <c r="D34" s="1944"/>
      <c r="E34" s="727">
        <f>ROUND(IF(B25="楼层修正",SUM(V2:V16)*M40,C34*D34/10000),0)</f>
        <v>0</v>
      </c>
      <c r="F34" s="1945" t="s">
        <v>2032</v>
      </c>
      <c r="G34" s="1946"/>
      <c r="H34" s="1946"/>
      <c r="I34" s="1946"/>
      <c r="J34" s="1947"/>
      <c r="K34" s="1055"/>
      <c r="L34" s="3053" t="s">
        <v>3263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3264</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0"/>
      <c r="B37" s="1954" t="s">
        <v>2036</v>
      </c>
      <c r="C37" s="167">
        <f>ROUND(D5*C22*C23*C24*C28*F37,0)</f>
        <v>1953</v>
      </c>
      <c r="D37" s="1939"/>
      <c r="E37" s="163">
        <f>ROUND(C37*D37/10000,0)</f>
        <v>0</v>
      </c>
      <c r="F37" s="163">
        <f>SUMIF(修正!A57:A68,G2,修正!B57:B68)</f>
        <v>0.6</v>
      </c>
      <c r="G37" s="163">
        <f>ROUND(IF(E2="工业",C37*$M$42,C37*$M$41),0)</f>
        <v>293</v>
      </c>
      <c r="H37" s="163">
        <f>D37</f>
        <v>0</v>
      </c>
      <c r="I37" s="163">
        <f>ROUND(G37*H37/10000,0)</f>
        <v>0</v>
      </c>
      <c r="J37" s="2754"/>
      <c r="K37" s="3061" t="s">
        <v>3265</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1"/>
      <c r="B38" s="1883" t="s">
        <v>2037</v>
      </c>
      <c r="C38" s="167">
        <f>ROUND(D5*C22*C23*C24*C28*F38,0)</f>
        <v>977</v>
      </c>
      <c r="D38" s="1939"/>
      <c r="E38" s="163">
        <f t="shared" ref="E38:E42" si="4">ROUND(C38*D38/10000,0)</f>
        <v>0</v>
      </c>
      <c r="F38" s="163">
        <f>SUMIF(修正!A57:A68,G2,修正!C57:C68)</f>
        <v>0.3</v>
      </c>
      <c r="G38" s="163">
        <f>ROUND(IF(E2="工业",C38*$M$42,C38*$M$41),0)</f>
        <v>147</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1"/>
      <c r="B39" s="1883" t="s">
        <v>3258</v>
      </c>
      <c r="C39" s="167">
        <f>ROUND(D5*C22*C23*C24*C28*F39,0)</f>
        <v>814</v>
      </c>
      <c r="D39" s="1939"/>
      <c r="E39" s="163">
        <f t="shared" si="4"/>
        <v>0</v>
      </c>
      <c r="F39" s="163">
        <f>SUMIF(修正!A57:A68,G2,修正!D57:D68)</f>
        <v>0.25</v>
      </c>
      <c r="G39" s="163">
        <f>ROUND(IF(E2="工业",C39*$M$42,C39*$M$41),0)</f>
        <v>122</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814</v>
      </c>
      <c r="D40" s="1939"/>
      <c r="E40" s="163">
        <f t="shared" si="4"/>
        <v>0</v>
      </c>
      <c r="F40" s="167">
        <f>SUMIF(修正!A57:A68,G2,修正!E57:E68)</f>
        <v>0.25</v>
      </c>
      <c r="G40" s="163">
        <f>ROUND(IF(E2="工业",C40*$M$42,C40*$M$41),0)</f>
        <v>122</v>
      </c>
      <c r="H40" s="163">
        <f t="shared" si="5"/>
        <v>0</v>
      </c>
      <c r="I40" s="163">
        <f t="shared" si="6"/>
        <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2" t="s">
        <v>3266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v>
      </c>
      <c r="D44" s="163" t="s">
        <v>1999</v>
      </c>
      <c r="E44" s="1990">
        <f>G24</f>
        <v>0.05</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2">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3"/>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3268</v>
      </c>
      <c r="B52" s="1261">
        <f>估价对象房地状况!C19</f>
        <v>0</v>
      </c>
      <c r="C52" s="1886"/>
      <c r="D52" s="1001">
        <f t="shared" si="7"/>
        <v>0</v>
      </c>
      <c r="E52" s="703"/>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3"/>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3"/>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3"/>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3"/>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3"/>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4"/>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2">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3"/>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3268</v>
      </c>
      <c r="B63" s="1261">
        <f>估价对象房地状况!C19</f>
        <v>0</v>
      </c>
      <c r="C63" s="1886"/>
      <c r="D63" s="1001">
        <f t="shared" si="12"/>
        <v>0</v>
      </c>
      <c r="E63" s="703"/>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3"/>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3"/>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3"/>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3"/>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3"/>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4"/>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2">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5"/>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3268</v>
      </c>
      <c r="B74" s="1261">
        <f>估价对象房地状况!C19</f>
        <v>0</v>
      </c>
      <c r="C74" s="1886"/>
      <c r="D74" s="1001">
        <f t="shared" si="17"/>
        <v>0</v>
      </c>
      <c r="E74" s="705"/>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5"/>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5"/>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5"/>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5"/>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5"/>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6"/>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1.024</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t="s">
        <v>3433</v>
      </c>
      <c r="D83" s="1001">
        <f t="shared" ref="D83:D90" si="22">SUMIF($J$82:$N$82,C83,J83:N83)</f>
        <v>6.4999999999999997E-3</v>
      </c>
      <c r="E83" s="702">
        <f>ROUND(SUM(D83:D90),4)</f>
        <v>2.4E-2</v>
      </c>
      <c r="F83" s="1674">
        <f>IF(E2="工业",SUMIF(L1:L12,G2,N1:N12),"——")</f>
        <v>0.05</v>
      </c>
      <c r="G83" s="999">
        <f>H83</f>
        <v>6.4999999999999997E-3</v>
      </c>
      <c r="H83" s="1002">
        <f t="shared" ref="H83:H90" si="23">IFERROR(ROUNDDOWN($F$83*I83/2,4),"——")</f>
        <v>6.4999999999999997E-3</v>
      </c>
      <c r="I83" s="3068">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t="s">
        <v>3433</v>
      </c>
      <c r="D84" s="1001">
        <f t="shared" si="22"/>
        <v>7.4999999999999997E-3</v>
      </c>
      <c r="E84" s="705"/>
      <c r="F84" s="1674"/>
      <c r="G84" s="999">
        <f t="shared" ref="G84:G90" si="27">H84</f>
        <v>7.4999999999999997E-3</v>
      </c>
      <c r="H84" s="1002">
        <f t="shared" si="23"/>
        <v>7.4999999999999997E-3</v>
      </c>
      <c r="I84" s="3068">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70" t="s">
        <v>3269</v>
      </c>
      <c r="B85" s="1261">
        <f>估价对象房地状况!G17</f>
        <v>0</v>
      </c>
      <c r="C85" s="1886" t="s">
        <v>3433</v>
      </c>
      <c r="D85" s="1001">
        <f t="shared" si="22"/>
        <v>2.5000000000000001E-3</v>
      </c>
      <c r="E85" s="705"/>
      <c r="F85" s="1674"/>
      <c r="G85" s="999">
        <f t="shared" si="27"/>
        <v>2.5000000000000001E-3</v>
      </c>
      <c r="H85" s="1002">
        <f t="shared" si="23"/>
        <v>2.5000000000000001E-3</v>
      </c>
      <c r="I85" s="3068">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2067</v>
      </c>
      <c r="B86" s="1261">
        <f>估价对象房地状况!G22</f>
        <v>0</v>
      </c>
      <c r="C86" s="1886" t="s">
        <v>3475</v>
      </c>
      <c r="D86" s="1001">
        <f t="shared" si="22"/>
        <v>-1.1999999999999999E-3</v>
      </c>
      <c r="E86" s="705"/>
      <c r="F86" s="1674"/>
      <c r="G86" s="999">
        <f t="shared" si="27"/>
        <v>1.1999999999999999E-3</v>
      </c>
      <c r="H86" s="1002">
        <f t="shared" si="23"/>
        <v>1.1999999999999999E-3</v>
      </c>
      <c r="I86" s="3068">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5.5">
      <c r="A87" s="1969" t="s">
        <v>2059</v>
      </c>
      <c r="B87" s="1239" t="str">
        <f>估价对象房地状况!G19</f>
        <v>估价对象所在区域公共配套设施齐备情况</v>
      </c>
      <c r="C87" s="1886" t="s">
        <v>3434</v>
      </c>
      <c r="D87" s="1001">
        <f t="shared" si="22"/>
        <v>0</v>
      </c>
      <c r="E87" s="705"/>
      <c r="F87" s="1674"/>
      <c r="G87" s="999">
        <f t="shared" si="27"/>
        <v>1.5E-3</v>
      </c>
      <c r="H87" s="1002">
        <f t="shared" si="23"/>
        <v>1.5E-3</v>
      </c>
      <c r="I87" s="3068">
        <v>0.06</v>
      </c>
      <c r="J87" s="1000">
        <f t="shared" si="24"/>
        <v>3.0000000000000001E-3</v>
      </c>
      <c r="K87" s="1000">
        <f t="shared" si="25"/>
        <v>1.5E-3</v>
      </c>
      <c r="L87" s="1000">
        <v>0</v>
      </c>
      <c r="M87" s="1000">
        <f t="shared" si="26"/>
        <v>-1.5E-3</v>
      </c>
      <c r="N87" s="1000">
        <f t="shared" si="26"/>
        <v>-3.0000000000000001E-3</v>
      </c>
    </row>
    <row r="88" spans="1:37" ht="25.5">
      <c r="A88" s="1969" t="s">
        <v>2060</v>
      </c>
      <c r="B88" s="1239" t="str">
        <f>估价对象房地状况!G20</f>
        <v>估价对象所在区域基础设施水平</v>
      </c>
      <c r="C88" s="1886" t="s">
        <v>3476</v>
      </c>
      <c r="D88" s="1001">
        <f t="shared" si="22"/>
        <v>6.0000000000000001E-3</v>
      </c>
      <c r="E88" s="705"/>
      <c r="F88" s="1674"/>
      <c r="G88" s="999">
        <f t="shared" si="27"/>
        <v>3.0000000000000001E-3</v>
      </c>
      <c r="H88" s="1002">
        <f t="shared" si="23"/>
        <v>3.0000000000000001E-3</v>
      </c>
      <c r="I88" s="3068">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2057</v>
      </c>
      <c r="B89" s="1974" t="s">
        <v>2071</v>
      </c>
      <c r="C89" s="1886" t="s">
        <v>3433</v>
      </c>
      <c r="D89" s="1001">
        <f t="shared" si="22"/>
        <v>1.5E-3</v>
      </c>
      <c r="E89" s="705"/>
      <c r="F89" s="1674"/>
      <c r="G89" s="999">
        <f t="shared" si="27"/>
        <v>1.5E-3</v>
      </c>
      <c r="H89" s="1002">
        <f t="shared" si="23"/>
        <v>1.5E-3</v>
      </c>
      <c r="I89" s="3068">
        <v>0.06</v>
      </c>
      <c r="J89" s="1000">
        <f t="shared" si="24"/>
        <v>3.0000000000000001E-3</v>
      </c>
      <c r="K89" s="1000">
        <f t="shared" si="25"/>
        <v>1.5E-3</v>
      </c>
      <c r="L89" s="1000">
        <v>0</v>
      </c>
      <c r="M89" s="1000">
        <f t="shared" si="26"/>
        <v>-1.5E-3</v>
      </c>
      <c r="N89" s="1000">
        <f t="shared" si="26"/>
        <v>-3.0000000000000001E-3</v>
      </c>
    </row>
    <row r="90" spans="1:37" ht="39" thickBot="1">
      <c r="A90" s="1976" t="s">
        <v>2072</v>
      </c>
      <c r="B90" s="1981" t="str">
        <f>估价对象房地状况!G18</f>
        <v>该园区内是否有污染型企业，绿化情况，卫生条件，整体环境状况判断</v>
      </c>
      <c r="C90" s="1886" t="s">
        <v>3433</v>
      </c>
      <c r="D90" s="1001">
        <f t="shared" si="22"/>
        <v>1.1999999999999999E-3</v>
      </c>
      <c r="E90" s="706"/>
      <c r="F90" s="1674"/>
      <c r="G90" s="999">
        <f t="shared" si="27"/>
        <v>1.1999999999999999E-3</v>
      </c>
      <c r="H90" s="1002">
        <f t="shared" si="23"/>
        <v>1.1999999999999999E-3</v>
      </c>
      <c r="I90" s="3069">
        <v>0.05</v>
      </c>
      <c r="J90" s="1000">
        <f t="shared" si="24"/>
        <v>2.3999999999999998E-3</v>
      </c>
      <c r="K90" s="1000">
        <f t="shared" si="25"/>
        <v>1.1999999999999999E-3</v>
      </c>
      <c r="L90" s="1000">
        <v>0</v>
      </c>
      <c r="M90" s="1000">
        <f t="shared" si="26"/>
        <v>-1.1999999999999999E-3</v>
      </c>
      <c r="N90" s="1000">
        <f t="shared" si="26"/>
        <v>-2.3999999999999998E-3</v>
      </c>
    </row>
    <row r="91" spans="1:37" ht="15">
      <c r="A91" s="3078" t="s">
        <v>2611</v>
      </c>
      <c r="B91" s="3079">
        <f>1+E93</f>
        <v>1</v>
      </c>
      <c r="C91" s="3072"/>
      <c r="D91" s="3073"/>
      <c r="E91" s="1674"/>
      <c r="F91" s="1674"/>
      <c r="G91" s="3074"/>
      <c r="H91" s="3075"/>
      <c r="I91" s="3076"/>
      <c r="J91" s="3077"/>
      <c r="K91" s="3077"/>
      <c r="L91" s="3077"/>
      <c r="M91" s="3077"/>
      <c r="N91" s="3077"/>
    </row>
    <row r="92" spans="1:37" ht="24.75">
      <c r="A92" s="3080" t="s">
        <v>3270</v>
      </c>
      <c r="B92" s="2309"/>
      <c r="C92" s="2309" t="s">
        <v>3279</v>
      </c>
      <c r="D92" s="2309" t="s">
        <v>3280</v>
      </c>
      <c r="E92" s="3052" t="s">
        <v>3281</v>
      </c>
      <c r="F92" s="3082" t="s">
        <v>3282</v>
      </c>
      <c r="G92" s="2309" t="s">
        <v>3283</v>
      </c>
      <c r="H92" s="3089" t="s">
        <v>3286</v>
      </c>
      <c r="I92" s="2309" t="s">
        <v>3287</v>
      </c>
      <c r="J92" s="2149" t="s">
        <v>3288</v>
      </c>
      <c r="K92" s="2149" t="s">
        <v>3289</v>
      </c>
      <c r="L92" s="2149" t="s">
        <v>3290</v>
      </c>
      <c r="M92" s="2149" t="s">
        <v>3291</v>
      </c>
      <c r="N92" s="2149" t="s">
        <v>3292</v>
      </c>
    </row>
    <row r="93" spans="1:37" ht="24">
      <c r="A93" s="3070" t="s">
        <v>3271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38.25">
      <c r="A94" s="3080" t="s">
        <v>3272</v>
      </c>
      <c r="B94" s="3071" t="str">
        <f>估价对象房地状况!C18</f>
        <v>估价对象周边道路状况、公共交通通达情况、停车便捷程度，综合评价交通便捷度较好</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3268</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3273</v>
      </c>
      <c r="B96" s="3086" t="s">
        <v>3284</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3274</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3275</v>
      </c>
      <c r="B98" s="3087" t="s">
        <v>3285</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5.5">
      <c r="A99" s="3080" t="s">
        <v>3276</v>
      </c>
      <c r="B99" s="3071" t="str">
        <f>估价对象房地状况!C21</f>
        <v>估价对象所在区域公共配套设施齐备情况</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5.5">
      <c r="A100" s="3080" t="s">
        <v>3277</v>
      </c>
      <c r="B100" s="3071" t="str">
        <f>估价对象房地状况!C22</f>
        <v>估价对象所在区域基础设施水平</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6.25" thickBot="1">
      <c r="A101" s="3081" t="s">
        <v>3278</v>
      </c>
      <c r="B101" s="3088" t="str">
        <f>估价对象房地状况!C20</f>
        <v>区域自然环境：；人文环境；综合评价环境状况一般</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58" t="s">
        <v>3293</v>
      </c>
      <c r="B103" s="3458"/>
      <c r="C103" s="3458"/>
      <c r="D103" s="3458"/>
      <c r="E103" s="3458"/>
      <c r="F103" s="3458"/>
      <c r="G103" s="3458"/>
      <c r="H103" s="3458"/>
      <c r="I103" s="3458"/>
      <c r="J103" s="3458"/>
      <c r="K103" s="1666"/>
      <c r="L103" s="1666"/>
      <c r="M103" s="1666"/>
      <c r="N103" s="1666"/>
    </row>
    <row r="104" spans="1:14">
      <c r="A104" s="3459" t="s">
        <v>3294</v>
      </c>
      <c r="B104" s="3459" t="s">
        <v>3295</v>
      </c>
      <c r="C104" s="3090" t="s">
        <v>3296</v>
      </c>
      <c r="D104" s="3091"/>
      <c r="E104" s="3091"/>
      <c r="F104" s="3091"/>
      <c r="G104" s="3091"/>
      <c r="H104" s="3091"/>
      <c r="I104" s="3091"/>
      <c r="J104" s="3092"/>
      <c r="K104" s="3093"/>
      <c r="L104" s="3093"/>
      <c r="M104" s="3093"/>
      <c r="N104" s="3093"/>
    </row>
    <row r="105" spans="1:14">
      <c r="A105" s="3459"/>
      <c r="B105" s="3459"/>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445"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6"/>
      <c r="B111" s="3094" t="s">
        <v>3267</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47"/>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48" t="s">
        <v>3310</v>
      </c>
      <c r="B113" s="3448"/>
      <c r="C113" s="3448"/>
      <c r="D113" s="3448"/>
      <c r="E113" s="3448"/>
      <c r="F113" s="3448"/>
      <c r="G113" s="3448"/>
      <c r="H113" s="3448"/>
      <c r="I113" s="3448"/>
      <c r="J113" s="344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3311</v>
      </c>
      <c r="B116" s="3114">
        <f>G3</f>
        <v>2</v>
      </c>
      <c r="C116" s="3099" t="s">
        <v>3312</v>
      </c>
      <c r="D116" s="3100">
        <f>SUMPRODUCT((A118:A122=F116)*(B117:M117=H116)*B118:M122)</f>
        <v>0.62519999999999998</v>
      </c>
      <c r="E116" s="162" t="s">
        <v>3313</v>
      </c>
      <c r="F116" s="3101" t="str">
        <f>E2</f>
        <v>工业</v>
      </c>
      <c r="G116" s="162" t="s">
        <v>3314</v>
      </c>
      <c r="H116" s="3101" t="str">
        <f>G2</f>
        <v>七级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0.9748</v>
      </c>
      <c r="C118" s="3089">
        <f>B118</f>
        <v>0.9748</v>
      </c>
      <c r="D118" s="3089">
        <f>ROUND(0.949-0.014*B116,4)</f>
        <v>0.92100000000000004</v>
      </c>
      <c r="E118" s="3089">
        <f>D118</f>
        <v>0.92100000000000004</v>
      </c>
      <c r="F118" s="3089">
        <f>E118</f>
        <v>0.92100000000000004</v>
      </c>
      <c r="G118" s="3089">
        <f>F118</f>
        <v>0.92100000000000004</v>
      </c>
      <c r="H118" s="3089">
        <f>G118</f>
        <v>0.92100000000000004</v>
      </c>
      <c r="I118" s="3089">
        <f>ROUND(0.8486-0.018*B116,4)</f>
        <v>0.81259999999999999</v>
      </c>
      <c r="J118" s="3089">
        <f t="shared" ref="J118:M122" si="36">I118</f>
        <v>0.81259999999999999</v>
      </c>
      <c r="K118" s="3089">
        <f t="shared" si="36"/>
        <v>0.81259999999999999</v>
      </c>
      <c r="L118" s="3089">
        <f t="shared" si="36"/>
        <v>0.81259999999999999</v>
      </c>
      <c r="M118" s="3109">
        <f t="shared" si="36"/>
        <v>0.81259999999999999</v>
      </c>
      <c r="N118" s="3097"/>
    </row>
    <row r="119" spans="1:14">
      <c r="A119" s="3057" t="s">
        <v>3328</v>
      </c>
      <c r="B119" s="3089">
        <f>ROUND(0.993-0.0112*B116,4)</f>
        <v>0.97060000000000002</v>
      </c>
      <c r="C119" s="3089">
        <f>B119</f>
        <v>0.97060000000000002</v>
      </c>
      <c r="D119" s="3089">
        <f>ROUND(0.9415-0.0142*B116,4)</f>
        <v>0.91310000000000002</v>
      </c>
      <c r="E119" s="3089">
        <f t="shared" ref="E119:H120" si="37">D119</f>
        <v>0.91310000000000002</v>
      </c>
      <c r="F119" s="3089">
        <f t="shared" si="37"/>
        <v>0.91310000000000002</v>
      </c>
      <c r="G119" s="3089">
        <f t="shared" si="37"/>
        <v>0.91310000000000002</v>
      </c>
      <c r="H119" s="3089">
        <f t="shared" si="37"/>
        <v>0.91310000000000002</v>
      </c>
      <c r="I119" s="3089">
        <f>ROUND(0.838-0.0182*B116,4)</f>
        <v>0.80159999999999998</v>
      </c>
      <c r="J119" s="3089">
        <f t="shared" si="36"/>
        <v>0.80159999999999998</v>
      </c>
      <c r="K119" s="3089">
        <f t="shared" si="36"/>
        <v>0.80159999999999998</v>
      </c>
      <c r="L119" s="3089">
        <f t="shared" si="36"/>
        <v>0.80159999999999998</v>
      </c>
      <c r="M119" s="3109">
        <f t="shared" si="36"/>
        <v>0.80159999999999998</v>
      </c>
      <c r="N119" s="3097"/>
    </row>
    <row r="120" spans="1:14">
      <c r="A120" s="3057" t="s">
        <v>3329</v>
      </c>
      <c r="B120" s="3089">
        <f>ROUND(0.9448-0.0115*B116,4)</f>
        <v>0.92179999999999995</v>
      </c>
      <c r="C120" s="3089">
        <f>B120</f>
        <v>0.92179999999999995</v>
      </c>
      <c r="D120" s="3089">
        <f>ROUND(0.937-0.0145*B116,4)</f>
        <v>0.90800000000000003</v>
      </c>
      <c r="E120" s="3089">
        <f t="shared" si="37"/>
        <v>0.90800000000000003</v>
      </c>
      <c r="F120" s="3089">
        <f t="shared" si="37"/>
        <v>0.90800000000000003</v>
      </c>
      <c r="G120" s="3089">
        <f t="shared" si="37"/>
        <v>0.90800000000000003</v>
      </c>
      <c r="H120" s="3089">
        <f t="shared" si="37"/>
        <v>0.90800000000000003</v>
      </c>
      <c r="I120" s="3089">
        <f>ROUND(0.7965-0.0185*B116,4)</f>
        <v>0.75949999999999995</v>
      </c>
      <c r="J120" s="3089">
        <f t="shared" si="36"/>
        <v>0.75949999999999995</v>
      </c>
      <c r="K120" s="3089">
        <f t="shared" si="36"/>
        <v>0.75949999999999995</v>
      </c>
      <c r="L120" s="3089">
        <f t="shared" si="36"/>
        <v>0.75949999999999995</v>
      </c>
      <c r="M120" s="3109">
        <f t="shared" si="36"/>
        <v>0.75949999999999995</v>
      </c>
      <c r="N120" s="3097"/>
    </row>
    <row r="121" spans="1:14" ht="13.5" thickBot="1">
      <c r="A121" s="3110" t="s">
        <v>3330</v>
      </c>
      <c r="B121" s="3111">
        <f>ROUND(0.7836-0.012*B116,4)</f>
        <v>0.75960000000000005</v>
      </c>
      <c r="C121" s="3111">
        <f>B121</f>
        <v>0.75960000000000005</v>
      </c>
      <c r="D121" s="3111">
        <f>ROUND(0.753-0.015*B116,4)</f>
        <v>0.72299999999999998</v>
      </c>
      <c r="E121" s="3111">
        <f>D121</f>
        <v>0.72299999999999998</v>
      </c>
      <c r="F121" s="3111">
        <f>E121</f>
        <v>0.72299999999999998</v>
      </c>
      <c r="G121" s="3111">
        <f>ROUND(0.6612-0.018*B116,4)</f>
        <v>0.62519999999999998</v>
      </c>
      <c r="H121" s="3111">
        <f>G121</f>
        <v>0.62519999999999998</v>
      </c>
      <c r="I121" s="3111">
        <f>ROUND(0.5905-0.019*B116,4)</f>
        <v>0.55249999999999999</v>
      </c>
      <c r="J121" s="3111">
        <f t="shared" si="36"/>
        <v>0.55249999999999999</v>
      </c>
      <c r="K121" s="3111">
        <f t="shared" si="36"/>
        <v>0.55249999999999999</v>
      </c>
      <c r="L121" s="3111">
        <f t="shared" si="36"/>
        <v>0.55249999999999999</v>
      </c>
      <c r="M121" s="3112">
        <f t="shared" si="36"/>
        <v>0.55249999999999999</v>
      </c>
      <c r="N121" s="3097"/>
    </row>
    <row r="122" spans="1:14">
      <c r="A122" s="3113" t="s">
        <v>2611</v>
      </c>
      <c r="B122" s="3089">
        <f>ROUND(0.9404-0.0106*B116,4)</f>
        <v>0.91920000000000002</v>
      </c>
      <c r="C122" s="3089">
        <f>B122</f>
        <v>0.91920000000000002</v>
      </c>
      <c r="D122" s="3089">
        <f>ROUND(0.8955-0.0135*B116,4)</f>
        <v>0.86850000000000005</v>
      </c>
      <c r="E122" s="3089">
        <f t="shared" ref="E122:H122" si="38">D122</f>
        <v>0.86850000000000005</v>
      </c>
      <c r="F122" s="3089">
        <f t="shared" si="38"/>
        <v>0.86850000000000005</v>
      </c>
      <c r="G122" s="3089">
        <f t="shared" si="38"/>
        <v>0.86850000000000005</v>
      </c>
      <c r="H122" s="3089">
        <f t="shared" si="38"/>
        <v>0.86850000000000005</v>
      </c>
      <c r="I122" s="3089">
        <f>ROUND(0.7632-0.0166*B116,4)</f>
        <v>0.73</v>
      </c>
      <c r="J122" s="3089">
        <f t="shared" si="36"/>
        <v>0.73</v>
      </c>
      <c r="K122" s="3089">
        <f t="shared" si="36"/>
        <v>0.73</v>
      </c>
      <c r="L122" s="3089">
        <f t="shared" si="36"/>
        <v>0.73</v>
      </c>
      <c r="M122" s="3109">
        <f t="shared" si="36"/>
        <v>0.73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ht="38.25">
      <c r="A2" s="930"/>
      <c r="B2" s="622" t="s">
        <v>2086</v>
      </c>
      <c r="C2" s="14" t="str">
        <f t="shared" ref="C2:L2" si="0">C3&amp;"(含)"&amp;"-"&amp;D3</f>
        <v>0(含)-200</v>
      </c>
      <c r="D2" s="623" t="str">
        <f t="shared" si="0"/>
        <v>200(含)-500</v>
      </c>
      <c r="E2" s="623" t="str">
        <f t="shared" si="0"/>
        <v>500(含)-1000</v>
      </c>
      <c r="F2" s="623" t="str">
        <f t="shared" si="0"/>
        <v>1000(含)-1500</v>
      </c>
      <c r="G2" s="623" t="str">
        <f t="shared" si="0"/>
        <v>1500(含)-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200</v>
      </c>
      <c r="E3" s="627">
        <f>'比较法-办公'!E104</f>
        <v>500</v>
      </c>
      <c r="F3" s="627">
        <f>'比较法-办公'!F104</f>
        <v>1000</v>
      </c>
      <c r="G3" s="627">
        <f>'比较法-办公'!G104</f>
        <v>1500</v>
      </c>
      <c r="H3" s="627"/>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'比较法-办公'!C105</f>
        <v>100</v>
      </c>
      <c r="D4" s="935">
        <f>'比较法-办公'!D105</f>
        <v>99</v>
      </c>
      <c r="E4" s="935">
        <f>'比较法-办公'!E105</f>
        <v>98</v>
      </c>
      <c r="F4" s="935">
        <f>'比较法-办公'!F105</f>
        <v>97</v>
      </c>
      <c r="G4" s="935">
        <f>'比较法-办公'!G105</f>
        <v>96</v>
      </c>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3159" t="str">
        <f>'比较法-办公'!C89</f>
        <v>高区</v>
      </c>
      <c r="D17" s="3159" t="str">
        <f>'比较法-办公'!D89</f>
        <v>中区</v>
      </c>
      <c r="E17" s="3159" t="str">
        <f>'比较法-办公'!E89</f>
        <v>低区</v>
      </c>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f>'比较法-办公'!C90</f>
        <v>100</v>
      </c>
      <c r="D18" s="963">
        <f>'比较法-办公'!D90</f>
        <v>97</v>
      </c>
      <c r="E18" s="963">
        <f>'比较法-办公'!E90</f>
        <v>94</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t="e">
        <f ca="1">IF(D20="——",S22,S22-F20)</f>
        <v>#REF!</v>
      </c>
      <c r="C20" s="151"/>
      <c r="D20" s="1988" t="s">
        <v>43</v>
      </c>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t="e">
        <f>SUM(B24:B10000)</f>
        <v>#REF!</v>
      </c>
      <c r="C22" s="3464" t="s">
        <v>27</v>
      </c>
      <c r="D22" s="3465"/>
      <c r="E22" s="3465"/>
      <c r="F22" s="3465"/>
      <c r="G22" s="3465"/>
      <c r="H22" s="3465"/>
      <c r="I22" s="3465"/>
      <c r="J22" s="3465"/>
      <c r="K22" s="3465"/>
      <c r="L22" s="3465"/>
      <c r="M22" s="3465"/>
      <c r="N22" s="3465"/>
      <c r="O22" s="3465"/>
      <c r="P22" s="3465"/>
      <c r="Q22" s="3466"/>
      <c r="R22" s="21" t="e">
        <f ca="1">ROUND(S22*10000/B22,0)</f>
        <v>#REF!</v>
      </c>
      <c r="S22" s="21" t="e">
        <f ca="1">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501</v>
      </c>
      <c r="B24" s="633" t="e">
        <f>#REF!</f>
        <v>#REF!</v>
      </c>
      <c r="C24" s="2570">
        <v>1</v>
      </c>
      <c r="D24" s="2571"/>
      <c r="E24" s="2570">
        <v>1</v>
      </c>
      <c r="F24" s="2571"/>
      <c r="G24" s="2570">
        <v>1</v>
      </c>
      <c r="H24" s="2571"/>
      <c r="I24" s="2570">
        <v>1</v>
      </c>
      <c r="J24" s="2571"/>
      <c r="K24" s="2570">
        <v>1</v>
      </c>
      <c r="L24" s="2571"/>
      <c r="M24" s="2570">
        <v>1</v>
      </c>
      <c r="N24" s="2571"/>
      <c r="O24" s="2570">
        <v>1</v>
      </c>
      <c r="P24" s="2571" t="s">
        <v>3448</v>
      </c>
      <c r="Q24" s="2570">
        <v>1</v>
      </c>
      <c r="R24" s="633">
        <f ca="1">结果表!G20</f>
        <v>12798</v>
      </c>
      <c r="S24" s="634" t="e">
        <f t="shared" ref="S24:S54" ca="1" si="11">ROUND(R24*B24/10000,0)</f>
        <v>#REF!</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1202</v>
      </c>
      <c r="B25" s="52" t="e">
        <f>#REF!</f>
        <v>#REF!</v>
      </c>
      <c r="C25" s="21" t="e">
        <f>IF(B25="",1,(LOOKUP(B25,$3:$3,$4:$4)-LOOKUP($B$24,$3:$3,$4:$4)+100)/100)</f>
        <v>#REF!</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t="s">
        <v>3446</v>
      </c>
      <c r="Q25" s="21">
        <f>(SUMIF($17:$17,P25,$18:$18)-SUMIF($17:$17,$P$24,$18:$18)+100)/100</f>
        <v>1.03</v>
      </c>
      <c r="R25" s="21" t="e">
        <f>IF(B25="",0,ROUND($R$24*C25*E25*G25*I25*K25*M25*O25*Q25,0))</f>
        <v>#REF!</v>
      </c>
      <c r="S25" s="308" t="e">
        <f t="shared" si="11"/>
        <v>#REF!</v>
      </c>
    </row>
    <row r="26" spans="1:45">
      <c r="A26" s="142">
        <v>101</v>
      </c>
      <c r="B26" s="52" t="e">
        <f>#REF!</f>
        <v>#REF!</v>
      </c>
      <c r="C26" s="21" t="e">
        <f t="shared" ref="C26:C89" si="12">IF(B26="",1,(LOOKUP(B26,$3:$3,$4:$4)-LOOKUP($B$24,$3:$3,$4:$4)+100)/100)</f>
        <v>#REF!</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t="s">
        <v>3450</v>
      </c>
      <c r="Q26" s="21">
        <f t="shared" ref="Q26:Q89" si="19">(SUMIF($17:$17,P26,$18:$18)-SUMIF($17:$17,$P$24,$18:$18)+100)/100</f>
        <v>0.97</v>
      </c>
      <c r="R26" s="21" t="e">
        <f t="shared" ref="R26:R89" si="20">IF(B26="",0,ROUND($R$24*C26*E26*G26*I26*K26*M26*O26*Q26,0))</f>
        <v>#REF!</v>
      </c>
      <c r="S26" s="308" t="e">
        <f t="shared" si="11"/>
        <v>#REF!</v>
      </c>
    </row>
    <row r="27" spans="1:45">
      <c r="A27" s="142">
        <v>201</v>
      </c>
      <c r="B27" s="52" t="e">
        <f>#REF!</f>
        <v>#REF!</v>
      </c>
      <c r="C27" s="21" t="e">
        <f t="shared" si="12"/>
        <v>#REF!</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t="s">
        <v>3450</v>
      </c>
      <c r="Q27" s="21">
        <f t="shared" si="19"/>
        <v>0.97</v>
      </c>
      <c r="R27" s="21" t="e">
        <f t="shared" si="20"/>
        <v>#REF!</v>
      </c>
      <c r="S27" s="308" t="e">
        <f t="shared" si="11"/>
        <v>#REF!</v>
      </c>
    </row>
    <row r="28" spans="1:45">
      <c r="A28" s="142">
        <v>301</v>
      </c>
      <c r="B28" s="52" t="e">
        <f>#REF!</f>
        <v>#REF!</v>
      </c>
      <c r="C28" s="21" t="e">
        <f t="shared" si="12"/>
        <v>#REF!</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t="s">
        <v>3450</v>
      </c>
      <c r="Q28" s="21">
        <f t="shared" si="19"/>
        <v>0.97</v>
      </c>
      <c r="R28" s="21" t="e">
        <f t="shared" si="20"/>
        <v>#REF!</v>
      </c>
      <c r="S28" s="308" t="e">
        <f t="shared" si="11"/>
        <v>#REF!</v>
      </c>
    </row>
    <row r="29" spans="1:45">
      <c r="A29" s="142">
        <v>401</v>
      </c>
      <c r="B29" s="52" t="e">
        <f>#REF!</f>
        <v>#REF!</v>
      </c>
      <c r="C29" s="21" t="e">
        <f t="shared" si="12"/>
        <v>#REF!</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t="s">
        <v>3450</v>
      </c>
      <c r="Q29" s="21">
        <f t="shared" si="19"/>
        <v>0.97</v>
      </c>
      <c r="R29" s="21" t="e">
        <f t="shared" si="20"/>
        <v>#REF!</v>
      </c>
      <c r="S29" s="308" t="e">
        <f t="shared" si="11"/>
        <v>#REF!</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0.03</v>
      </c>
      <c r="R30" s="21">
        <f t="shared" si="20"/>
        <v>0</v>
      </c>
      <c r="S30" s="308">
        <f t="shared" si="11"/>
        <v>0</v>
      </c>
    </row>
    <row r="31" spans="1:45">
      <c r="A31" s="142">
        <v>601</v>
      </c>
      <c r="B31" s="52" t="e">
        <f>#REF!</f>
        <v>#REF!</v>
      </c>
      <c r="C31" s="21" t="e">
        <f t="shared" si="12"/>
        <v>#REF!</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t="s">
        <v>3448</v>
      </c>
      <c r="Q31" s="21">
        <f t="shared" si="19"/>
        <v>1</v>
      </c>
      <c r="R31" s="21" t="e">
        <f t="shared" si="20"/>
        <v>#REF!</v>
      </c>
      <c r="S31" s="308" t="e">
        <f t="shared" si="11"/>
        <v>#REF!</v>
      </c>
    </row>
    <row r="32" spans="1:45">
      <c r="A32" s="142">
        <v>701</v>
      </c>
      <c r="B32" s="52" t="e">
        <f>#REF!</f>
        <v>#REF!</v>
      </c>
      <c r="C32" s="21" t="e">
        <f t="shared" si="12"/>
        <v>#REF!</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t="s">
        <v>3448</v>
      </c>
      <c r="Q32" s="21">
        <f t="shared" si="19"/>
        <v>1</v>
      </c>
      <c r="R32" s="21" t="e">
        <f t="shared" si="20"/>
        <v>#REF!</v>
      </c>
      <c r="S32" s="308" t="e">
        <f t="shared" si="11"/>
        <v>#REF!</v>
      </c>
    </row>
    <row r="33" spans="1:19">
      <c r="A33" s="142">
        <v>801</v>
      </c>
      <c r="B33" s="52" t="e">
        <f>#REF!</f>
        <v>#REF!</v>
      </c>
      <c r="C33" s="21" t="e">
        <f t="shared" si="12"/>
        <v>#REF!</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t="s">
        <v>3448</v>
      </c>
      <c r="Q33" s="21">
        <f t="shared" si="19"/>
        <v>1</v>
      </c>
      <c r="R33" s="21" t="e">
        <f t="shared" si="20"/>
        <v>#REF!</v>
      </c>
      <c r="S33" s="308" t="e">
        <f t="shared" si="11"/>
        <v>#REF!</v>
      </c>
    </row>
    <row r="34" spans="1:19">
      <c r="A34" s="142">
        <v>901</v>
      </c>
      <c r="B34" s="52" t="e">
        <f>#REF!</f>
        <v>#REF!</v>
      </c>
      <c r="C34" s="21" t="e">
        <f t="shared" si="12"/>
        <v>#REF!</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t="s">
        <v>3446</v>
      </c>
      <c r="Q34" s="21">
        <f t="shared" si="19"/>
        <v>1.03</v>
      </c>
      <c r="R34" s="21" t="e">
        <f t="shared" si="20"/>
        <v>#REF!</v>
      </c>
      <c r="S34" s="308" t="e">
        <f t="shared" si="11"/>
        <v>#REF!</v>
      </c>
    </row>
    <row r="35" spans="1:19">
      <c r="A35" s="142">
        <v>1001</v>
      </c>
      <c r="B35" s="52" t="e">
        <f>#REF!</f>
        <v>#REF!</v>
      </c>
      <c r="C35" s="21" t="e">
        <f t="shared" si="12"/>
        <v>#REF!</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t="s">
        <v>3446</v>
      </c>
      <c r="Q35" s="21">
        <f t="shared" si="19"/>
        <v>1.03</v>
      </c>
      <c r="R35" s="21" t="e">
        <f t="shared" si="20"/>
        <v>#REF!</v>
      </c>
      <c r="S35" s="308" t="e">
        <f t="shared" si="11"/>
        <v>#REF!</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0.03</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0.03</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0.03</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0.03</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0.03</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0.03</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0.03</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0.03</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0.03</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0.03</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0.03</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0.03</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0.03</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0.03</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0.03</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0.03</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0.03</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0.03</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0.03</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0.03</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0.03</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0.03</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0.03</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0.03</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0.03</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0.03</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0.03</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0.03</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0.03</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0.03</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0.03</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0.03</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0.03</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0.03</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0.03</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0.03</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0.03</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0.03</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0.03</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0.03</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0.03</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0.03</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0.03</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0.03</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0.03</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0.03</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0.03</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0.03</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0.03</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0.03</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0.03</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0.03</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0.03</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0.03</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0.03</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0.03</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0.03</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0.03</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0.03</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0.03</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0.03</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0.03</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0.03</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0.03</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0.03</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0.03</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0.03</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0.03</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0.03</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0.03</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0.03</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0.03</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0.03</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0.03</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0.03</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0.03</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0.03</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0.03</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0.03</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0.03</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0.03</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0.03</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0.03</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0.03</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0.03</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0.03</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0.03</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0.03</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0.03</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0.03</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0.03</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0.03</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0.03</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0.03</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0.03</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0.03</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0.03</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0.03</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0.03</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0.03</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0.03</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0.03</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0.03</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0.03</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0.03</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0.03</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0.03</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0.03</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0.03</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0.03</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0.03</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0.03</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0.03</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0.03</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0.03</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0.03</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0.03</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0.03</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0.03</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0.03</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0.03</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0.03</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0.03</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0.03</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0.03</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0.03</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0.03</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0.03</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0.03</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0.03</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0.03</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0.03</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0.03</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0.03</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0.03</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0.03</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0.03</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0.03</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0.03</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0.03</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0.03</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0.03</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0.03</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0.03</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0.03</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0.03</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0.03</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0.03</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0.03</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0.03</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0.03</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0.03</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0.03</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0.03</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0.03</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0.03</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0.03</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0.03</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0.03</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0.03</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0.03</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0.03</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0.03</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0.03</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0.03</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0.03</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0.03</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0.03</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0.03</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0.03</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0.03</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0.03</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0.03</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0.03</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0.03</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0.03</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0.03</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0.03</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0.03</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0.03</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0.03</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0.03</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0.03</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0.03</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0.03</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0.03</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0.03</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0.03</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0.03</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0.03</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0.03</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0.03</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0.03</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0.03</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0.03</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0.03</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0.03</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0.03</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0.03</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0.03</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0.03</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0.03</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0.03</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0.03</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0.03</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0.03</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0.03</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0.03</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0.03</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0.03</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0.03</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0.03</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0.03</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0.03</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0.03</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0.03</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0.03</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0.03</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0.03</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0.03</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0.03</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0.03</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0.03</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0.03</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0.03</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0.03</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0.03</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0.03</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0.03</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0.03</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0.03</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0.03</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0.03</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0.03</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0.03</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0.03</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0.03</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0.03</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0.03</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0.03</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0.03</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0.03</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0.03</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0.03</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0.03</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0.03</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0.03</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0.03</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0.03</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0.03</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0.03</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0.03</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0.03</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0.03</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0.03</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0.03</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0.03</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0.03</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0.03</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0.03</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0.03</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0.03</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0.03</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0.03</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0.03</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0.03</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0.03</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0.03</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0.03</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0.03</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0.03</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0.03</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0.03</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0.03</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0.03</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0.03</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0.03</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0.03</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0.03</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0.03</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0.03</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0.03</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0.03</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0.03</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0.03</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0.03</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0.03</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0.03</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0.03</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0.03</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0.03</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0.03</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0.03</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0.03</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0.03</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0.03</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0.03</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0.03</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0.03</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0.03</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0.03</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0.03</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0.03</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0.03</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0.03</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0.03</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0.03</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0.03</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0.03</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0.03</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0.03</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0.03</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0.03</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0.03</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0.03</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0.03</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0.03</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0.03</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0.03</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0.03</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0.03</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0.03</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0.03</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0.03</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0.03</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0.03</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0.03</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0.03</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0.03</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0.03</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0.03</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0.03</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0.03</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0.03</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0.03</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0.03</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0.03</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0.03</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0.03</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0.03</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0.03</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0.03</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0.03</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0.03</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0.03</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0.03</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0.03</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0.03</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0.03</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0.03</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0.03</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0.03</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0.03</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0.03</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0.03</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0.03</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0.03</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0.03</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0.03</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0.03</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0.03</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0.03</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0.03</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0.03</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0.03</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0.03</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0.03</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0.03</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0.03</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0.03</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0.03</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0.03</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0.03</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0.03</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0.03</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0.03</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0.03</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0.03</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0.03</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0.03</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0.03</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0.03</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0.03</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0.03</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0.03</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0.03</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0.03</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0.03</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0.03</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0.03</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0.03</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0.03</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0.03</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0.03</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0.03</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0.03</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0.03</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0.03</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0.03</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0.03</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0.03</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0.03</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0.03</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0.03</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0.03</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0.03</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0.03</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0.03</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0.03</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0.03</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0.03</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0.03</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0.03</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0.03</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0.03</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0.03</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0.03</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0.03</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0.03</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0.03</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0.03</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0.03</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0.03</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0.03</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0.03</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0.03</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0.03</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0.03</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0.03</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0.03</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0.03</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0.03</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0.03</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0.03</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0.03</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0.03</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0.03</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0.03</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0.03</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0.03</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0.03</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0.03</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0.03</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0.03</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0.03</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0.03</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0.03</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0.03</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0.03</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0.03</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0.03</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0.03</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0.03</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0.03</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0.03</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0.03</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0.03</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0.03</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0.03</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0.03</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0.03</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0.03</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0.03</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0.03</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0.03</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0.03</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0.03</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0.03</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0.03</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0.03</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0.03</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0.03</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0.03</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0.03</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0.03</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0.03</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0.03</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0.03</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0.03</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0.03</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0.03</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0.03</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0.03</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0.03</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0.03</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0.03</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0.03</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0.03</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0.03</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44</v>
      </c>
      <c r="C2" s="1983" t="s">
        <v>2074</v>
      </c>
      <c r="D2" s="1983" t="s">
        <v>2075</v>
      </c>
      <c r="E2" s="2397">
        <f ca="1">SUMIF(E6:E13,"&lt;&gt;#ref!",E6:E13)</f>
        <v>134.96</v>
      </c>
      <c r="F2" s="2544"/>
      <c r="G2" s="2544"/>
      <c r="H2" s="2544"/>
      <c r="I2" s="2544"/>
      <c r="J2" s="2544"/>
      <c r="K2" s="2544"/>
      <c r="L2" s="2544"/>
      <c r="M2" s="2544"/>
      <c r="N2" s="2544"/>
      <c r="O2" s="2544"/>
      <c r="P2" s="2544"/>
    </row>
    <row r="3" spans="1:16" ht="15.75">
      <c r="A3" s="1983" t="s">
        <v>2076</v>
      </c>
      <c r="B3" s="2387">
        <f ca="1">ROUND(B2*10000/E2,0)</f>
        <v>3260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44</v>
      </c>
      <c r="C6" s="1983" t="s">
        <v>2074</v>
      </c>
      <c r="D6" s="2544"/>
      <c r="E6" s="2397">
        <f ca="1">SUMIF(INDIRECT("'"&amp;A6&amp;"'"&amp;"!C:C"),"建筑面积",INDIRECT("'"&amp;A6&amp;"'"&amp;"!D:D"))</f>
        <v>134.96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79" t="s">
        <v>2606</v>
      </c>
      <c r="B20" s="3474" t="s">
        <v>2627</v>
      </c>
      <c r="C20" s="2842" t="s">
        <v>2438</v>
      </c>
      <c r="D20" s="2843"/>
      <c r="E20" s="2844">
        <v>1</v>
      </c>
      <c r="F20" s="2845" t="s">
        <v>2439</v>
      </c>
      <c r="G20" s="2845"/>
    </row>
    <row r="21" spans="1:13" ht="19.5" customHeight="1">
      <c r="A21" s="3480"/>
      <c r="B21" s="3473"/>
      <c r="C21" s="2846" t="s">
        <v>2440</v>
      </c>
      <c r="D21" s="2847"/>
      <c r="E21" s="2848">
        <v>1</v>
      </c>
      <c r="F21" s="2845" t="s">
        <v>2441</v>
      </c>
      <c r="G21" s="2845"/>
    </row>
    <row r="22" spans="1:13" ht="19.5" customHeight="1">
      <c r="A22" s="3480"/>
      <c r="B22" s="3473"/>
      <c r="C22" s="2846" t="s">
        <v>2442</v>
      </c>
      <c r="D22" s="2847"/>
      <c r="E22" s="2848">
        <v>0.9</v>
      </c>
      <c r="F22" s="2845" t="s">
        <v>2443</v>
      </c>
      <c r="G22" s="2845"/>
    </row>
    <row r="23" spans="1:13" ht="19.5" customHeight="1">
      <c r="A23" s="3480"/>
      <c r="B23" s="3473"/>
      <c r="C23" s="2846" t="s">
        <v>2444</v>
      </c>
      <c r="D23" s="2847"/>
      <c r="E23" s="2848">
        <v>0.9</v>
      </c>
      <c r="F23" s="2845" t="s">
        <v>2445</v>
      </c>
      <c r="G23" s="2845"/>
    </row>
    <row r="24" spans="1:13" ht="19.5" customHeight="1">
      <c r="A24" s="3480"/>
      <c r="B24" s="3473"/>
      <c r="C24" s="2846" t="s">
        <v>2446</v>
      </c>
      <c r="D24" s="2847"/>
      <c r="E24" s="2848">
        <v>0.8</v>
      </c>
      <c r="F24" s="2845" t="s">
        <v>2447</v>
      </c>
      <c r="G24" s="2845"/>
    </row>
    <row r="25" spans="1:13" ht="19.5" customHeight="1" thickBot="1">
      <c r="A25" s="3481"/>
      <c r="B25" s="3475"/>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76" t="s">
        <v>2630</v>
      </c>
      <c r="B27" s="3474" t="s">
        <v>2611</v>
      </c>
      <c r="C27" s="2842" t="s">
        <v>2451</v>
      </c>
      <c r="D27" s="2843"/>
      <c r="E27" s="2844">
        <v>1</v>
      </c>
      <c r="F27" s="2845" t="s">
        <v>2452</v>
      </c>
      <c r="G27" s="2845"/>
    </row>
    <row r="28" spans="1:13" ht="19.5" customHeight="1">
      <c r="A28" s="3477"/>
      <c r="B28" s="3473"/>
      <c r="C28" s="2846" t="s">
        <v>2453</v>
      </c>
      <c r="D28" s="2847"/>
      <c r="E28" s="2848">
        <v>1</v>
      </c>
      <c r="F28" s="2845" t="s">
        <v>2454</v>
      </c>
      <c r="G28" s="2845"/>
    </row>
    <row r="29" spans="1:13" ht="19.5" customHeight="1">
      <c r="A29" s="3477"/>
      <c r="B29" s="3473"/>
      <c r="C29" s="2846" t="s">
        <v>2455</v>
      </c>
      <c r="D29" s="2847"/>
      <c r="E29" s="2848">
        <v>0.8</v>
      </c>
      <c r="F29" s="2845" t="s">
        <v>2456</v>
      </c>
      <c r="G29" s="2845"/>
    </row>
    <row r="30" spans="1:13" ht="19.5" customHeight="1">
      <c r="A30" s="3477"/>
      <c r="B30" s="3473"/>
      <c r="C30" s="2846" t="s">
        <v>2457</v>
      </c>
      <c r="D30" s="2847"/>
      <c r="E30" s="2848">
        <v>0.8</v>
      </c>
      <c r="F30" s="2845" t="s">
        <v>2458</v>
      </c>
      <c r="G30" s="2845"/>
    </row>
    <row r="31" spans="1:13" ht="19.5" customHeight="1">
      <c r="A31" s="3477"/>
      <c r="B31" s="3473"/>
      <c r="C31" s="2846" t="s">
        <v>2459</v>
      </c>
      <c r="D31" s="2847"/>
      <c r="E31" s="2848">
        <v>0.8</v>
      </c>
      <c r="F31" s="2845" t="s">
        <v>2460</v>
      </c>
      <c r="G31" s="2845"/>
    </row>
    <row r="32" spans="1:13" ht="19.5" customHeight="1">
      <c r="A32" s="3477"/>
      <c r="B32" s="3473"/>
      <c r="C32" s="2846" t="s">
        <v>2461</v>
      </c>
      <c r="D32" s="2847"/>
      <c r="E32" s="2848">
        <v>0.7</v>
      </c>
      <c r="F32" s="2845" t="s">
        <v>2462</v>
      </c>
      <c r="G32" s="2845"/>
    </row>
    <row r="33" spans="1:7" ht="19.5" customHeight="1">
      <c r="A33" s="3477"/>
      <c r="B33" s="3473"/>
      <c r="C33" s="2846" t="s">
        <v>2463</v>
      </c>
      <c r="D33" s="2847"/>
      <c r="E33" s="2848">
        <v>0.8</v>
      </c>
      <c r="F33" s="2845" t="s">
        <v>2464</v>
      </c>
      <c r="G33" s="2845"/>
    </row>
    <row r="34" spans="1:7" ht="19.5" customHeight="1">
      <c r="A34" s="3477"/>
      <c r="B34" s="3473"/>
      <c r="C34" s="2846" t="s">
        <v>2465</v>
      </c>
      <c r="D34" s="2847"/>
      <c r="E34" s="2848">
        <v>0.6</v>
      </c>
      <c r="F34" s="2845" t="s">
        <v>2466</v>
      </c>
      <c r="G34" s="2845"/>
    </row>
    <row r="35" spans="1:7" ht="19.5" customHeight="1">
      <c r="A35" s="3477"/>
      <c r="B35" s="3473"/>
      <c r="C35" s="2846" t="s">
        <v>2467</v>
      </c>
      <c r="D35" s="2847"/>
      <c r="E35" s="2848">
        <v>0.2</v>
      </c>
      <c r="F35" s="2845" t="s">
        <v>2468</v>
      </c>
      <c r="G35" s="2845"/>
    </row>
    <row r="36" spans="1:7" ht="19.5" customHeight="1">
      <c r="A36" s="3477"/>
      <c r="B36" s="3473"/>
      <c r="C36" s="2846" t="s">
        <v>2469</v>
      </c>
      <c r="D36" s="2847"/>
      <c r="E36" s="2848">
        <v>0.2</v>
      </c>
      <c r="F36" s="2845" t="s">
        <v>2470</v>
      </c>
      <c r="G36" s="2845"/>
    </row>
    <row r="37" spans="1:7" ht="19.5" customHeight="1">
      <c r="A37" s="3477"/>
      <c r="B37" s="3471" t="s">
        <v>2631</v>
      </c>
      <c r="C37" s="2846" t="s">
        <v>2471</v>
      </c>
      <c r="D37" s="2847"/>
      <c r="E37" s="2848">
        <v>0.6</v>
      </c>
      <c r="F37" s="2845" t="s">
        <v>2472</v>
      </c>
      <c r="G37" s="2845"/>
    </row>
    <row r="38" spans="1:7" ht="19.5" customHeight="1">
      <c r="A38" s="3477"/>
      <c r="B38" s="3473"/>
      <c r="C38" s="2846" t="s">
        <v>2473</v>
      </c>
      <c r="D38" s="2847"/>
      <c r="E38" s="2848">
        <v>0.6</v>
      </c>
      <c r="F38" s="2845" t="s">
        <v>2474</v>
      </c>
      <c r="G38" s="2845"/>
    </row>
    <row r="39" spans="1:7" ht="19.5" customHeight="1" thickBot="1">
      <c r="A39" s="3478"/>
      <c r="B39" s="3475"/>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79" t="s">
        <v>2609</v>
      </c>
      <c r="B41" s="3474" t="s">
        <v>2633</v>
      </c>
      <c r="C41" s="2842" t="s">
        <v>2478</v>
      </c>
      <c r="D41" s="2843"/>
      <c r="E41" s="2844">
        <v>1</v>
      </c>
      <c r="F41" s="2845" t="s">
        <v>2479</v>
      </c>
      <c r="G41" s="2845"/>
    </row>
    <row r="42" spans="1:7" ht="19.5" customHeight="1">
      <c r="A42" s="3480"/>
      <c r="B42" s="3473"/>
      <c r="C42" s="2846" t="s">
        <v>2480</v>
      </c>
      <c r="D42" s="2847"/>
      <c r="E42" s="2848">
        <v>1</v>
      </c>
      <c r="F42" s="2845" t="s">
        <v>2481</v>
      </c>
      <c r="G42" s="2845"/>
    </row>
    <row r="43" spans="1:7" ht="19.5" customHeight="1">
      <c r="A43" s="3480"/>
      <c r="B43" s="3472"/>
      <c r="C43" s="2846" t="s">
        <v>2482</v>
      </c>
      <c r="D43" s="2847"/>
      <c r="E43" s="2848">
        <v>1.5</v>
      </c>
      <c r="F43" s="2845" t="s">
        <v>2483</v>
      </c>
      <c r="G43" s="2845"/>
    </row>
    <row r="44" spans="1:7" ht="19.5" customHeight="1">
      <c r="A44" s="3480"/>
      <c r="B44" s="2857" t="s">
        <v>2634</v>
      </c>
      <c r="C44" s="2846" t="s">
        <v>2635</v>
      </c>
      <c r="D44" s="2847"/>
      <c r="E44" s="2848">
        <v>2</v>
      </c>
      <c r="F44" s="2845" t="s">
        <v>2484</v>
      </c>
      <c r="G44" s="2845"/>
    </row>
    <row r="45" spans="1:7" ht="19.5" customHeight="1">
      <c r="A45" s="3480"/>
      <c r="B45" s="3471" t="s">
        <v>2636</v>
      </c>
      <c r="C45" s="2846" t="s">
        <v>2485</v>
      </c>
      <c r="D45" s="2847"/>
      <c r="E45" s="2848">
        <v>1</v>
      </c>
      <c r="F45" s="2845" t="s">
        <v>2486</v>
      </c>
      <c r="G45" s="2845"/>
    </row>
    <row r="46" spans="1:7" ht="19.5" customHeight="1">
      <c r="A46" s="3480"/>
      <c r="B46" s="3473"/>
      <c r="C46" s="2846" t="s">
        <v>2487</v>
      </c>
      <c r="D46" s="2847"/>
      <c r="E46" s="2848">
        <v>1</v>
      </c>
      <c r="F46" s="2845" t="s">
        <v>2488</v>
      </c>
      <c r="G46" s="2845"/>
    </row>
    <row r="47" spans="1:7" ht="19.5" customHeight="1">
      <c r="A47" s="3480"/>
      <c r="B47" s="3473"/>
      <c r="C47" s="2846" t="s">
        <v>2489</v>
      </c>
      <c r="D47" s="2847"/>
      <c r="E47" s="2848">
        <v>1</v>
      </c>
      <c r="F47" s="2845" t="s">
        <v>2490</v>
      </c>
      <c r="G47" s="2845"/>
    </row>
    <row r="48" spans="1:7" ht="19.5" customHeight="1">
      <c r="A48" s="3480"/>
      <c r="B48" s="3473"/>
      <c r="C48" s="2846" t="s">
        <v>2491</v>
      </c>
      <c r="D48" s="2847"/>
      <c r="E48" s="2848">
        <v>1</v>
      </c>
      <c r="F48" s="2845" t="s">
        <v>2492</v>
      </c>
      <c r="G48" s="2845"/>
    </row>
    <row r="49" spans="1:7" ht="19.5" customHeight="1">
      <c r="A49" s="3480"/>
      <c r="B49" s="3473"/>
      <c r="C49" s="2846" t="s">
        <v>2493</v>
      </c>
      <c r="D49" s="2847"/>
      <c r="E49" s="2848">
        <v>1</v>
      </c>
      <c r="F49" s="2845" t="s">
        <v>2494</v>
      </c>
      <c r="G49" s="2845"/>
    </row>
    <row r="50" spans="1:7" ht="19.5" customHeight="1">
      <c r="A50" s="3480"/>
      <c r="B50" s="3473"/>
      <c r="C50" s="2846" t="s">
        <v>2495</v>
      </c>
      <c r="D50" s="2847"/>
      <c r="E50" s="2848">
        <v>1</v>
      </c>
      <c r="F50" s="2845" t="s">
        <v>2496</v>
      </c>
      <c r="G50" s="2845"/>
    </row>
    <row r="51" spans="1:7" ht="19.5" customHeight="1" thickBot="1">
      <c r="A51" s="3481"/>
      <c r="B51" s="3475"/>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3.5">
      <c r="A72" s="2857"/>
      <c r="B72" s="2857"/>
      <c r="C72" s="2857" t="s">
        <v>2649</v>
      </c>
      <c r="D72" s="2857"/>
      <c r="E72" s="2857" t="s">
        <v>2620</v>
      </c>
      <c r="F72" s="2857" t="s">
        <v>2620</v>
      </c>
    </row>
    <row r="73" spans="1:7" ht="13.5">
      <c r="A73" s="2857">
        <v>1</v>
      </c>
      <c r="B73" s="3471" t="s">
        <v>2650</v>
      </c>
      <c r="C73" s="2831" t="s">
        <v>2651</v>
      </c>
      <c r="D73" s="2831" t="s">
        <v>2652</v>
      </c>
      <c r="E73" s="2857">
        <v>0.2</v>
      </c>
      <c r="F73" s="2857">
        <v>25</v>
      </c>
    </row>
    <row r="74" spans="1:7" ht="24">
      <c r="A74" s="2857">
        <v>2</v>
      </c>
      <c r="B74" s="3473"/>
      <c r="C74" s="2831" t="s">
        <v>2653</v>
      </c>
      <c r="D74" s="2831" t="s">
        <v>2654</v>
      </c>
      <c r="E74" s="2857">
        <v>0.2</v>
      </c>
      <c r="F74" s="2857">
        <v>25</v>
      </c>
    </row>
    <row r="75" spans="1:7" ht="24">
      <c r="A75" s="2857">
        <v>3</v>
      </c>
      <c r="B75" s="3473"/>
      <c r="C75" s="2831" t="s">
        <v>2655</v>
      </c>
      <c r="D75" s="2831" t="s">
        <v>2656</v>
      </c>
      <c r="E75" s="2857">
        <v>0.2</v>
      </c>
      <c r="F75" s="2857">
        <v>25</v>
      </c>
    </row>
    <row r="76" spans="1:7" ht="13.5">
      <c r="A76" s="2857">
        <v>4</v>
      </c>
      <c r="B76" s="3473"/>
      <c r="C76" s="2831" t="s">
        <v>2657</v>
      </c>
      <c r="D76" s="2831" t="s">
        <v>2658</v>
      </c>
      <c r="E76" s="2857">
        <v>0.15</v>
      </c>
      <c r="F76" s="2857">
        <v>20</v>
      </c>
    </row>
    <row r="77" spans="1:7" ht="24">
      <c r="A77" s="2857">
        <v>5</v>
      </c>
      <c r="B77" s="3473"/>
      <c r="C77" s="2831" t="s">
        <v>2659</v>
      </c>
      <c r="D77" s="2831" t="s">
        <v>2660</v>
      </c>
      <c r="E77" s="2857">
        <v>0.15</v>
      </c>
      <c r="F77" s="2857">
        <v>20</v>
      </c>
    </row>
    <row r="78" spans="1:7" ht="24">
      <c r="A78" s="2857">
        <v>6</v>
      </c>
      <c r="B78" s="3473"/>
      <c r="C78" s="2831" t="s">
        <v>2661</v>
      </c>
      <c r="D78" s="2831" t="s">
        <v>2662</v>
      </c>
      <c r="E78" s="2857">
        <v>0.15</v>
      </c>
      <c r="F78" s="2857">
        <v>20</v>
      </c>
    </row>
    <row r="79" spans="1:7" ht="24">
      <c r="A79" s="2857">
        <v>7</v>
      </c>
      <c r="B79" s="3473"/>
      <c r="C79" s="2831" t="s">
        <v>2663</v>
      </c>
      <c r="D79" s="2831" t="s">
        <v>2664</v>
      </c>
      <c r="E79" s="2857">
        <v>0.15</v>
      </c>
      <c r="F79" s="2857">
        <v>20</v>
      </c>
    </row>
    <row r="80" spans="1:7" ht="24">
      <c r="A80" s="2857">
        <v>8</v>
      </c>
      <c r="B80" s="3473"/>
      <c r="C80" s="2831" t="s">
        <v>2665</v>
      </c>
      <c r="D80" s="2831" t="s">
        <v>2666</v>
      </c>
      <c r="E80" s="2857">
        <v>0.1</v>
      </c>
      <c r="F80" s="2857">
        <v>15</v>
      </c>
    </row>
    <row r="81" spans="1:6" ht="24">
      <c r="A81" s="2857">
        <v>9</v>
      </c>
      <c r="B81" s="3473"/>
      <c r="C81" s="2831" t="s">
        <v>2667</v>
      </c>
      <c r="D81" s="2831" t="s">
        <v>2668</v>
      </c>
      <c r="E81" s="2857">
        <v>0.1</v>
      </c>
      <c r="F81" s="2857">
        <v>15</v>
      </c>
    </row>
    <row r="82" spans="1:6" ht="24">
      <c r="A82" s="2857">
        <v>10</v>
      </c>
      <c r="B82" s="3473"/>
      <c r="C82" s="2831" t="s">
        <v>2669</v>
      </c>
      <c r="D82" s="2831" t="s">
        <v>2670</v>
      </c>
      <c r="E82" s="2857">
        <v>0.1</v>
      </c>
      <c r="F82" s="2857">
        <v>15</v>
      </c>
    </row>
    <row r="83" spans="1:6" ht="24">
      <c r="A83" s="2857">
        <v>11</v>
      </c>
      <c r="B83" s="3473"/>
      <c r="C83" s="2831" t="s">
        <v>2671</v>
      </c>
      <c r="D83" s="2831" t="s">
        <v>2672</v>
      </c>
      <c r="E83" s="2857">
        <v>0.1</v>
      </c>
      <c r="F83" s="2857">
        <v>15</v>
      </c>
    </row>
    <row r="84" spans="1:6" ht="24">
      <c r="A84" s="2857">
        <v>12</v>
      </c>
      <c r="B84" s="3473"/>
      <c r="C84" s="2831" t="s">
        <v>2673</v>
      </c>
      <c r="D84" s="2831" t="s">
        <v>2674</v>
      </c>
      <c r="E84" s="2857">
        <v>0.1</v>
      </c>
      <c r="F84" s="2857">
        <v>15</v>
      </c>
    </row>
    <row r="85" spans="1:6" ht="13.5">
      <c r="A85" s="2857">
        <v>13</v>
      </c>
      <c r="B85" s="3473"/>
      <c r="C85" s="2831" t="s">
        <v>2675</v>
      </c>
      <c r="D85" s="2831" t="s">
        <v>2676</v>
      </c>
      <c r="E85" s="2857">
        <v>0.1</v>
      </c>
      <c r="F85" s="2857">
        <v>15</v>
      </c>
    </row>
    <row r="86" spans="1:6" ht="13.5">
      <c r="A86" s="2857">
        <v>14</v>
      </c>
      <c r="B86" s="3473"/>
      <c r="C86" s="2831" t="s">
        <v>2677</v>
      </c>
      <c r="D86" s="2831" t="s">
        <v>2678</v>
      </c>
      <c r="E86" s="2857">
        <v>0.1</v>
      </c>
      <c r="F86" s="2857">
        <v>15</v>
      </c>
    </row>
    <row r="87" spans="1:6" ht="13.5">
      <c r="A87" s="2857">
        <v>15</v>
      </c>
      <c r="B87" s="3473"/>
      <c r="C87" s="2831" t="s">
        <v>2679</v>
      </c>
      <c r="D87" s="2831" t="s">
        <v>2680</v>
      </c>
      <c r="E87" s="2857">
        <v>0.1</v>
      </c>
      <c r="F87" s="2857">
        <v>15</v>
      </c>
    </row>
    <row r="88" spans="1:6" ht="24">
      <c r="A88" s="2857">
        <v>16</v>
      </c>
      <c r="B88" s="3473"/>
      <c r="C88" s="2831" t="s">
        <v>2681</v>
      </c>
      <c r="D88" s="2831" t="s">
        <v>2682</v>
      </c>
      <c r="E88" s="2857">
        <v>0.1</v>
      </c>
      <c r="F88" s="2857">
        <v>15</v>
      </c>
    </row>
    <row r="89" spans="1:6" ht="24">
      <c r="A89" s="2857">
        <v>17</v>
      </c>
      <c r="B89" s="3472"/>
      <c r="C89" s="2831" t="s">
        <v>2683</v>
      </c>
      <c r="D89" s="2831" t="s">
        <v>2684</v>
      </c>
      <c r="E89" s="2857">
        <v>0.1</v>
      </c>
      <c r="F89" s="2857">
        <v>15</v>
      </c>
    </row>
    <row r="90" spans="1:6" ht="13.5">
      <c r="A90" s="2857">
        <v>18</v>
      </c>
      <c r="B90" s="3471" t="s">
        <v>2685</v>
      </c>
      <c r="C90" s="2831" t="s">
        <v>2686</v>
      </c>
      <c r="D90" s="2831" t="s">
        <v>2687</v>
      </c>
      <c r="E90" s="2857">
        <v>0.2</v>
      </c>
      <c r="F90" s="2857">
        <v>25</v>
      </c>
    </row>
    <row r="91" spans="1:6" ht="24">
      <c r="A91" s="2857">
        <v>19</v>
      </c>
      <c r="B91" s="3473"/>
      <c r="C91" s="2831" t="s">
        <v>2688</v>
      </c>
      <c r="D91" s="2831" t="s">
        <v>2689</v>
      </c>
      <c r="E91" s="2857">
        <v>0.2</v>
      </c>
      <c r="F91" s="2857">
        <v>25</v>
      </c>
    </row>
    <row r="92" spans="1:6" ht="13.5">
      <c r="A92" s="2857">
        <v>20</v>
      </c>
      <c r="B92" s="3473"/>
      <c r="C92" s="2831" t="s">
        <v>2690</v>
      </c>
      <c r="D92" s="2831" t="s">
        <v>2691</v>
      </c>
      <c r="E92" s="2857">
        <v>0.15</v>
      </c>
      <c r="F92" s="2857">
        <v>20</v>
      </c>
    </row>
    <row r="93" spans="1:6" ht="13.5">
      <c r="A93" s="2857">
        <v>21</v>
      </c>
      <c r="B93" s="3473"/>
      <c r="C93" s="2831" t="s">
        <v>2692</v>
      </c>
      <c r="D93" s="2831" t="s">
        <v>2693</v>
      </c>
      <c r="E93" s="2857">
        <v>0.15</v>
      </c>
      <c r="F93" s="2857">
        <v>20</v>
      </c>
    </row>
    <row r="94" spans="1:6" ht="13.5">
      <c r="A94" s="2857">
        <v>22</v>
      </c>
      <c r="B94" s="3473"/>
      <c r="C94" s="2831" t="s">
        <v>2694</v>
      </c>
      <c r="D94" s="2831" t="s">
        <v>2695</v>
      </c>
      <c r="E94" s="2857">
        <v>0.15</v>
      </c>
      <c r="F94" s="2857">
        <v>20</v>
      </c>
    </row>
    <row r="95" spans="1:6" ht="36">
      <c r="A95" s="2857">
        <v>23</v>
      </c>
      <c r="B95" s="3473"/>
      <c r="C95" s="2831" t="s">
        <v>2696</v>
      </c>
      <c r="D95" s="2831" t="s">
        <v>2697</v>
      </c>
      <c r="E95" s="2857">
        <v>0.15</v>
      </c>
      <c r="F95" s="2857">
        <v>20</v>
      </c>
    </row>
    <row r="96" spans="1:6" ht="13.5">
      <c r="A96" s="2857">
        <v>24</v>
      </c>
      <c r="B96" s="3473"/>
      <c r="C96" s="2831" t="s">
        <v>2698</v>
      </c>
      <c r="D96" s="2831" t="s">
        <v>2699</v>
      </c>
      <c r="E96" s="2857">
        <v>0.1</v>
      </c>
      <c r="F96" s="2857">
        <v>15</v>
      </c>
    </row>
    <row r="97" spans="1:6" ht="13.5">
      <c r="A97" s="2857">
        <v>25</v>
      </c>
      <c r="B97" s="3473"/>
      <c r="C97" s="2831" t="s">
        <v>2700</v>
      </c>
      <c r="D97" s="2831" t="s">
        <v>2701</v>
      </c>
      <c r="E97" s="2857">
        <v>0.1</v>
      </c>
      <c r="F97" s="2857">
        <v>15</v>
      </c>
    </row>
    <row r="98" spans="1:6" ht="24">
      <c r="A98" s="2857">
        <v>26</v>
      </c>
      <c r="B98" s="3473"/>
      <c r="C98" s="2831" t="s">
        <v>2702</v>
      </c>
      <c r="D98" s="2831" t="s">
        <v>2703</v>
      </c>
      <c r="E98" s="2857">
        <v>0.1</v>
      </c>
      <c r="F98" s="2857">
        <v>15</v>
      </c>
    </row>
    <row r="99" spans="1:6" ht="24">
      <c r="A99" s="2857">
        <v>27</v>
      </c>
      <c r="B99" s="3473"/>
      <c r="C99" s="2831" t="s">
        <v>2704</v>
      </c>
      <c r="D99" s="2831" t="s">
        <v>2705</v>
      </c>
      <c r="E99" s="2857">
        <v>0.1</v>
      </c>
      <c r="F99" s="2857">
        <v>15</v>
      </c>
    </row>
    <row r="100" spans="1:6" ht="13.5">
      <c r="A100" s="2857">
        <v>28</v>
      </c>
      <c r="B100" s="3473"/>
      <c r="C100" s="2831" t="s">
        <v>2706</v>
      </c>
      <c r="D100" s="2831" t="s">
        <v>2707</v>
      </c>
      <c r="E100" s="2857">
        <v>0.1</v>
      </c>
      <c r="F100" s="2857">
        <v>15</v>
      </c>
    </row>
    <row r="101" spans="1:6" ht="13.5">
      <c r="A101" s="2857">
        <v>29</v>
      </c>
      <c r="B101" s="3473"/>
      <c r="C101" s="2831" t="s">
        <v>2708</v>
      </c>
      <c r="D101" s="2831" t="s">
        <v>2709</v>
      </c>
      <c r="E101" s="2857">
        <v>0.1</v>
      </c>
      <c r="F101" s="2857">
        <v>15</v>
      </c>
    </row>
    <row r="102" spans="1:6" ht="13.5">
      <c r="A102" s="2857">
        <v>30</v>
      </c>
      <c r="B102" s="3473"/>
      <c r="C102" s="2831" t="s">
        <v>2710</v>
      </c>
      <c r="D102" s="2831" t="s">
        <v>2711</v>
      </c>
      <c r="E102" s="2857">
        <v>0.1</v>
      </c>
      <c r="F102" s="2857">
        <v>15</v>
      </c>
    </row>
    <row r="103" spans="1:6" ht="24">
      <c r="A103" s="2857">
        <v>31</v>
      </c>
      <c r="B103" s="3473"/>
      <c r="C103" s="2831" t="s">
        <v>2712</v>
      </c>
      <c r="D103" s="2831" t="s">
        <v>2713</v>
      </c>
      <c r="E103" s="2857">
        <v>0.1</v>
      </c>
      <c r="F103" s="2857">
        <v>15</v>
      </c>
    </row>
    <row r="104" spans="1:6" ht="24">
      <c r="A104" s="2857">
        <v>32</v>
      </c>
      <c r="B104" s="3473"/>
      <c r="C104" s="2831" t="s">
        <v>2714</v>
      </c>
      <c r="D104" s="2831" t="s">
        <v>2715</v>
      </c>
      <c r="E104" s="2857">
        <v>0.1</v>
      </c>
      <c r="F104" s="2857">
        <v>15</v>
      </c>
    </row>
    <row r="105" spans="1:6" ht="24">
      <c r="A105" s="2857">
        <v>33</v>
      </c>
      <c r="B105" s="3473"/>
      <c r="C105" s="2831" t="s">
        <v>2716</v>
      </c>
      <c r="D105" s="2831" t="s">
        <v>2717</v>
      </c>
      <c r="E105" s="2857">
        <v>0.1</v>
      </c>
      <c r="F105" s="2857">
        <v>15</v>
      </c>
    </row>
    <row r="106" spans="1:6" ht="24">
      <c r="A106" s="2857">
        <v>34</v>
      </c>
      <c r="B106" s="3472"/>
      <c r="C106" s="2831" t="s">
        <v>2718</v>
      </c>
      <c r="D106" s="2831" t="s">
        <v>2719</v>
      </c>
      <c r="E106" s="2857">
        <v>0.1</v>
      </c>
      <c r="F106" s="2857">
        <v>15</v>
      </c>
    </row>
    <row r="107" spans="1:6" ht="24">
      <c r="A107" s="2857">
        <v>35</v>
      </c>
      <c r="B107" s="3471" t="s">
        <v>2720</v>
      </c>
      <c r="C107" s="2857" t="s">
        <v>2721</v>
      </c>
      <c r="D107" s="2831" t="s">
        <v>2722</v>
      </c>
      <c r="E107" s="2857">
        <v>0.15</v>
      </c>
      <c r="F107" s="2857">
        <v>20</v>
      </c>
    </row>
    <row r="108" spans="1:6" ht="13.5">
      <c r="A108" s="2857">
        <v>36</v>
      </c>
      <c r="B108" s="3473"/>
      <c r="C108" s="2857" t="s">
        <v>2723</v>
      </c>
      <c r="D108" s="2831" t="s">
        <v>2724</v>
      </c>
      <c r="E108" s="2857">
        <v>0.15</v>
      </c>
      <c r="F108" s="2857">
        <v>20</v>
      </c>
    </row>
    <row r="109" spans="1:6" ht="13.5">
      <c r="A109" s="2857">
        <v>37</v>
      </c>
      <c r="B109" s="3473"/>
      <c r="C109" s="2857" t="s">
        <v>2725</v>
      </c>
      <c r="D109" s="2831" t="s">
        <v>2726</v>
      </c>
      <c r="E109" s="2857">
        <v>0.15</v>
      </c>
      <c r="F109" s="2857">
        <v>20</v>
      </c>
    </row>
    <row r="110" spans="1:6" ht="13.5">
      <c r="A110" s="2857">
        <v>38</v>
      </c>
      <c r="B110" s="3473"/>
      <c r="C110" s="2857" t="s">
        <v>2727</v>
      </c>
      <c r="D110" s="2831" t="s">
        <v>2728</v>
      </c>
      <c r="E110" s="2857">
        <v>0.1</v>
      </c>
      <c r="F110" s="2857">
        <v>15</v>
      </c>
    </row>
    <row r="111" spans="1:6" ht="24">
      <c r="A111" s="2857">
        <v>39</v>
      </c>
      <c r="B111" s="3473"/>
      <c r="C111" s="2857" t="s">
        <v>2729</v>
      </c>
      <c r="D111" s="2831" t="s">
        <v>2730</v>
      </c>
      <c r="E111" s="2857">
        <v>0.1</v>
      </c>
      <c r="F111" s="2857">
        <v>15</v>
      </c>
    </row>
    <row r="112" spans="1:6" ht="24">
      <c r="A112" s="2857">
        <v>40</v>
      </c>
      <c r="B112" s="3472"/>
      <c r="C112" s="2857" t="s">
        <v>2731</v>
      </c>
      <c r="D112" s="2831" t="s">
        <v>2732</v>
      </c>
      <c r="E112" s="2857">
        <v>0.1</v>
      </c>
      <c r="F112" s="2857">
        <v>15</v>
      </c>
    </row>
    <row r="113" spans="1:6" ht="13.5">
      <c r="A113" s="2857">
        <v>41</v>
      </c>
      <c r="B113" s="3470" t="s">
        <v>2733</v>
      </c>
      <c r="C113" s="2857" t="s">
        <v>2734</v>
      </c>
      <c r="D113" s="2831" t="s">
        <v>2735</v>
      </c>
      <c r="E113" s="2857">
        <v>0.1</v>
      </c>
      <c r="F113" s="2857">
        <v>15</v>
      </c>
    </row>
    <row r="114" spans="1:6" ht="13.5">
      <c r="A114" s="2857">
        <v>42</v>
      </c>
      <c r="B114" s="3470"/>
      <c r="C114" s="2857" t="s">
        <v>2736</v>
      </c>
      <c r="D114" s="2831" t="s">
        <v>2737</v>
      </c>
      <c r="E114" s="2857">
        <v>0.1</v>
      </c>
      <c r="F114" s="2857">
        <v>15</v>
      </c>
    </row>
    <row r="115" spans="1:6" ht="24">
      <c r="A115" s="2857">
        <v>43</v>
      </c>
      <c r="B115" s="3470"/>
      <c r="C115" s="2857" t="s">
        <v>2738</v>
      </c>
      <c r="D115" s="2831" t="s">
        <v>2739</v>
      </c>
      <c r="E115" s="2857">
        <v>0.1</v>
      </c>
      <c r="F115" s="2857">
        <v>15</v>
      </c>
    </row>
    <row r="116" spans="1:6" ht="13.5">
      <c r="A116" s="2857">
        <v>44</v>
      </c>
      <c r="B116" s="3471" t="s">
        <v>2740</v>
      </c>
      <c r="C116" s="2857" t="s">
        <v>2741</v>
      </c>
      <c r="D116" s="2831" t="s">
        <v>2742</v>
      </c>
      <c r="E116" s="2857">
        <v>0.1</v>
      </c>
      <c r="F116" s="2857">
        <v>15</v>
      </c>
    </row>
    <row r="117" spans="1:6" ht="24">
      <c r="A117" s="2857">
        <v>45</v>
      </c>
      <c r="B117" s="3472"/>
      <c r="C117" s="2831" t="s">
        <v>2743</v>
      </c>
      <c r="D117" s="2831" t="s">
        <v>2744</v>
      </c>
      <c r="E117" s="2857">
        <v>0.1</v>
      </c>
      <c r="F117" s="2857">
        <v>15</v>
      </c>
    </row>
    <row r="118" spans="1:6" ht="24">
      <c r="A118" s="2857">
        <v>46</v>
      </c>
      <c r="B118" s="3471" t="s">
        <v>2745</v>
      </c>
      <c r="C118" s="2857" t="s">
        <v>2746</v>
      </c>
      <c r="D118" s="2831" t="s">
        <v>2747</v>
      </c>
      <c r="E118" s="2857">
        <v>0.1</v>
      </c>
      <c r="F118" s="2857">
        <v>15</v>
      </c>
    </row>
    <row r="119" spans="1:6" ht="24">
      <c r="A119" s="2857">
        <v>47</v>
      </c>
      <c r="B119" s="3472"/>
      <c r="C119" s="2857" t="s">
        <v>2748</v>
      </c>
      <c r="D119" s="2831" t="s">
        <v>2749</v>
      </c>
      <c r="E119" s="2857">
        <v>0.1</v>
      </c>
      <c r="F119" s="2857">
        <v>15</v>
      </c>
    </row>
    <row r="120" spans="1:6" ht="13.5">
      <c r="A120" s="2857">
        <v>48</v>
      </c>
      <c r="B120" s="3471" t="s">
        <v>2750</v>
      </c>
      <c r="C120" s="2857" t="s">
        <v>2751</v>
      </c>
      <c r="D120" s="2831" t="s">
        <v>2752</v>
      </c>
      <c r="E120" s="2857">
        <v>0.1</v>
      </c>
      <c r="F120" s="2857">
        <v>15</v>
      </c>
    </row>
    <row r="121" spans="1:6" ht="13.5">
      <c r="A121" s="2857">
        <v>49</v>
      </c>
      <c r="B121" s="3472"/>
      <c r="C121" s="2857" t="s">
        <v>2753</v>
      </c>
      <c r="D121" s="2831" t="s">
        <v>2754</v>
      </c>
      <c r="E121" s="2857">
        <v>0.1</v>
      </c>
      <c r="F121" s="2857">
        <v>15</v>
      </c>
    </row>
    <row r="122" spans="1:6" ht="24">
      <c r="A122" s="2857">
        <v>50</v>
      </c>
      <c r="B122" s="3470" t="s">
        <v>2755</v>
      </c>
      <c r="C122" s="2857" t="s">
        <v>2756</v>
      </c>
      <c r="D122" s="2831" t="s">
        <v>2757</v>
      </c>
      <c r="E122" s="2857">
        <v>0.1</v>
      </c>
      <c r="F122" s="2857">
        <v>15</v>
      </c>
    </row>
    <row r="123" spans="1:6" ht="24">
      <c r="A123" s="2857">
        <v>51</v>
      </c>
      <c r="B123" s="3470"/>
      <c r="C123" s="2857" t="s">
        <v>2758</v>
      </c>
      <c r="D123" s="2831" t="s">
        <v>2759</v>
      </c>
      <c r="E123" s="2857">
        <v>0.1</v>
      </c>
      <c r="F123" s="2857">
        <v>15</v>
      </c>
    </row>
    <row r="124" spans="1:6" ht="24">
      <c r="A124" s="2857">
        <v>52</v>
      </c>
      <c r="B124" s="3470" t="s">
        <v>2760</v>
      </c>
      <c r="C124" s="2857" t="s">
        <v>2761</v>
      </c>
      <c r="D124" s="2831" t="s">
        <v>2762</v>
      </c>
      <c r="E124" s="2857">
        <v>0.1</v>
      </c>
      <c r="F124" s="2857">
        <v>15</v>
      </c>
    </row>
    <row r="125" spans="1:6" ht="24">
      <c r="A125" s="2857">
        <v>53</v>
      </c>
      <c r="B125" s="3470"/>
      <c r="C125" s="2857" t="s">
        <v>2763</v>
      </c>
      <c r="D125" s="2831" t="s">
        <v>2764</v>
      </c>
      <c r="E125" s="2857">
        <v>0.1</v>
      </c>
      <c r="F125" s="2857">
        <v>15</v>
      </c>
    </row>
    <row r="126" spans="1:6" ht="13.5">
      <c r="A126" s="2857">
        <v>54</v>
      </c>
      <c r="B126" s="2857" t="s">
        <v>2765</v>
      </c>
      <c r="C126" s="2857" t="s">
        <v>2766</v>
      </c>
      <c r="D126" s="2831" t="s">
        <v>2767</v>
      </c>
      <c r="E126" s="2857">
        <v>0.1</v>
      </c>
      <c r="F126" s="2857">
        <v>15</v>
      </c>
    </row>
    <row r="127" spans="1:6" ht="13.5">
      <c r="A127" s="2857">
        <v>55</v>
      </c>
      <c r="B127" s="3470" t="s">
        <v>2768</v>
      </c>
      <c r="C127" s="2857" t="s">
        <v>2769</v>
      </c>
      <c r="D127" s="2831" t="s">
        <v>2770</v>
      </c>
      <c r="E127" s="2857">
        <v>0.1</v>
      </c>
      <c r="F127" s="2857">
        <v>15</v>
      </c>
    </row>
    <row r="128" spans="1:6" ht="13.5">
      <c r="A128" s="2857">
        <v>56</v>
      </c>
      <c r="B128" s="3470"/>
      <c r="C128" s="2857" t="s">
        <v>2771</v>
      </c>
      <c r="D128" s="2831" t="s">
        <v>2772</v>
      </c>
      <c r="E128" s="2857">
        <v>0.1</v>
      </c>
      <c r="F128" s="2857">
        <v>15</v>
      </c>
    </row>
    <row r="129" spans="1:6" ht="24">
      <c r="A129" s="2857">
        <v>57</v>
      </c>
      <c r="B129" s="3470"/>
      <c r="C129" s="2857" t="s">
        <v>2773</v>
      </c>
      <c r="D129" s="2831" t="s">
        <v>2774</v>
      </c>
      <c r="E129" s="2857">
        <v>0.1</v>
      </c>
      <c r="F129" s="2857">
        <v>15</v>
      </c>
    </row>
    <row r="130" spans="1:6" ht="24">
      <c r="A130" s="2857">
        <v>58</v>
      </c>
      <c r="B130" s="3470" t="s">
        <v>2775</v>
      </c>
      <c r="C130" s="2857" t="s">
        <v>2776</v>
      </c>
      <c r="D130" s="2831" t="s">
        <v>2777</v>
      </c>
      <c r="E130" s="2857">
        <v>0.1</v>
      </c>
      <c r="F130" s="2857">
        <v>15</v>
      </c>
    </row>
    <row r="131" spans="1:6" ht="13.5">
      <c r="A131" s="2857">
        <v>59</v>
      </c>
      <c r="B131" s="3470"/>
      <c r="C131" s="2857" t="s">
        <v>2778</v>
      </c>
      <c r="D131" s="2831" t="s">
        <v>2779</v>
      </c>
      <c r="E131" s="2857">
        <v>0.1</v>
      </c>
      <c r="F131" s="2857">
        <v>15</v>
      </c>
    </row>
    <row r="132" spans="1:6" ht="13.5">
      <c r="A132" s="2857">
        <v>60</v>
      </c>
      <c r="B132" s="3471" t="s">
        <v>2780</v>
      </c>
      <c r="C132" s="2857" t="s">
        <v>2781</v>
      </c>
      <c r="D132" s="2831" t="s">
        <v>2782</v>
      </c>
      <c r="E132" s="2857">
        <v>0.1</v>
      </c>
      <c r="F132" s="2857">
        <v>15</v>
      </c>
    </row>
    <row r="133" spans="1:6" ht="13.5">
      <c r="A133" s="2857">
        <v>61</v>
      </c>
      <c r="B133" s="3472"/>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13.5">
      <c r="A135" s="2857">
        <v>63</v>
      </c>
      <c r="B135" s="3470" t="s">
        <v>2788</v>
      </c>
      <c r="C135" s="2857" t="s">
        <v>2789</v>
      </c>
      <c r="D135" s="2831" t="s">
        <v>2790</v>
      </c>
      <c r="E135" s="2857">
        <v>0.1</v>
      </c>
      <c r="F135" s="2857">
        <v>15</v>
      </c>
    </row>
    <row r="136" spans="1:6" ht="13.5">
      <c r="A136" s="2857">
        <v>64</v>
      </c>
      <c r="B136" s="3470"/>
      <c r="C136" s="2857" t="s">
        <v>2791</v>
      </c>
      <c r="D136" s="2831" t="s">
        <v>2792</v>
      </c>
      <c r="E136" s="2857">
        <v>0.1</v>
      </c>
      <c r="F136" s="2857">
        <v>15</v>
      </c>
    </row>
    <row r="137" spans="1:6" ht="13.5">
      <c r="A137" s="2857">
        <v>65</v>
      </c>
      <c r="B137" s="2857" t="s">
        <v>2793</v>
      </c>
      <c r="C137" s="2857" t="s">
        <v>2794</v>
      </c>
      <c r="D137" s="2831" t="s">
        <v>2795</v>
      </c>
      <c r="E137" s="2857">
        <v>0.1</v>
      </c>
      <c r="F137" s="2857">
        <v>15</v>
      </c>
    </row>
    <row r="138" spans="1:6" ht="13.5">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0"/>
      <c r="B4" s="3167" t="s">
        <v>917</v>
      </c>
      <c r="C4" s="3167"/>
      <c r="D4" s="3167"/>
      <c r="E4" s="1390"/>
    </row>
    <row r="5" spans="1:5" ht="16.5" thickTop="1">
      <c r="B5" s="3165" t="s">
        <v>909</v>
      </c>
      <c r="C5" s="1391" t="s">
        <v>910</v>
      </c>
      <c r="D5" s="797">
        <f ca="1">结果表!H101</f>
        <v>173</v>
      </c>
    </row>
    <row r="6" spans="1:5" ht="15.75">
      <c r="B6" s="3165"/>
      <c r="C6" s="1391" t="s">
        <v>911</v>
      </c>
      <c r="D6" s="797" t="str">
        <f ca="1">NUMBERSTRING(INT(D5*10000),2)&amp;"元整"</f>
        <v>壹佰柒拾叁万元整</v>
      </c>
    </row>
    <row r="7" spans="1:5" ht="15.75">
      <c r="B7" s="3170"/>
      <c r="C7" s="1392" t="s">
        <v>912</v>
      </c>
      <c r="D7" s="798">
        <f ca="1">结果表!H102</f>
        <v>12798</v>
      </c>
    </row>
    <row r="8" spans="1:5" ht="15.75">
      <c r="B8" s="3171" t="str">
        <f>结果表!E103</f>
        <v>2.估价师知悉的法定优先受偿款</v>
      </c>
      <c r="C8" s="1393" t="s">
        <v>913</v>
      </c>
      <c r="D8" s="798">
        <f>结果表!H103</f>
        <v>0</v>
      </c>
    </row>
    <row r="9" spans="1:5" ht="15.75">
      <c r="B9" s="3173"/>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4" t="str">
        <f>结果表!E107</f>
        <v>3.房地产抵押价值</v>
      </c>
      <c r="C13" s="1396" t="s">
        <v>910</v>
      </c>
      <c r="D13" s="800">
        <f ca="1">结果表!H107</f>
        <v>173</v>
      </c>
    </row>
    <row r="14" spans="1:5" ht="15.75">
      <c r="B14" s="3165"/>
      <c r="C14" s="1391" t="s">
        <v>911</v>
      </c>
      <c r="D14" s="797" t="str">
        <f ca="1">NUMBERSTRING(INT(D13*10000),2)&amp;"元整"</f>
        <v>壹佰柒拾叁万元整</v>
      </c>
    </row>
    <row r="15" spans="1:5" ht="15">
      <c r="B15" s="3170"/>
      <c r="C15" s="1392" t="s">
        <v>921</v>
      </c>
      <c r="D15" s="806">
        <f ca="1">结果表!H108</f>
        <v>12798</v>
      </c>
    </row>
    <row r="16" spans="1:5" ht="15">
      <c r="B16" s="3171" t="str">
        <f>结果表!E109</f>
        <v>——</v>
      </c>
      <c r="C16" s="1396" t="s">
        <v>922</v>
      </c>
      <c r="D16" s="1397" t="str">
        <f>结果表!H109</f>
        <v>——</v>
      </c>
    </row>
    <row r="17" spans="1:5" ht="15.75">
      <c r="B17" s="3172"/>
      <c r="C17" s="1391" t="s">
        <v>923</v>
      </c>
      <c r="D17" s="797" t="e">
        <f>NUMBERSTRING(INT(D16*10000),2)&amp;"元整"</f>
        <v>#VALUE!</v>
      </c>
    </row>
    <row r="18" spans="1:5" ht="15">
      <c r="B18" s="3173"/>
      <c r="C18" s="1392" t="s">
        <v>912</v>
      </c>
      <c r="D18" s="806" t="str">
        <f>结果表!H110</f>
        <v>——</v>
      </c>
    </row>
    <row r="19" spans="1:5" ht="15.75">
      <c r="B19" s="3164" t="str">
        <f>结果表!E111</f>
        <v>——</v>
      </c>
      <c r="C19" s="1396" t="s">
        <v>910</v>
      </c>
      <c r="D19" s="798" t="str">
        <f>结果表!H111</f>
        <v>——</v>
      </c>
    </row>
    <row r="20" spans="1:5" ht="15.75">
      <c r="B20" s="3165"/>
      <c r="C20" s="1391" t="s">
        <v>923</v>
      </c>
      <c r="D20" s="797" t="e">
        <f>NUMBERSTRING(INT(D19*10000),2)&amp;"元整"</f>
        <v>#VALUE!</v>
      </c>
    </row>
    <row r="21" spans="1:5" ht="15.75" thickBot="1">
      <c r="B21" s="3166"/>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1.0512999999999999</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1</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26481</v>
      </c>
      <c r="C2" s="2" t="s">
        <v>106</v>
      </c>
      <c r="D2" s="191"/>
      <c r="E2" s="191"/>
      <c r="F2" s="191"/>
      <c r="G2" s="191"/>
    </row>
    <row r="3" spans="1:7" s="192" customFormat="1" ht="18" customHeight="1" thickBot="1">
      <c r="A3" s="195" t="s">
        <v>58</v>
      </c>
      <c r="B3" s="196">
        <f ca="1">ROUND(B2*10000/'数据-汇总表'!E3,0)</f>
        <v>1962137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v>
      </c>
      <c r="D10" s="795">
        <f>'数据-汇总表'!E6</f>
        <v>134.96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134.96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1298</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1">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26420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54</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134.96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5.9999999999999995E-4</v>
      </c>
      <c r="D44" s="230"/>
      <c r="E44" s="230"/>
      <c r="F44" s="231"/>
      <c r="G44" s="3347"/>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61</v>
      </c>
      <c r="D51" s="224"/>
      <c r="E51" s="224"/>
      <c r="F51" s="256"/>
      <c r="G51" s="226" t="s">
        <v>37</v>
      </c>
    </row>
    <row r="52" spans="1:7" s="200" customFormat="1" ht="16.5" thickBot="1">
      <c r="A52" s="257" t="s">
        <v>38</v>
      </c>
      <c r="B52" s="258"/>
      <c r="C52" s="259">
        <f ca="1">C31+C51</f>
        <v>26481</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84" t="s">
        <v>2838</v>
      </c>
      <c r="B1" s="3484"/>
      <c r="C1" s="3484"/>
      <c r="D1" s="3484"/>
      <c r="E1" s="3484"/>
      <c r="F1" s="3484"/>
      <c r="G1" s="3485"/>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2"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82"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2" thickBot="1">
      <c r="A4" s="3483"/>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2"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2"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2"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2"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6" t="s">
        <v>3180</v>
      </c>
      <c r="B1" s="3486"/>
    </row>
    <row r="2" spans="1:7" ht="14.25" thickBot="1">
      <c r="A2" s="2968"/>
      <c r="B2" s="2968"/>
    </row>
    <row r="3" spans="1:7" ht="14.25" thickBot="1">
      <c r="A3" s="2968"/>
      <c r="B3" s="2968"/>
      <c r="C3" s="2969" t="s">
        <v>2810</v>
      </c>
      <c r="D3" s="2969" t="s">
        <v>2866</v>
      </c>
      <c r="E3" s="2969" t="s">
        <v>2812</v>
      </c>
      <c r="F3" s="2969" t="s">
        <v>2867</v>
      </c>
      <c r="G3" s="2969" t="s">
        <v>2630</v>
      </c>
    </row>
    <row r="4" spans="1:7" ht="14.2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4.2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4.2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4.2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4.2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4.2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4.2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4.2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4.2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4.2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4.2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3"/>
  </cols>
  <sheetData>
    <row r="1" spans="1:6">
      <c r="A1" s="3487" t="s">
        <v>3231</v>
      </c>
      <c r="B1" s="3487"/>
      <c r="C1" s="3487"/>
      <c r="D1" s="3487"/>
      <c r="E1" s="3487"/>
      <c r="F1" s="3488"/>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54"/>
  <sheetViews>
    <sheetView topLeftCell="A4" zoomScale="90" zoomScaleNormal="90" workbookViewId="0">
      <selection activeCell="A37" sqref="A37:XFD37"/>
    </sheetView>
  </sheetViews>
  <sheetFormatPr defaultRowHeight="13.5"/>
  <cols>
    <col min="1" max="1" width="13.875" customWidth="1"/>
    <col min="11" max="17" width="0" hidden="1" customWidth="1"/>
    <col min="25" max="30" width="0" hidden="1" customWidth="1"/>
  </cols>
  <sheetData>
    <row r="1" spans="1:30">
      <c r="A1" s="2937">
        <f>基准地价修正!G23</f>
        <v>45833</v>
      </c>
      <c r="B1" s="2929" t="s">
        <v>3378</v>
      </c>
      <c r="C1" s="2930"/>
      <c r="D1" s="2930"/>
      <c r="E1" s="2930"/>
      <c r="F1" s="2930"/>
      <c r="G1" s="2930"/>
      <c r="H1" s="2930"/>
      <c r="I1" s="2930"/>
      <c r="J1" s="2896"/>
      <c r="K1" s="2930" t="s">
        <v>454</v>
      </c>
      <c r="L1" s="2930"/>
      <c r="M1" s="2930"/>
      <c r="N1" s="2930"/>
      <c r="O1" s="2930"/>
      <c r="P1" s="2930"/>
      <c r="Q1" s="2896"/>
      <c r="R1" s="3489" t="s">
        <v>456</v>
      </c>
      <c r="S1" s="3490"/>
      <c r="T1" s="3490"/>
      <c r="U1" s="3490"/>
      <c r="V1" s="3490"/>
      <c r="W1" s="3490"/>
      <c r="X1" s="2896"/>
      <c r="Y1" s="3489" t="s">
        <v>457</v>
      </c>
      <c r="Z1" s="3490"/>
      <c r="AA1" s="3490"/>
      <c r="AB1" s="3490"/>
      <c r="AC1" s="3490"/>
      <c r="AD1" s="3490"/>
    </row>
    <row r="2" spans="1:30" s="2009" customFormat="1" ht="14.25" thickBot="1">
      <c r="B2" s="2881"/>
      <c r="C2" s="2882"/>
      <c r="D2" s="2010" t="s">
        <v>2809</v>
      </c>
      <c r="E2" s="2011" t="s">
        <v>2810</v>
      </c>
      <c r="F2" s="2011" t="s">
        <v>2811</v>
      </c>
      <c r="G2" s="2011" t="s">
        <v>2812</v>
      </c>
      <c r="H2" s="2011" t="s">
        <v>2813</v>
      </c>
      <c r="I2" s="2011" t="s">
        <v>2630</v>
      </c>
      <c r="J2" s="2883"/>
      <c r="K2" s="2010" t="s">
        <v>2809</v>
      </c>
      <c r="L2" s="2011" t="s">
        <v>2810</v>
      </c>
      <c r="M2" s="2011" t="s">
        <v>2811</v>
      </c>
      <c r="N2" s="2011" t="s">
        <v>2812</v>
      </c>
      <c r="O2" s="2011" t="s">
        <v>2814</v>
      </c>
      <c r="P2" s="2011" t="s">
        <v>2630</v>
      </c>
      <c r="Q2" s="2883"/>
      <c r="R2" s="2010" t="s">
        <v>2809</v>
      </c>
      <c r="S2" s="2011" t="s">
        <v>2810</v>
      </c>
      <c r="T2" s="2011" t="s">
        <v>2811</v>
      </c>
      <c r="U2" s="2011" t="s">
        <v>2815</v>
      </c>
      <c r="V2" s="2011" t="s">
        <v>2816</v>
      </c>
      <c r="W2" s="2011" t="s">
        <v>2630</v>
      </c>
      <c r="X2" s="2883"/>
      <c r="Y2" s="2010" t="s">
        <v>2809</v>
      </c>
      <c r="Z2" s="2011" t="s">
        <v>2810</v>
      </c>
      <c r="AA2" s="2011" t="s">
        <v>2811</v>
      </c>
      <c r="AB2" s="2011" t="s">
        <v>2817</v>
      </c>
      <c r="AC2" s="2011" t="s">
        <v>2816</v>
      </c>
      <c r="AD2" s="2011" t="s">
        <v>2630</v>
      </c>
    </row>
    <row r="3" spans="1:30" s="2886" customFormat="1" ht="12.75">
      <c r="A3" s="2884" t="s">
        <v>2818</v>
      </c>
      <c r="B3" s="2885"/>
      <c r="D3" s="2886">
        <f>ROUND(AVERAGEIF(D4:D24,"&lt;&gt;0"),2)</f>
        <v>0.38</v>
      </c>
      <c r="E3" s="2886">
        <f t="shared" ref="E3:H3" si="0">ROUND(AVERAGEIF(E4:E24,"&lt;&gt;0"),2)</f>
        <v>0.26</v>
      </c>
      <c r="F3" s="2886">
        <f t="shared" si="0"/>
        <v>-0.01</v>
      </c>
      <c r="G3" s="2886">
        <f t="shared" si="0"/>
        <v>0.41</v>
      </c>
      <c r="H3" s="2886">
        <f t="shared" si="0"/>
        <v>0.52</v>
      </c>
      <c r="I3" s="2886">
        <f>F3</f>
        <v>-0.01</v>
      </c>
      <c r="J3" s="2887"/>
      <c r="K3" s="2888">
        <f>ROUND(AVERAGEIF(K4:K24,"&lt;&gt;0"),4)</f>
        <v>3.8E-3</v>
      </c>
      <c r="L3" s="2889">
        <f t="shared" ref="L3:O3" si="1">ROUND(AVERAGEIF(L4:L24,"&lt;&gt;0"),4)</f>
        <v>2.5999999999999999E-3</v>
      </c>
      <c r="M3" s="2889">
        <f t="shared" si="1"/>
        <v>-1E-4</v>
      </c>
      <c r="N3" s="2889">
        <f t="shared" si="1"/>
        <v>4.1000000000000003E-3</v>
      </c>
      <c r="O3" s="2889">
        <f t="shared" si="1"/>
        <v>5.1999999999999998E-3</v>
      </c>
      <c r="P3" s="2889">
        <f>M3</f>
        <v>-1E-4</v>
      </c>
      <c r="Q3" s="2887"/>
      <c r="R3" s="2890">
        <f>ROUND(SUMPRODUCT(PRODUCT(1+K4:K24)),4)</f>
        <v>1.0613999999999999</v>
      </c>
      <c r="S3" s="2891">
        <f t="shared" ref="S3:V3" si="2">ROUND(SUMPRODUCT(PRODUCT(1+L4:L24)),4)</f>
        <v>1.0415000000000001</v>
      </c>
      <c r="T3" s="2891">
        <f t="shared" si="2"/>
        <v>0.99780000000000002</v>
      </c>
      <c r="U3" s="2891">
        <f t="shared" si="2"/>
        <v>1.0678000000000001</v>
      </c>
      <c r="V3" s="2891">
        <f t="shared" si="2"/>
        <v>1.0866</v>
      </c>
      <c r="W3" s="2890">
        <f>T3</f>
        <v>0.99780000000000002</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3457</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1.0511999999999999</v>
      </c>
      <c r="S5" s="2026">
        <f>ROUND(IF(项目基本情况!$B$8="出让",SUMPRODUCT(PRODUCT(1+L5:$L$24)),SUMPRODUCT(PRODUCT(1+L5:$L$23))),4)</f>
        <v>1.0398000000000001</v>
      </c>
      <c r="T5" s="2026">
        <f>ROUND(IF(项目基本情况!$B$8="出让",SUMPRODUCT(PRODUCT(1+M5:$M$24)),SUMPRODUCT(PRODUCT(1+M5:$M$23))),4)</f>
        <v>1.0003</v>
      </c>
      <c r="U5" s="2026">
        <f>ROUND(IF(项目基本情况!$B$8="出让",SUMPRODUCT(PRODUCT(1+N5:$N$24)),SUMPRODUCT(PRODUCT(1+N5:$N$23))),4)</f>
        <v>1.0561</v>
      </c>
      <c r="V5" s="2026">
        <f>ROUND(IF(项目基本情况!$B$8="出让",SUMPRODUCT(PRODUCT(1+O5:$O$24)),SUMPRODUCT(PRODUCT(1+O5:$O$23))),4)</f>
        <v>1.0827</v>
      </c>
      <c r="W5" s="2026">
        <f t="shared" ref="W5:W11" si="11">T5</f>
        <v>1.0003</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row>
    <row r="6" spans="1:30" s="2044" customFormat="1" ht="12.75">
      <c r="A6" s="2039" t="s">
        <v>3458</v>
      </c>
      <c r="B6" s="2030">
        <v>2025</v>
      </c>
      <c r="C6" s="2041">
        <v>3</v>
      </c>
      <c r="D6" s="2006">
        <v>0</v>
      </c>
      <c r="E6" s="2006">
        <v>0</v>
      </c>
      <c r="F6" s="2006">
        <v>0</v>
      </c>
      <c r="G6" s="2006">
        <v>0</v>
      </c>
      <c r="H6" s="2006">
        <v>0</v>
      </c>
      <c r="I6" s="2007">
        <f t="shared" ref="I6" si="18">F6</f>
        <v>0</v>
      </c>
      <c r="J6" s="2906"/>
      <c r="K6" s="2042">
        <f t="shared" ref="K6" si="19">D6/100</f>
        <v>0</v>
      </c>
      <c r="L6" s="2027">
        <f t="shared" ref="L6" si="20">E6/100</f>
        <v>0</v>
      </c>
      <c r="M6" s="2027">
        <f t="shared" ref="M6" si="21">F6/100</f>
        <v>0</v>
      </c>
      <c r="N6" s="2027">
        <f t="shared" ref="N6" si="22">G6/100</f>
        <v>0</v>
      </c>
      <c r="O6" s="2027">
        <f t="shared" ref="O6" si="23">H6/100</f>
        <v>0</v>
      </c>
      <c r="P6" s="2027">
        <f t="shared" si="10"/>
        <v>0</v>
      </c>
      <c r="Q6" s="2906"/>
      <c r="R6" s="2026">
        <f>ROUND(IF(项目基本情况!$B$8="出让",SUMPRODUCT(PRODUCT(1+K6:$K$24)),SUMPRODUCT(PRODUCT(1+K6:$K$23))),4)</f>
        <v>1.0511999999999999</v>
      </c>
      <c r="S6" s="2026">
        <f>ROUND(IF(项目基本情况!$B$8="出让",SUMPRODUCT(PRODUCT(1+L6:$L$24)),SUMPRODUCT(PRODUCT(1+L6:$L$23))),4)</f>
        <v>1.0398000000000001</v>
      </c>
      <c r="T6" s="2026">
        <f>ROUND(IF(项目基本情况!$B$8="出让",SUMPRODUCT(PRODUCT(1+M6:$M$24)),SUMPRODUCT(PRODUCT(1+M6:$M$23))),4)</f>
        <v>1.0003</v>
      </c>
      <c r="U6" s="2026">
        <f>ROUND(IF(项目基本情况!$B$8="出让",SUMPRODUCT(PRODUCT(1+N6:$N$24)),SUMPRODUCT(PRODUCT(1+N6:$N$23))),4)</f>
        <v>1.0561</v>
      </c>
      <c r="V6" s="2026">
        <f>ROUND(IF(项目基本情况!$B$8="出让",SUMPRODUCT(PRODUCT(1+O6:$O$24)),SUMPRODUCT(PRODUCT(1+O6:$O$23))),4)</f>
        <v>1.0827</v>
      </c>
      <c r="W6" s="2026">
        <f t="shared" si="11"/>
        <v>1.0003</v>
      </c>
      <c r="X6" s="2906"/>
      <c r="Y6" s="2027">
        <f t="shared" si="12"/>
        <v>0</v>
      </c>
      <c r="Z6" s="2027">
        <f t="shared" ref="Z6" si="24">IF(E6=0,0,ROUND(AVERAGE(E6:E19)/100,4))</f>
        <v>0</v>
      </c>
      <c r="AA6" s="2027">
        <f t="shared" ref="AA6" si="25">IF(F6=0,0,ROUND(AVERAGE(F6:F19)/100,4))</f>
        <v>0</v>
      </c>
      <c r="AB6" s="2027">
        <f t="shared" ref="AB6" si="26">IF(G6=0,0,ROUND(AVERAGE(G6:G19)/100,4))</f>
        <v>0</v>
      </c>
      <c r="AC6" s="2027">
        <f t="shared" ref="AC6" si="27">IF(H6=0,0,ROUND(AVERAGE(H6:H19)/100,4))</f>
        <v>0</v>
      </c>
      <c r="AD6" s="2027">
        <f t="shared" ref="AD6" si="28">AA6</f>
        <v>0</v>
      </c>
    </row>
    <row r="7" spans="1:30" s="2916" customFormat="1" ht="12.75">
      <c r="A7" s="2907" t="s">
        <v>3459</v>
      </c>
      <c r="B7" s="2908">
        <v>2025</v>
      </c>
      <c r="C7" s="2909">
        <v>2</v>
      </c>
      <c r="D7" s="2910">
        <v>0</v>
      </c>
      <c r="E7" s="2910">
        <v>0</v>
      </c>
      <c r="F7" s="2910">
        <v>0</v>
      </c>
      <c r="G7" s="2910">
        <v>0</v>
      </c>
      <c r="H7" s="2911">
        <v>0</v>
      </c>
      <c r="I7" s="2912">
        <f t="shared" ref="I7" si="29">F7</f>
        <v>0</v>
      </c>
      <c r="J7" s="2913"/>
      <c r="K7" s="2914">
        <f t="shared" ref="K7" si="30">D7/100</f>
        <v>0</v>
      </c>
      <c r="L7" s="2915">
        <f t="shared" ref="L7" si="31">E7/100</f>
        <v>0</v>
      </c>
      <c r="M7" s="2915">
        <f t="shared" ref="M7" si="32">F7/100</f>
        <v>0</v>
      </c>
      <c r="N7" s="2915">
        <f t="shared" ref="N7" si="33">G7/100</f>
        <v>0</v>
      </c>
      <c r="O7" s="2915">
        <f t="shared" ref="O7" si="34">H7/100</f>
        <v>0</v>
      </c>
      <c r="P7" s="2915">
        <f t="shared" si="10"/>
        <v>0</v>
      </c>
      <c r="Q7" s="2913"/>
      <c r="R7" s="2913">
        <f>ROUND(IF(项目基本情况!$B$8="出让",SUMPRODUCT(PRODUCT(1+K7:$K$24)),SUMPRODUCT(PRODUCT(1+K7:$K$23))),4)</f>
        <v>1.0511999999999999</v>
      </c>
      <c r="S7" s="2913">
        <f>ROUND(IF(项目基本情况!$B$8="出让",SUMPRODUCT(PRODUCT(1+L7:$L$24)),SUMPRODUCT(PRODUCT(1+L7:$L$23))),4)</f>
        <v>1.0398000000000001</v>
      </c>
      <c r="T7" s="2913">
        <f>ROUND(IF(项目基本情况!$B$8="出让",SUMPRODUCT(PRODUCT(1+M7:$M$24)),SUMPRODUCT(PRODUCT(1+M7:$M$23))),4)</f>
        <v>1.0003</v>
      </c>
      <c r="U7" s="2913">
        <f>ROUND(IF(项目基本情况!$B$8="出让",SUMPRODUCT(PRODUCT(1+N7:$N$24)),SUMPRODUCT(PRODUCT(1+N7:$N$23))),4)</f>
        <v>1.0561</v>
      </c>
      <c r="V7" s="2913">
        <f>ROUND(IF(项目基本情况!$B$8="出让",SUMPRODUCT(PRODUCT(1+O7:$O$24)),SUMPRODUCT(PRODUCT(1+O7:$O$23))),4)</f>
        <v>1.0827</v>
      </c>
      <c r="W7" s="2913">
        <f t="shared" si="11"/>
        <v>1.0003</v>
      </c>
      <c r="X7" s="2913"/>
      <c r="Y7" s="2915">
        <f t="shared" si="12"/>
        <v>0</v>
      </c>
      <c r="Z7" s="2915">
        <f t="shared" ref="Z7" si="35">IF(E7=0,0,ROUND(AVERAGE(E7:E20)/100,4))</f>
        <v>0</v>
      </c>
      <c r="AA7" s="2915">
        <f t="shared" ref="AA7" si="36">IF(F7=0,0,ROUND(AVERAGE(F7:F20)/100,4))</f>
        <v>0</v>
      </c>
      <c r="AB7" s="2915">
        <f t="shared" ref="AB7" si="37">IF(G7=0,0,ROUND(AVERAGE(G7:G20)/100,4))</f>
        <v>0</v>
      </c>
      <c r="AC7" s="2915">
        <f t="shared" ref="AC7" si="38">IF(H7=0,0,ROUND(AVERAGE(H7:H20)/100,4))</f>
        <v>0</v>
      </c>
      <c r="AD7" s="2915">
        <f t="shared" ref="AD7" si="39">AA7</f>
        <v>0</v>
      </c>
    </row>
    <row r="8" spans="1:30" s="2044" customFormat="1" ht="12.75">
      <c r="A8" s="2039" t="s">
        <v>3375</v>
      </c>
      <c r="B8" s="2030">
        <v>2025</v>
      </c>
      <c r="C8" s="2041">
        <v>1</v>
      </c>
      <c r="D8" s="2006">
        <v>0</v>
      </c>
      <c r="E8" s="2006">
        <v>0</v>
      </c>
      <c r="F8" s="2006">
        <v>0</v>
      </c>
      <c r="G8" s="2006">
        <v>0</v>
      </c>
      <c r="H8" s="2006">
        <v>0</v>
      </c>
      <c r="I8" s="2007">
        <f t="shared" ref="I8" si="40">F8</f>
        <v>0</v>
      </c>
      <c r="J8" s="2906"/>
      <c r="K8" s="2042">
        <f t="shared" ref="K8" si="41">D8/100</f>
        <v>0</v>
      </c>
      <c r="L8" s="2027">
        <f t="shared" ref="L8" si="42">E8/100</f>
        <v>0</v>
      </c>
      <c r="M8" s="2027">
        <f t="shared" ref="M8" si="43">F8/100</f>
        <v>0</v>
      </c>
      <c r="N8" s="2027">
        <f t="shared" ref="N8" si="44">G8/100</f>
        <v>0</v>
      </c>
      <c r="O8" s="2027">
        <f t="shared" ref="O8" si="45">H8/100</f>
        <v>0</v>
      </c>
      <c r="P8" s="2027">
        <f t="shared" si="10"/>
        <v>0</v>
      </c>
      <c r="Q8" s="2906"/>
      <c r="R8" s="2026">
        <f>ROUND(IF(项目基本情况!$B$8="出让",SUMPRODUCT(PRODUCT(1+K8:$K$24)),SUMPRODUCT(PRODUCT(1+K8:$K$23))),4)</f>
        <v>1.0511999999999999</v>
      </c>
      <c r="S8" s="2026">
        <f>ROUND(IF(项目基本情况!$B$8="出让",SUMPRODUCT(PRODUCT(1+L8:$L$24)),SUMPRODUCT(PRODUCT(1+L8:$L$23))),4)</f>
        <v>1.0398000000000001</v>
      </c>
      <c r="T8" s="2026">
        <f>ROUND(IF(项目基本情况!$B$8="出让",SUMPRODUCT(PRODUCT(1+M8:$M$24)),SUMPRODUCT(PRODUCT(1+M8:$M$23))),4)</f>
        <v>1.0003</v>
      </c>
      <c r="U8" s="2026">
        <f>ROUND(IF(项目基本情况!$B$8="出让",SUMPRODUCT(PRODUCT(1+N8:$N$24)),SUMPRODUCT(PRODUCT(1+N8:$N$23))),4)</f>
        <v>1.0561</v>
      </c>
      <c r="V8" s="2026">
        <f>ROUND(IF(项目基本情况!$B$8="出让",SUMPRODUCT(PRODUCT(1+O8:$O$24)),SUMPRODUCT(PRODUCT(1+O8:$O$23))),4)</f>
        <v>1.0827</v>
      </c>
      <c r="W8" s="2026">
        <f t="shared" si="11"/>
        <v>1.0003</v>
      </c>
      <c r="X8" s="2906"/>
      <c r="Y8" s="2027">
        <f t="shared" si="12"/>
        <v>0</v>
      </c>
      <c r="Z8" s="2027">
        <f t="shared" ref="Z8" si="46">IF(E8=0,0,ROUND(AVERAGE(E8:E21)/100,4))</f>
        <v>0</v>
      </c>
      <c r="AA8" s="2027">
        <f t="shared" ref="AA8" si="47">IF(F8=0,0,ROUND(AVERAGE(F8:F21)/100,4))</f>
        <v>0</v>
      </c>
      <c r="AB8" s="2027">
        <f t="shared" ref="AB8" si="48">IF(G8=0,0,ROUND(AVERAGE(G8:G21)/100,4))</f>
        <v>0</v>
      </c>
      <c r="AC8" s="2027">
        <f t="shared" ref="AC8" si="49">IF(H8=0,0,ROUND(AVERAGE(H8:H21)/100,4))</f>
        <v>0</v>
      </c>
      <c r="AD8" s="2027">
        <f t="shared" ref="AD8" si="50">AA8</f>
        <v>0</v>
      </c>
    </row>
    <row r="9" spans="1:30" s="2044" customFormat="1" ht="12.75">
      <c r="A9" s="2039" t="s">
        <v>3383</v>
      </c>
      <c r="B9" s="2030">
        <v>2024</v>
      </c>
      <c r="C9" s="2041">
        <v>4</v>
      </c>
      <c r="D9" s="2006">
        <v>-1.02</v>
      </c>
      <c r="E9" s="2006">
        <v>-0.48</v>
      </c>
      <c r="F9" s="2006">
        <v>-0.75</v>
      </c>
      <c r="G9" s="2006">
        <v>-1.05</v>
      </c>
      <c r="H9" s="2006">
        <v>0.08</v>
      </c>
      <c r="I9" s="2007">
        <f t="shared" ref="I9" si="51">F9</f>
        <v>-0.75</v>
      </c>
      <c r="J9" s="2906"/>
      <c r="K9" s="2042">
        <f t="shared" ref="K9" si="52">D9/100</f>
        <v>-1.0200000000000001E-2</v>
      </c>
      <c r="L9" s="2027">
        <f t="shared" ref="L9" si="53">E9/100</f>
        <v>-4.7999999999999996E-3</v>
      </c>
      <c r="M9" s="2027">
        <f t="shared" ref="M9" si="54">F9/100</f>
        <v>-7.4999999999999997E-3</v>
      </c>
      <c r="N9" s="2027">
        <f t="shared" ref="N9" si="55">G9/100</f>
        <v>-1.0500000000000001E-2</v>
      </c>
      <c r="O9" s="2027">
        <f t="shared" ref="O9" si="56">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57">IF(E9=0,0,ROUND(AVERAGE(E9:E22)/100,4))</f>
        <v>2.3E-3</v>
      </c>
      <c r="AA9" s="2027">
        <f t="shared" ref="AA9" si="58">IF(F9=0,0,ROUND(AVERAGE(F9:F22)/100,4))</f>
        <v>-2.9999999999999997E-4</v>
      </c>
      <c r="AB9" s="2027">
        <f t="shared" ref="AB9" si="59">IF(G9=0,0,ROUND(AVERAGE(G9:G22)/100,4))</f>
        <v>3.3E-3</v>
      </c>
      <c r="AC9" s="2027">
        <f t="shared" ref="AC9" si="60">IF(H9=0,0,ROUND(AVERAGE(H9:H22)/100,4))</f>
        <v>5.0000000000000001E-3</v>
      </c>
      <c r="AD9" s="2027">
        <f t="shared" ref="AD9" si="61">AA9</f>
        <v>-2.9999999999999997E-4</v>
      </c>
    </row>
    <row r="10" spans="1:30" s="2044" customFormat="1" ht="12.75">
      <c r="A10" s="2039" t="s">
        <v>3382</v>
      </c>
      <c r="B10" s="2030">
        <v>2024</v>
      </c>
      <c r="C10" s="2041">
        <v>3</v>
      </c>
      <c r="D10" s="2006">
        <v>-1.19</v>
      </c>
      <c r="E10" s="2006">
        <v>-0.47</v>
      </c>
      <c r="F10" s="2006">
        <v>-0.28999999999999998</v>
      </c>
      <c r="G10" s="2006">
        <v>-0.74</v>
      </c>
      <c r="H10" s="2006">
        <v>-0.21</v>
      </c>
      <c r="I10" s="2007">
        <f t="shared" ref="I10" si="62">F10</f>
        <v>-0.28999999999999998</v>
      </c>
      <c r="J10" s="2906"/>
      <c r="K10" s="2042">
        <f t="shared" ref="K10" si="63">D10/100</f>
        <v>-1.1899999999999999E-2</v>
      </c>
      <c r="L10" s="2027">
        <f t="shared" ref="L10" si="64">E10/100</f>
        <v>-4.6999999999999993E-3</v>
      </c>
      <c r="M10" s="2027">
        <f t="shared" ref="M10" si="65">F10/100</f>
        <v>-2.8999999999999998E-3</v>
      </c>
      <c r="N10" s="2027">
        <f t="shared" ref="N10" si="66">G10/100</f>
        <v>-7.4000000000000003E-3</v>
      </c>
      <c r="O10" s="2027">
        <f t="shared" ref="O10" si="67">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68">IF(E10=0,0,ROUND(AVERAGE(E10:E23)/100,4))</f>
        <v>3.0999999999999999E-3</v>
      </c>
      <c r="AA10" s="2027">
        <f t="shared" ref="AA10" si="69">IF(F10=0,0,ROUND(AVERAGE(F10:F23)/100,4))</f>
        <v>5.9999999999999995E-4</v>
      </c>
      <c r="AB10" s="2027">
        <f t="shared" ref="AB10" si="70">IF(G10=0,0,ROUND(AVERAGE(G10:G23)/100,4))</f>
        <v>4.7000000000000002E-3</v>
      </c>
      <c r="AC10" s="2027">
        <f t="shared" ref="AC10" si="71">IF(H10=0,0,ROUND(AVERAGE(H10:H23)/100,4))</f>
        <v>5.5999999999999999E-3</v>
      </c>
      <c r="AD10" s="2027">
        <f t="shared" ref="AD10" si="72">AA10</f>
        <v>5.9999999999999995E-4</v>
      </c>
    </row>
    <row r="11" spans="1:30" s="2044" customFormat="1" ht="12.75">
      <c r="A11" s="2905" t="s">
        <v>3376</v>
      </c>
      <c r="B11" s="2030">
        <v>2024</v>
      </c>
      <c r="C11" s="2041">
        <v>2</v>
      </c>
      <c r="D11" s="2006">
        <v>-0.59</v>
      </c>
      <c r="E11" s="2006">
        <v>-0.21</v>
      </c>
      <c r="F11" s="2006">
        <v>-1.38</v>
      </c>
      <c r="G11" s="2006">
        <v>-1.24</v>
      </c>
      <c r="H11" s="2917">
        <v>0.34</v>
      </c>
      <c r="I11" s="2007">
        <f t="shared" ref="I11:I24" si="73">F11</f>
        <v>-1.38</v>
      </c>
      <c r="J11" s="2906"/>
      <c r="K11" s="2042">
        <f t="shared" ref="K11:O24" si="74">D11/100</f>
        <v>-5.8999999999999999E-3</v>
      </c>
      <c r="L11" s="2027">
        <f t="shared" si="74"/>
        <v>-2.0999999999999999E-3</v>
      </c>
      <c r="M11" s="2027">
        <f t="shared" si="74"/>
        <v>-1.38E-2</v>
      </c>
      <c r="N11" s="2027">
        <f t="shared" si="74"/>
        <v>-1.24E-2</v>
      </c>
      <c r="O11" s="2027">
        <f t="shared" si="74"/>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75">IF(E11=0,0,ROUND(AVERAGE(E11:E24)/100,4))</f>
        <v>3.5999999999999999E-3</v>
      </c>
      <c r="AA11" s="2027">
        <f t="shared" si="75"/>
        <v>5.9999999999999995E-4</v>
      </c>
      <c r="AB11" s="2027">
        <f t="shared" si="75"/>
        <v>6.0000000000000001E-3</v>
      </c>
      <c r="AC11" s="2027">
        <f t="shared" si="75"/>
        <v>6.0000000000000001E-3</v>
      </c>
      <c r="AD11" s="2027">
        <f t="shared" ref="AD11:AD23" si="76">AA11</f>
        <v>5.9999999999999995E-4</v>
      </c>
    </row>
    <row r="12" spans="1:30" s="2044" customFormat="1" ht="12.75">
      <c r="A12" s="2905" t="s">
        <v>3374</v>
      </c>
      <c r="B12" s="2030">
        <v>2024</v>
      </c>
      <c r="C12" s="2041">
        <v>1</v>
      </c>
      <c r="D12" s="2006">
        <v>0.08</v>
      </c>
      <c r="E12" s="2006">
        <v>0.46</v>
      </c>
      <c r="F12" s="2006">
        <v>-0.16</v>
      </c>
      <c r="G12" s="2006">
        <v>0.26</v>
      </c>
      <c r="H12" s="2917">
        <v>0.59</v>
      </c>
      <c r="I12" s="2007">
        <v>0</v>
      </c>
      <c r="J12" s="2906"/>
      <c r="K12" s="2042">
        <f t="shared" ref="K12" si="77">D12/100</f>
        <v>8.0000000000000004E-4</v>
      </c>
      <c r="L12" s="2027">
        <f t="shared" ref="L12" si="78">E12/100</f>
        <v>4.5999999999999999E-3</v>
      </c>
      <c r="M12" s="2027">
        <f t="shared" ref="M12" si="79">F12/100</f>
        <v>-1.6000000000000001E-3</v>
      </c>
      <c r="N12" s="2027">
        <f t="shared" ref="N12" si="80">G12/100</f>
        <v>2.5999999999999999E-3</v>
      </c>
      <c r="O12" s="2027">
        <f t="shared" ref="O12" si="81">H12/100</f>
        <v>5.8999999999999999E-3</v>
      </c>
      <c r="P12" s="2027">
        <f t="shared" ref="P12" si="82">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83">T12</f>
        <v>1.0249999999999999</v>
      </c>
      <c r="X12" s="2906"/>
      <c r="Y12" s="2027"/>
      <c r="Z12" s="2027"/>
      <c r="AA12" s="2027"/>
      <c r="AB12" s="2027"/>
      <c r="AC12" s="2027"/>
      <c r="AD12" s="2027"/>
    </row>
    <row r="13" spans="1:30" s="2044" customFormat="1" ht="12.75">
      <c r="A13" s="2905" t="s">
        <v>3370</v>
      </c>
      <c r="B13" s="2030">
        <v>2023</v>
      </c>
      <c r="C13" s="2041">
        <v>4</v>
      </c>
      <c r="D13" s="2006">
        <v>0.19</v>
      </c>
      <c r="E13" s="2006">
        <v>0.24</v>
      </c>
      <c r="F13" s="2006">
        <v>-0.16</v>
      </c>
      <c r="G13" s="2006">
        <v>0.17</v>
      </c>
      <c r="H13" s="2917">
        <v>0.61</v>
      </c>
      <c r="I13" s="2007">
        <f>F13</f>
        <v>-0.16</v>
      </c>
      <c r="J13" s="2906"/>
      <c r="K13" s="2042">
        <f t="shared" si="74"/>
        <v>1.9E-3</v>
      </c>
      <c r="L13" s="2027">
        <f t="shared" si="74"/>
        <v>2.3999999999999998E-3</v>
      </c>
      <c r="M13" s="2027">
        <f t="shared" si="74"/>
        <v>-1.6000000000000001E-3</v>
      </c>
      <c r="N13" s="2027">
        <f t="shared" si="74"/>
        <v>1.7000000000000001E-3</v>
      </c>
      <c r="O13" s="2027">
        <f t="shared" si="74"/>
        <v>6.0999999999999995E-3</v>
      </c>
      <c r="P13" s="2027">
        <f t="shared" ref="P13" si="84">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85">T13</f>
        <v>1.0266</v>
      </c>
      <c r="X13" s="2906"/>
      <c r="Y13" s="2027"/>
      <c r="Z13" s="2027"/>
      <c r="AA13" s="2027"/>
      <c r="AB13" s="2027"/>
      <c r="AC13" s="2027"/>
      <c r="AD13" s="2027"/>
    </row>
    <row r="14" spans="1:30" s="2044" customFormat="1" ht="12.75">
      <c r="A14" s="2905" t="s">
        <v>3369</v>
      </c>
      <c r="B14" s="2030">
        <v>2023</v>
      </c>
      <c r="C14" s="2041">
        <v>3</v>
      </c>
      <c r="D14" s="2006">
        <v>0.25</v>
      </c>
      <c r="E14" s="2006">
        <v>0.5</v>
      </c>
      <c r="F14" s="2006">
        <v>0.31</v>
      </c>
      <c r="G14" s="2006">
        <v>0.21</v>
      </c>
      <c r="H14" s="2917">
        <v>0.43</v>
      </c>
      <c r="I14" s="2007">
        <f t="shared" si="73"/>
        <v>0.31</v>
      </c>
      <c r="J14" s="2906"/>
      <c r="K14" s="2042">
        <f t="shared" ref="K14:K16" si="86">D14/100</f>
        <v>2.5000000000000001E-3</v>
      </c>
      <c r="L14" s="2027">
        <f t="shared" ref="L14:L16" si="87">E14/100</f>
        <v>5.0000000000000001E-3</v>
      </c>
      <c r="M14" s="2027">
        <f t="shared" ref="M14:M16" si="88">F14/100</f>
        <v>3.0999999999999999E-3</v>
      </c>
      <c r="N14" s="2027">
        <f t="shared" ref="N14:N16" si="89">G14/100</f>
        <v>2.0999999999999999E-3</v>
      </c>
      <c r="O14" s="2027">
        <f t="shared" ref="O14:O16" si="90">H14/100</f>
        <v>4.3E-3</v>
      </c>
      <c r="P14" s="2027">
        <f t="shared" ref="P14:P16" si="91">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92">T14</f>
        <v>1.0282</v>
      </c>
      <c r="X14" s="2906"/>
      <c r="Y14" s="2027"/>
      <c r="Z14" s="2027"/>
      <c r="AA14" s="2027"/>
      <c r="AB14" s="2027"/>
      <c r="AC14" s="2027"/>
      <c r="AD14" s="2027"/>
    </row>
    <row r="15" spans="1:30" s="2044" customFormat="1" ht="12.75">
      <c r="A15" s="2905" t="s">
        <v>3367</v>
      </c>
      <c r="B15" s="2030">
        <v>2023</v>
      </c>
      <c r="C15" s="2041">
        <v>2</v>
      </c>
      <c r="D15" s="2006">
        <v>0.91</v>
      </c>
      <c r="E15" s="2006">
        <v>0.66</v>
      </c>
      <c r="F15" s="2006">
        <v>0.47</v>
      </c>
      <c r="G15" s="2006">
        <v>0.96</v>
      </c>
      <c r="H15" s="2917">
        <v>0.71</v>
      </c>
      <c r="I15" s="2007">
        <f t="shared" si="73"/>
        <v>0.47</v>
      </c>
      <c r="J15" s="2906"/>
      <c r="K15" s="2042">
        <f t="shared" si="86"/>
        <v>9.1000000000000004E-3</v>
      </c>
      <c r="L15" s="2027">
        <f t="shared" si="87"/>
        <v>6.6E-3</v>
      </c>
      <c r="M15" s="2027">
        <f t="shared" si="88"/>
        <v>4.6999999999999993E-3</v>
      </c>
      <c r="N15" s="2027">
        <f t="shared" si="89"/>
        <v>9.5999999999999992E-3</v>
      </c>
      <c r="O15" s="2027">
        <f t="shared" si="90"/>
        <v>7.0999999999999995E-3</v>
      </c>
      <c r="P15" s="2027">
        <f t="shared" si="91"/>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92"/>
        <v>1.0250999999999999</v>
      </c>
      <c r="X15" s="2906"/>
      <c r="Y15" s="2027"/>
      <c r="Z15" s="2027"/>
      <c r="AA15" s="2027"/>
      <c r="AB15" s="2027"/>
      <c r="AC15" s="2027"/>
      <c r="AD15" s="2027"/>
    </row>
    <row r="16" spans="1:30" s="2044" customFormat="1" ht="12.75">
      <c r="A16" s="2905" t="s">
        <v>3366</v>
      </c>
      <c r="B16" s="2030">
        <v>2023</v>
      </c>
      <c r="C16" s="2041">
        <v>1</v>
      </c>
      <c r="D16" s="2006">
        <v>0.89</v>
      </c>
      <c r="E16" s="2006">
        <v>0.74</v>
      </c>
      <c r="F16" s="2006">
        <v>0.56999999999999995</v>
      </c>
      <c r="G16" s="2006">
        <v>0.92</v>
      </c>
      <c r="H16" s="2917">
        <v>0.5</v>
      </c>
      <c r="I16" s="2007">
        <f t="shared" si="73"/>
        <v>0.56999999999999995</v>
      </c>
      <c r="J16" s="2906"/>
      <c r="K16" s="2042">
        <f t="shared" si="86"/>
        <v>8.8999999999999999E-3</v>
      </c>
      <c r="L16" s="2027">
        <f t="shared" si="87"/>
        <v>7.4000000000000003E-3</v>
      </c>
      <c r="M16" s="2027">
        <f t="shared" si="88"/>
        <v>5.6999999999999993E-3</v>
      </c>
      <c r="N16" s="2027">
        <f t="shared" si="89"/>
        <v>9.1999999999999998E-3</v>
      </c>
      <c r="O16" s="2027">
        <f t="shared" si="90"/>
        <v>5.0000000000000001E-3</v>
      </c>
      <c r="P16" s="2027">
        <f t="shared" si="91"/>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93">T16</f>
        <v>1.0203</v>
      </c>
      <c r="X16" s="2906"/>
      <c r="Y16" s="2027"/>
      <c r="Z16" s="2027"/>
      <c r="AA16" s="2027"/>
      <c r="AB16" s="2027"/>
      <c r="AC16" s="2027"/>
      <c r="AD16" s="2027"/>
    </row>
    <row r="17" spans="1:30" s="2044" customFormat="1" ht="12.75">
      <c r="A17" s="2905" t="s">
        <v>3365</v>
      </c>
      <c r="B17" s="2030">
        <v>2022</v>
      </c>
      <c r="C17" s="2041">
        <v>4</v>
      </c>
      <c r="D17" s="2006">
        <v>0.62</v>
      </c>
      <c r="E17" s="2006">
        <v>0.2</v>
      </c>
      <c r="F17" s="2006">
        <v>0.11</v>
      </c>
      <c r="G17" s="2006">
        <v>0.69</v>
      </c>
      <c r="H17" s="2917">
        <v>0.53</v>
      </c>
      <c r="I17" s="2007">
        <f t="shared" si="73"/>
        <v>0.11</v>
      </c>
      <c r="J17" s="2906"/>
      <c r="K17" s="2042">
        <f t="shared" si="74"/>
        <v>6.1999999999999998E-3</v>
      </c>
      <c r="L17" s="2027">
        <f t="shared" si="74"/>
        <v>2E-3</v>
      </c>
      <c r="M17" s="2027">
        <f t="shared" si="74"/>
        <v>1.1000000000000001E-3</v>
      </c>
      <c r="N17" s="2027">
        <f t="shared" si="74"/>
        <v>6.8999999999999999E-3</v>
      </c>
      <c r="O17" s="2027">
        <f t="shared" si="74"/>
        <v>5.3E-3</v>
      </c>
      <c r="P17" s="2027">
        <f t="shared" ref="P17:P24" si="94">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93"/>
        <v>1.0145</v>
      </c>
      <c r="X17" s="2906"/>
      <c r="Y17" s="2027">
        <f>IF(D17=0,0,ROUND(AVERAGE(D17:D25)/100,4))</f>
        <v>8.0999999999999996E-3</v>
      </c>
      <c r="Z17" s="2027">
        <f t="shared" ref="Z17:AC17" si="95">IF(E17=0,0,ROUND(AVERAGE(E17:E24)/100,4))</f>
        <v>3.3E-3</v>
      </c>
      <c r="AA17" s="2027">
        <f t="shared" si="95"/>
        <v>1.5E-3</v>
      </c>
      <c r="AB17" s="2027">
        <f t="shared" si="95"/>
        <v>8.8999999999999999E-3</v>
      </c>
      <c r="AC17" s="2027">
        <f t="shared" si="95"/>
        <v>6.6E-3</v>
      </c>
      <c r="AD17" s="2027">
        <f t="shared" si="76"/>
        <v>1.5E-3</v>
      </c>
    </row>
    <row r="18" spans="1:30" s="2044" customFormat="1" ht="12.75">
      <c r="A18" s="2905" t="s">
        <v>3363</v>
      </c>
      <c r="B18" s="2030">
        <v>2022</v>
      </c>
      <c r="C18" s="2041">
        <v>3</v>
      </c>
      <c r="D18" s="2006">
        <v>0.66</v>
      </c>
      <c r="E18" s="2006">
        <v>0.32</v>
      </c>
      <c r="F18" s="2006">
        <v>0.23</v>
      </c>
      <c r="G18" s="2006">
        <v>0.72</v>
      </c>
      <c r="H18" s="2917">
        <v>0.63</v>
      </c>
      <c r="I18" s="2007">
        <f t="shared" si="73"/>
        <v>0.23</v>
      </c>
      <c r="J18" s="2906"/>
      <c r="K18" s="2042">
        <f t="shared" si="74"/>
        <v>6.6E-3</v>
      </c>
      <c r="L18" s="2027">
        <f t="shared" si="74"/>
        <v>3.2000000000000002E-3</v>
      </c>
      <c r="M18" s="2027">
        <f t="shared" si="74"/>
        <v>2.3E-3</v>
      </c>
      <c r="N18" s="2027">
        <f t="shared" si="74"/>
        <v>7.1999999999999998E-3</v>
      </c>
      <c r="O18" s="2027">
        <f t="shared" si="74"/>
        <v>6.3E-3</v>
      </c>
      <c r="P18" s="2027">
        <f t="shared" si="94"/>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93"/>
        <v>1.0134000000000001</v>
      </c>
      <c r="X18" s="2906"/>
      <c r="Y18" s="2027">
        <f>IF(D18=0,0,ROUND(AVERAGE(D18:D24)/100,4))</f>
        <v>8.3999999999999995E-3</v>
      </c>
      <c r="Z18" s="2027">
        <f t="shared" ref="Z18:AC18" si="96">IF(E18=0,0,ROUND(AVERAGE(E18:E24)/100,4))</f>
        <v>3.5000000000000001E-3</v>
      </c>
      <c r="AA18" s="2027">
        <f t="shared" si="96"/>
        <v>1.5E-3</v>
      </c>
      <c r="AB18" s="2027">
        <f t="shared" si="96"/>
        <v>9.1999999999999998E-3</v>
      </c>
      <c r="AC18" s="2027">
        <f t="shared" si="96"/>
        <v>6.7999999999999996E-3</v>
      </c>
      <c r="AD18" s="2027">
        <f t="shared" si="76"/>
        <v>1.5E-3</v>
      </c>
    </row>
    <row r="19" spans="1:30" s="2044" customFormat="1" ht="12.75">
      <c r="A19" s="2905" t="s">
        <v>3354</v>
      </c>
      <c r="B19" s="2030">
        <v>2022</v>
      </c>
      <c r="C19" s="2041">
        <v>2</v>
      </c>
      <c r="D19" s="2006">
        <v>0.93</v>
      </c>
      <c r="E19" s="2006">
        <v>0.15</v>
      </c>
      <c r="F19" s="2006">
        <v>0.01</v>
      </c>
      <c r="G19" s="2006">
        <v>1.05</v>
      </c>
      <c r="H19" s="2917">
        <v>1.08</v>
      </c>
      <c r="I19" s="2007">
        <f t="shared" si="73"/>
        <v>0.01</v>
      </c>
      <c r="J19" s="2906"/>
      <c r="K19" s="2042">
        <f t="shared" si="74"/>
        <v>9.300000000000001E-3</v>
      </c>
      <c r="L19" s="2027">
        <f t="shared" si="74"/>
        <v>1.5E-3</v>
      </c>
      <c r="M19" s="2027">
        <f t="shared" si="74"/>
        <v>1E-4</v>
      </c>
      <c r="N19" s="2027">
        <f t="shared" si="74"/>
        <v>1.0500000000000001E-2</v>
      </c>
      <c r="O19" s="2027">
        <f t="shared" si="74"/>
        <v>1.0800000000000001E-2</v>
      </c>
      <c r="P19" s="2027">
        <f t="shared" si="94"/>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93"/>
        <v>1.0109999999999999</v>
      </c>
      <c r="X19" s="2906"/>
      <c r="Y19" s="2027">
        <f>IF(D19=0,0,ROUND(AVERAGE(D19:D24)/100,4))</f>
        <v>8.6999999999999994E-3</v>
      </c>
      <c r="Z19" s="2027">
        <f t="shared" ref="Z19:AC19" si="97">IF(E19=0,0,ROUND(AVERAGE(E19:E24)/100,4))</f>
        <v>3.5000000000000001E-3</v>
      </c>
      <c r="AA19" s="2027">
        <f t="shared" si="97"/>
        <v>1.4E-3</v>
      </c>
      <c r="AB19" s="2027">
        <f t="shared" si="97"/>
        <v>9.4999999999999998E-3</v>
      </c>
      <c r="AC19" s="2027">
        <f t="shared" si="97"/>
        <v>6.8999999999999999E-3</v>
      </c>
      <c r="AD19" s="2027">
        <f t="shared" si="76"/>
        <v>1.4E-3</v>
      </c>
    </row>
    <row r="20" spans="1:30" s="2044" customFormat="1" ht="12.75">
      <c r="A20" s="2905" t="s">
        <v>2819</v>
      </c>
      <c r="B20" s="2030">
        <v>2022</v>
      </c>
      <c r="C20" s="2041">
        <v>1</v>
      </c>
      <c r="D20" s="2006">
        <v>0.89</v>
      </c>
      <c r="E20" s="2006">
        <v>0.44</v>
      </c>
      <c r="F20" s="2006">
        <v>0.37</v>
      </c>
      <c r="G20" s="2006">
        <v>0.96</v>
      </c>
      <c r="H20" s="2917">
        <v>0.64</v>
      </c>
      <c r="I20" s="2007">
        <f t="shared" si="73"/>
        <v>0.37</v>
      </c>
      <c r="J20" s="2906"/>
      <c r="K20" s="2042">
        <f t="shared" si="74"/>
        <v>8.8999999999999999E-3</v>
      </c>
      <c r="L20" s="2027">
        <f t="shared" si="74"/>
        <v>4.4000000000000003E-3</v>
      </c>
      <c r="M20" s="2027">
        <f t="shared" si="74"/>
        <v>3.7000000000000002E-3</v>
      </c>
      <c r="N20" s="2027">
        <f t="shared" si="74"/>
        <v>9.5999999999999992E-3</v>
      </c>
      <c r="O20" s="2027">
        <f t="shared" si="74"/>
        <v>6.4000000000000003E-3</v>
      </c>
      <c r="P20" s="2027">
        <f t="shared" si="94"/>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93"/>
        <v>1.0108999999999999</v>
      </c>
      <c r="X20" s="2906"/>
      <c r="Y20" s="2027">
        <f>IF(D20=0,0,ROUND(AVERAGE(D20:D24)/100,4))</f>
        <v>8.6E-3</v>
      </c>
      <c r="Z20" s="2027">
        <f t="shared" ref="Z20:AC20" si="98">IF(E20=0,0,ROUND(AVERAGE(E20:E24)/100,4))</f>
        <v>3.8999999999999998E-3</v>
      </c>
      <c r="AA20" s="2027">
        <f t="shared" si="98"/>
        <v>1.6999999999999999E-3</v>
      </c>
      <c r="AB20" s="2027">
        <f t="shared" si="98"/>
        <v>9.2999999999999992E-3</v>
      </c>
      <c r="AC20" s="2027">
        <f t="shared" si="98"/>
        <v>6.1000000000000004E-3</v>
      </c>
      <c r="AD20" s="2027">
        <f t="shared" si="76"/>
        <v>1.6999999999999999E-3</v>
      </c>
    </row>
    <row r="21" spans="1:30" s="2044" customFormat="1" ht="12.75">
      <c r="A21" s="2905" t="s">
        <v>2820</v>
      </c>
      <c r="B21" s="2030">
        <v>2021</v>
      </c>
      <c r="C21" s="2041">
        <v>4</v>
      </c>
      <c r="D21" s="2006">
        <v>1.03</v>
      </c>
      <c r="E21" s="2006">
        <v>0.24</v>
      </c>
      <c r="F21" s="2006">
        <v>7.0000000000000007E-2</v>
      </c>
      <c r="G21" s="2006">
        <v>1.17</v>
      </c>
      <c r="H21" s="2917">
        <v>0.55000000000000004</v>
      </c>
      <c r="I21" s="2007">
        <f t="shared" si="73"/>
        <v>7.0000000000000007E-2</v>
      </c>
      <c r="J21" s="2906"/>
      <c r="K21" s="2042">
        <f t="shared" si="74"/>
        <v>1.03E-2</v>
      </c>
      <c r="L21" s="2027">
        <f t="shared" si="74"/>
        <v>2.3999999999999998E-3</v>
      </c>
      <c r="M21" s="2027">
        <f t="shared" si="74"/>
        <v>7.000000000000001E-4</v>
      </c>
      <c r="N21" s="2027">
        <f t="shared" si="74"/>
        <v>1.1699999999999999E-2</v>
      </c>
      <c r="O21" s="2027">
        <f t="shared" si="74"/>
        <v>5.5000000000000005E-3</v>
      </c>
      <c r="P21" s="2027">
        <f t="shared" si="94"/>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93"/>
        <v>1.0072000000000001</v>
      </c>
      <c r="X21" s="2906"/>
      <c r="Y21" s="2027">
        <f>IF(D21=0,0,ROUND(AVERAGE(D21:D24)/100,4))</f>
        <v>8.5000000000000006E-3</v>
      </c>
      <c r="Z21" s="2027">
        <f t="shared" ref="Z21:AC21" si="99">IF(E21=0,0,ROUND(AVERAGE(E21:E24)/100,4))</f>
        <v>3.8E-3</v>
      </c>
      <c r="AA21" s="2027">
        <f t="shared" si="99"/>
        <v>1.1999999999999999E-3</v>
      </c>
      <c r="AB21" s="2027">
        <f t="shared" si="99"/>
        <v>9.2999999999999992E-3</v>
      </c>
      <c r="AC21" s="2027">
        <f t="shared" si="99"/>
        <v>6.0000000000000001E-3</v>
      </c>
      <c r="AD21" s="2027">
        <f t="shared" si="76"/>
        <v>1.1999999999999999E-3</v>
      </c>
    </row>
    <row r="22" spans="1:30" s="2044" customFormat="1" ht="12.75">
      <c r="A22" s="2905" t="s">
        <v>2821</v>
      </c>
      <c r="B22" s="2030">
        <v>2021</v>
      </c>
      <c r="C22" s="2041">
        <v>3</v>
      </c>
      <c r="D22" s="2006">
        <v>0.47</v>
      </c>
      <c r="E22" s="2006">
        <v>0.41</v>
      </c>
      <c r="F22" s="2006">
        <v>0.24</v>
      </c>
      <c r="G22" s="2006">
        <v>0.48</v>
      </c>
      <c r="H22" s="2917">
        <v>0.48</v>
      </c>
      <c r="I22" s="2007">
        <f t="shared" si="73"/>
        <v>0.24</v>
      </c>
      <c r="J22" s="2906"/>
      <c r="K22" s="2042">
        <f t="shared" si="74"/>
        <v>4.6999999999999993E-3</v>
      </c>
      <c r="L22" s="2027">
        <f t="shared" si="74"/>
        <v>4.0999999999999995E-3</v>
      </c>
      <c r="M22" s="2027">
        <f t="shared" si="74"/>
        <v>2.3999999999999998E-3</v>
      </c>
      <c r="N22" s="2027">
        <f t="shared" si="74"/>
        <v>4.7999999999999996E-3</v>
      </c>
      <c r="O22" s="2027">
        <f t="shared" si="74"/>
        <v>4.7999999999999996E-3</v>
      </c>
      <c r="P22" s="2027">
        <f t="shared" si="94"/>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93"/>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76"/>
        <v>1.2999999999999999E-3</v>
      </c>
    </row>
    <row r="23" spans="1:30" s="2044" customFormat="1" ht="12.75">
      <c r="A23" s="2905" t="s">
        <v>2822</v>
      </c>
      <c r="B23" s="2030">
        <v>2021</v>
      </c>
      <c r="C23" s="2041">
        <v>2</v>
      </c>
      <c r="D23" s="2006">
        <v>0.92</v>
      </c>
      <c r="E23" s="2006">
        <v>0.72</v>
      </c>
      <c r="F23" s="2006">
        <v>0.41</v>
      </c>
      <c r="G23" s="2006">
        <v>0.95</v>
      </c>
      <c r="H23" s="2917">
        <v>1.01</v>
      </c>
      <c r="I23" s="2007">
        <f t="shared" si="73"/>
        <v>0.41</v>
      </c>
      <c r="J23" s="2906"/>
      <c r="K23" s="2042">
        <f t="shared" si="74"/>
        <v>9.1999999999999998E-3</v>
      </c>
      <c r="L23" s="2027">
        <f t="shared" si="74"/>
        <v>7.1999999999999998E-3</v>
      </c>
      <c r="M23" s="2027">
        <f t="shared" si="74"/>
        <v>4.0999999999999995E-3</v>
      </c>
      <c r="N23" s="2027">
        <f t="shared" si="74"/>
        <v>9.4999999999999998E-3</v>
      </c>
      <c r="O23" s="2027">
        <f t="shared" si="74"/>
        <v>1.01E-2</v>
      </c>
      <c r="P23" s="2027">
        <f t="shared" si="94"/>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93"/>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76"/>
        <v>8.0000000000000004E-4</v>
      </c>
    </row>
    <row r="24" spans="1:30" s="2928" customFormat="1" thickBot="1">
      <c r="A24" s="2918" t="s">
        <v>2823</v>
      </c>
      <c r="B24" s="2919">
        <v>2021</v>
      </c>
      <c r="C24" s="2920">
        <v>1</v>
      </c>
      <c r="D24" s="2921">
        <v>0.97</v>
      </c>
      <c r="E24" s="2921">
        <v>0.16</v>
      </c>
      <c r="F24" s="2921">
        <v>-0.25</v>
      </c>
      <c r="G24" s="2921">
        <v>1.1100000000000001</v>
      </c>
      <c r="H24" s="2922">
        <v>0.36</v>
      </c>
      <c r="I24" s="2923">
        <f t="shared" si="73"/>
        <v>-0.25</v>
      </c>
      <c r="J24" s="2924"/>
      <c r="K24" s="2925">
        <f t="shared" si="74"/>
        <v>9.7000000000000003E-3</v>
      </c>
      <c r="L24" s="2926">
        <f t="shared" si="74"/>
        <v>1.6000000000000001E-3</v>
      </c>
      <c r="M24" s="2926">
        <f>F24/100</f>
        <v>-2.5000000000000001E-3</v>
      </c>
      <c r="N24" s="2926">
        <f t="shared" si="74"/>
        <v>1.11E-2</v>
      </c>
      <c r="O24" s="2926">
        <f t="shared" si="74"/>
        <v>3.5999999999999999E-3</v>
      </c>
      <c r="P24" s="2926">
        <f t="shared" si="94"/>
        <v>-2.5000000000000001E-3</v>
      </c>
      <c r="Q24" s="2924"/>
      <c r="R24" s="2927">
        <v>1</v>
      </c>
      <c r="S24" s="2927">
        <v>1</v>
      </c>
      <c r="T24" s="2927">
        <v>1</v>
      </c>
      <c r="U24" s="2927">
        <v>1</v>
      </c>
      <c r="V24" s="2927">
        <v>1</v>
      </c>
      <c r="W24" s="2927">
        <f t="shared" ref="W24" si="100">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row>
    <row r="25" spans="1:30" ht="14.25" thickTop="1"/>
    <row r="26" spans="1:30">
      <c r="A26" s="3143" t="s">
        <v>3381</v>
      </c>
    </row>
    <row r="27" spans="1:30">
      <c r="I27" s="1404" t="s">
        <v>2824</v>
      </c>
    </row>
    <row r="29" spans="1:30" s="2008" customFormat="1" ht="12.75">
      <c r="B29" s="2929" t="s">
        <v>3379</v>
      </c>
      <c r="C29" s="2930"/>
      <c r="D29" s="2930"/>
      <c r="E29" s="2930"/>
      <c r="F29" s="2930"/>
      <c r="G29" s="2930"/>
      <c r="H29" s="2930"/>
      <c r="I29" s="2930"/>
      <c r="J29" s="2896"/>
      <c r="K29" s="2930" t="s">
        <v>2825</v>
      </c>
      <c r="L29" s="2930"/>
      <c r="M29" s="2930"/>
      <c r="N29" s="2930"/>
      <c r="O29" s="2930"/>
      <c r="P29" s="2930"/>
      <c r="Q29" s="2896"/>
      <c r="R29" s="3489" t="s">
        <v>2826</v>
      </c>
      <c r="S29" s="3490"/>
      <c r="T29" s="3490"/>
      <c r="U29" s="3490"/>
      <c r="V29" s="3490"/>
      <c r="W29" s="3490"/>
      <c r="X29" s="2896"/>
      <c r="Y29" s="3489" t="s">
        <v>2827</v>
      </c>
      <c r="Z29" s="3490"/>
      <c r="AA29" s="3490"/>
      <c r="AB29" s="3490"/>
      <c r="AC29" s="3490"/>
      <c r="AD29" s="3490"/>
    </row>
    <row r="30" spans="1:30" s="2009" customFormat="1" ht="14.25" thickBot="1">
      <c r="B30" s="2881"/>
      <c r="C30" s="2882"/>
      <c r="D30" s="2010" t="s">
        <v>2828</v>
      </c>
      <c r="E30" s="2011" t="s">
        <v>2829</v>
      </c>
      <c r="F30" s="2011" t="s">
        <v>2830</v>
      </c>
      <c r="G30" s="2011" t="s">
        <v>2831</v>
      </c>
      <c r="H30" s="2011"/>
      <c r="I30" s="2011" t="s">
        <v>2832</v>
      </c>
      <c r="J30" s="2883"/>
      <c r="K30" s="2010" t="s">
        <v>2828</v>
      </c>
      <c r="L30" s="2011" t="s">
        <v>2829</v>
      </c>
      <c r="M30" s="2011" t="s">
        <v>2830</v>
      </c>
      <c r="N30" s="2011" t="s">
        <v>2831</v>
      </c>
      <c r="O30" s="2011"/>
      <c r="P30" s="2011" t="s">
        <v>2832</v>
      </c>
      <c r="Q30" s="2883"/>
      <c r="R30" s="2010" t="s">
        <v>2828</v>
      </c>
      <c r="S30" s="2011" t="s">
        <v>2829</v>
      </c>
      <c r="T30" s="2011" t="s">
        <v>2830</v>
      </c>
      <c r="U30" s="2011" t="s">
        <v>2831</v>
      </c>
      <c r="V30" s="2011"/>
      <c r="W30" s="2011" t="s">
        <v>2832</v>
      </c>
      <c r="X30" s="2883"/>
      <c r="Y30" s="2010" t="s">
        <v>2828</v>
      </c>
      <c r="Z30" s="2011" t="s">
        <v>2829</v>
      </c>
      <c r="AA30" s="2011" t="s">
        <v>2830</v>
      </c>
      <c r="AB30" s="2011" t="s">
        <v>2831</v>
      </c>
      <c r="AC30" s="2011"/>
      <c r="AD30" s="2011" t="s">
        <v>2832</v>
      </c>
    </row>
    <row r="31" spans="1:30" s="2886" customFormat="1" ht="12.75">
      <c r="A31" s="2884" t="s">
        <v>2833</v>
      </c>
      <c r="B31" s="2885"/>
      <c r="E31" s="2886">
        <f t="shared" ref="E31:G31" si="101">ROUND(AVERAGEIF(E32:E52,"&lt;&gt;0"),2)</f>
        <v>0.21</v>
      </c>
      <c r="F31" s="2886">
        <f t="shared" si="101"/>
        <v>0.14000000000000001</v>
      </c>
      <c r="G31" s="2886">
        <f t="shared" si="101"/>
        <v>0.3</v>
      </c>
      <c r="I31" s="2886">
        <f>F31</f>
        <v>0.14000000000000001</v>
      </c>
      <c r="J31" s="2887"/>
      <c r="K31" s="2888"/>
      <c r="L31" s="2889">
        <f t="shared" ref="L31:N31" si="102">ROUND(AVERAGEIF(L32:L52,"&lt;&gt;0"),4)</f>
        <v>2.0999999999999999E-3</v>
      </c>
      <c r="M31" s="2889">
        <f t="shared" si="102"/>
        <v>1.4E-3</v>
      </c>
      <c r="N31" s="2889">
        <f t="shared" si="102"/>
        <v>3.0000000000000001E-3</v>
      </c>
      <c r="O31" s="2889"/>
      <c r="P31" s="2889">
        <f>M31</f>
        <v>1.4E-3</v>
      </c>
      <c r="Q31" s="2887"/>
      <c r="R31" s="2890"/>
      <c r="S31" s="2891">
        <f>ROUND(SUMPRODUCT(PRODUCT(1+L32:L52)),4)</f>
        <v>1.0337000000000001</v>
      </c>
      <c r="T31" s="2891">
        <f t="shared" ref="T31:U31" si="103">ROUND(SUMPRODUCT(PRODUCT(1+M32:M52)),4)</f>
        <v>1.022</v>
      </c>
      <c r="U31" s="2891">
        <f t="shared" si="103"/>
        <v>1.0489999999999999</v>
      </c>
      <c r="V31" s="2891"/>
      <c r="W31" s="2890">
        <f>T31</f>
        <v>1.022</v>
      </c>
      <c r="X31" s="2887"/>
      <c r="Y31" s="2892"/>
      <c r="Z31" s="2893">
        <f t="shared" ref="Z31:AB31" si="104">ROUND(AVERAGEIF(Z32:Z52,"&lt;&gt;0"),4)</f>
        <v>3.8E-3</v>
      </c>
      <c r="AA31" s="2894">
        <f t="shared" si="104"/>
        <v>3.0000000000000001E-3</v>
      </c>
      <c r="AB31" s="2892">
        <f t="shared" si="104"/>
        <v>7.4999999999999997E-3</v>
      </c>
      <c r="AC31" s="2895"/>
      <c r="AD31" s="2892">
        <f>AA31</f>
        <v>3.0000000000000001E-3</v>
      </c>
    </row>
    <row r="32" spans="1:30"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30" s="2044" customFormat="1" ht="12.75">
      <c r="A33" s="2039" t="s">
        <v>3457</v>
      </c>
      <c r="B33" s="2030">
        <v>2025</v>
      </c>
      <c r="C33" s="2041">
        <v>4</v>
      </c>
      <c r="D33" s="2006"/>
      <c r="E33" s="2006">
        <v>0</v>
      </c>
      <c r="F33" s="2006">
        <v>0</v>
      </c>
      <c r="G33" s="2006">
        <v>0</v>
      </c>
      <c r="H33" s="2006"/>
      <c r="I33" s="2007">
        <f t="shared" ref="I33" si="105">F33</f>
        <v>0</v>
      </c>
      <c r="J33" s="2906"/>
      <c r="K33" s="2042"/>
      <c r="L33" s="2027">
        <f t="shared" ref="L33" si="106">E33/100</f>
        <v>0</v>
      </c>
      <c r="M33" s="2027">
        <f t="shared" ref="M33" si="107">F33/100</f>
        <v>0</v>
      </c>
      <c r="N33" s="2027">
        <f t="shared" ref="N33" si="108">G33/100</f>
        <v>0</v>
      </c>
      <c r="O33" s="2027"/>
      <c r="P33" s="2027">
        <f t="shared" ref="P33:P39" si="109">M33</f>
        <v>0</v>
      </c>
      <c r="Q33" s="2906"/>
      <c r="R33" s="2026"/>
      <c r="S33" s="2026">
        <f>ROUND(IF(项目基本情况!$B$8="出让",SUMPRODUCT(PRODUCT(1+L33:L$52)),SUMPRODUCT(PRODUCT(1+L33:L$51))),4)</f>
        <v>1.0301</v>
      </c>
      <c r="T33" s="2026">
        <f>ROUND(IF(项目基本情况!$B$8="出让",SUMPRODUCT(PRODUCT(1+M33:M$52)),SUMPRODUCT(PRODUCT(1+M33:M$51))),4)</f>
        <v>1.0170999999999999</v>
      </c>
      <c r="U33" s="2026">
        <f>ROUND(IF(项目基本情况!$B$8="出让",SUMPRODUCT(PRODUCT(1+N33:N$52)),SUMPRODUCT(PRODUCT(1+N33:N$51))),4)</f>
        <v>1.0387999999999999</v>
      </c>
      <c r="V33" s="2026"/>
      <c r="W33" s="2026">
        <f t="shared" ref="W33:W39" si="110">T33</f>
        <v>1.0170999999999999</v>
      </c>
      <c r="X33" s="2906"/>
      <c r="Y33" s="2027"/>
      <c r="Z33" s="2902">
        <f t="shared" ref="Z33" si="111">IF(E33=0,0,ROUND(AVERAGE(E33:E46)/100,4))</f>
        <v>0</v>
      </c>
      <c r="AA33" s="2902">
        <f t="shared" ref="AA33" si="112">IF(F33=0,0,ROUND(AVERAGE(F33:F46)/100,4))</f>
        <v>0</v>
      </c>
      <c r="AB33" s="2902">
        <f t="shared" ref="AB33" si="113">IF(G33=0,0,ROUND(AVERAGE(G33:G46)/100,4))</f>
        <v>0</v>
      </c>
      <c r="AC33" s="2904"/>
      <c r="AD33" s="2027">
        <f t="shared" ref="AD33:AD39" si="114">IF(I33=0,0,ROUND(AVERAGE(I33:I46)/100,4))</f>
        <v>0</v>
      </c>
    </row>
    <row r="34" spans="1:30" s="2044" customFormat="1" ht="12.75">
      <c r="A34" s="2039" t="s">
        <v>3460</v>
      </c>
      <c r="B34" s="2030">
        <v>2025</v>
      </c>
      <c r="C34" s="2041">
        <v>3</v>
      </c>
      <c r="D34" s="2006"/>
      <c r="E34" s="2006">
        <v>0</v>
      </c>
      <c r="F34" s="2006">
        <v>0</v>
      </c>
      <c r="G34" s="2006">
        <v>0</v>
      </c>
      <c r="H34" s="2006"/>
      <c r="I34" s="2007">
        <f t="shared" ref="I34" si="115">F34</f>
        <v>0</v>
      </c>
      <c r="J34" s="2906"/>
      <c r="K34" s="2042"/>
      <c r="L34" s="2027">
        <f t="shared" ref="L34" si="116">E34/100</f>
        <v>0</v>
      </c>
      <c r="M34" s="2027">
        <f t="shared" ref="M34" si="117">F34/100</f>
        <v>0</v>
      </c>
      <c r="N34" s="2027">
        <f t="shared" ref="N34" si="118">G34/100</f>
        <v>0</v>
      </c>
      <c r="O34" s="2027"/>
      <c r="P34" s="2027">
        <f t="shared" si="109"/>
        <v>0</v>
      </c>
      <c r="Q34" s="2906"/>
      <c r="R34" s="2026"/>
      <c r="S34" s="2026">
        <f>ROUND(IF(项目基本情况!$B$8="出让",SUMPRODUCT(PRODUCT(1+L34:L$52)),SUMPRODUCT(PRODUCT(1+L34:L$51))),4)</f>
        <v>1.0301</v>
      </c>
      <c r="T34" s="2026">
        <f>ROUND(IF(项目基本情况!$B$8="出让",SUMPRODUCT(PRODUCT(1+M34:M$52)),SUMPRODUCT(PRODUCT(1+M34:M$51))),4)</f>
        <v>1.0170999999999999</v>
      </c>
      <c r="U34" s="2026">
        <f>ROUND(IF(项目基本情况!$B$8="出让",SUMPRODUCT(PRODUCT(1+N34:N$52)),SUMPRODUCT(PRODUCT(1+N34:N$51))),4)</f>
        <v>1.0387999999999999</v>
      </c>
      <c r="V34" s="2026"/>
      <c r="W34" s="2026">
        <f t="shared" si="110"/>
        <v>1.0170999999999999</v>
      </c>
      <c r="X34" s="2906"/>
      <c r="Y34" s="2027"/>
      <c r="Z34" s="2902">
        <f t="shared" ref="Z34" si="119">IF(E34=0,0,ROUND(AVERAGE(E34:E47)/100,4))</f>
        <v>0</v>
      </c>
      <c r="AA34" s="2902">
        <f t="shared" ref="AA34" si="120">IF(F34=0,0,ROUND(AVERAGE(F34:F47)/100,4))</f>
        <v>0</v>
      </c>
      <c r="AB34" s="2902">
        <f t="shared" ref="AB34" si="121">IF(G34=0,0,ROUND(AVERAGE(G34:G47)/100,4))</f>
        <v>0</v>
      </c>
      <c r="AC34" s="2904"/>
      <c r="AD34" s="2027">
        <f t="shared" si="114"/>
        <v>0</v>
      </c>
    </row>
    <row r="35" spans="1:30" s="2916" customFormat="1" ht="12.75">
      <c r="A35" s="2907" t="s">
        <v>3461</v>
      </c>
      <c r="B35" s="2908">
        <v>2025</v>
      </c>
      <c r="C35" s="2909">
        <v>2</v>
      </c>
      <c r="D35" s="2910"/>
      <c r="E35" s="2910">
        <v>0</v>
      </c>
      <c r="F35" s="2910">
        <v>0</v>
      </c>
      <c r="G35" s="2910">
        <v>0</v>
      </c>
      <c r="H35" s="2911"/>
      <c r="I35" s="2912">
        <f t="shared" ref="I35" si="122">F35</f>
        <v>0</v>
      </c>
      <c r="J35" s="2913"/>
      <c r="K35" s="2914"/>
      <c r="L35" s="2915">
        <f t="shared" ref="L35" si="123">E35/100</f>
        <v>0</v>
      </c>
      <c r="M35" s="2915">
        <f t="shared" ref="M35" si="124">F35/100</f>
        <v>0</v>
      </c>
      <c r="N35" s="2915">
        <f t="shared" ref="N35" si="125">G35/100</f>
        <v>0</v>
      </c>
      <c r="O35" s="2915"/>
      <c r="P35" s="2915">
        <f t="shared" si="109"/>
        <v>0</v>
      </c>
      <c r="Q35" s="2913"/>
      <c r="R35" s="2913"/>
      <c r="S35" s="2913">
        <f>ROUND(IF(项目基本情况!$B$8="出让",SUMPRODUCT(PRODUCT(1+L35:L$52)),SUMPRODUCT(PRODUCT(1+L35:L$51))),4)</f>
        <v>1.0301</v>
      </c>
      <c r="T35" s="2913">
        <f>ROUND(IF(项目基本情况!$B$8="出让",SUMPRODUCT(PRODUCT(1+M35:M$52)),SUMPRODUCT(PRODUCT(1+M35:M$51))),4)</f>
        <v>1.0170999999999999</v>
      </c>
      <c r="U35" s="2913">
        <f>ROUND(IF(项目基本情况!$B$8="出让",SUMPRODUCT(PRODUCT(1+N35:N$52)),SUMPRODUCT(PRODUCT(1+N35:N$51))),4)</f>
        <v>1.0387999999999999</v>
      </c>
      <c r="V35" s="2913"/>
      <c r="W35" s="2913">
        <f t="shared" si="110"/>
        <v>1.0170999999999999</v>
      </c>
      <c r="X35" s="2913"/>
      <c r="Y35" s="2915"/>
      <c r="Z35" s="2931">
        <f t="shared" ref="Z35" si="126">IF(E35=0,0,ROUND(AVERAGE(E35:E48)/100,4))</f>
        <v>0</v>
      </c>
      <c r="AA35" s="2932">
        <f t="shared" ref="AA35" si="127">IF(F35=0,0,ROUND(AVERAGE(F35:F48)/100,4))</f>
        <v>0</v>
      </c>
      <c r="AB35" s="2915">
        <f t="shared" ref="AB35" si="128">IF(G35=0,0,ROUND(AVERAGE(G35:G48)/100,4))</f>
        <v>0</v>
      </c>
      <c r="AC35" s="2933"/>
      <c r="AD35" s="2915">
        <f t="shared" si="114"/>
        <v>0</v>
      </c>
    </row>
    <row r="36" spans="1:30" s="2044" customFormat="1" ht="12.75">
      <c r="A36" s="2039" t="s">
        <v>3375</v>
      </c>
      <c r="B36" s="2030">
        <v>2025</v>
      </c>
      <c r="C36" s="2041">
        <v>1</v>
      </c>
      <c r="D36" s="2006"/>
      <c r="E36" s="2006">
        <v>0</v>
      </c>
      <c r="F36" s="2006">
        <v>0</v>
      </c>
      <c r="G36" s="2006">
        <v>0</v>
      </c>
      <c r="H36" s="2006"/>
      <c r="I36" s="2007">
        <f t="shared" ref="I36" si="129">F36</f>
        <v>0</v>
      </c>
      <c r="J36" s="2906"/>
      <c r="K36" s="2042"/>
      <c r="L36" s="2027">
        <f t="shared" ref="L36" si="130">E36/100</f>
        <v>0</v>
      </c>
      <c r="M36" s="2027">
        <f t="shared" ref="M36" si="131">F36/100</f>
        <v>0</v>
      </c>
      <c r="N36" s="2027">
        <f t="shared" ref="N36" si="132">G36/100</f>
        <v>0</v>
      </c>
      <c r="O36" s="2027"/>
      <c r="P36" s="2027">
        <f t="shared" si="109"/>
        <v>0</v>
      </c>
      <c r="Q36" s="2906"/>
      <c r="R36" s="2026"/>
      <c r="S36" s="2026">
        <f>ROUND(IF(项目基本情况!$B$8="出让",SUMPRODUCT(PRODUCT(1+L36:L$52)),SUMPRODUCT(PRODUCT(1+L36:L$51))),4)</f>
        <v>1.0301</v>
      </c>
      <c r="T36" s="2026">
        <f>ROUND(IF(项目基本情况!$B$8="出让",SUMPRODUCT(PRODUCT(1+M36:M$52)),SUMPRODUCT(PRODUCT(1+M36:M$51))),4)</f>
        <v>1.0170999999999999</v>
      </c>
      <c r="U36" s="2026">
        <f>ROUND(IF(项目基本情况!$B$8="出让",SUMPRODUCT(PRODUCT(1+N36:N$52)),SUMPRODUCT(PRODUCT(1+N36:N$51))),4)</f>
        <v>1.0387999999999999</v>
      </c>
      <c r="V36" s="2026"/>
      <c r="W36" s="2026">
        <f t="shared" si="110"/>
        <v>1.0170999999999999</v>
      </c>
      <c r="X36" s="2906"/>
      <c r="Y36" s="2027"/>
      <c r="Z36" s="2902">
        <f t="shared" ref="Z36" si="133">IF(E36=0,0,ROUND(AVERAGE(E36:E49)/100,4))</f>
        <v>0</v>
      </c>
      <c r="AA36" s="2902">
        <f t="shared" ref="AA36" si="134">IF(F36=0,0,ROUND(AVERAGE(F36:F49)/100,4))</f>
        <v>0</v>
      </c>
      <c r="AB36" s="2902">
        <f t="shared" ref="AB36" si="135">IF(G36=0,0,ROUND(AVERAGE(G36:G49)/100,4))</f>
        <v>0</v>
      </c>
      <c r="AC36" s="2904"/>
      <c r="AD36" s="2027">
        <f t="shared" si="114"/>
        <v>0</v>
      </c>
    </row>
    <row r="37" spans="1:30" s="2044" customFormat="1" ht="12.75">
      <c r="A37" s="2039" t="s">
        <v>3462</v>
      </c>
      <c r="B37" s="2030">
        <v>2024</v>
      </c>
      <c r="C37" s="2041">
        <v>4</v>
      </c>
      <c r="D37" s="2006"/>
      <c r="E37" s="2006">
        <v>-0.61</v>
      </c>
      <c r="F37" s="2006">
        <v>-0.71</v>
      </c>
      <c r="G37" s="2006">
        <v>-0.88</v>
      </c>
      <c r="H37" s="2006"/>
      <c r="I37" s="2007">
        <f t="shared" ref="I37" si="136">F37</f>
        <v>-0.71</v>
      </c>
      <c r="J37" s="2906"/>
      <c r="K37" s="2042"/>
      <c r="L37" s="2027">
        <f t="shared" ref="L37" si="137">E37/100</f>
        <v>-6.0999999999999995E-3</v>
      </c>
      <c r="M37" s="2027">
        <f t="shared" ref="M37" si="138">F37/100</f>
        <v>-7.0999999999999995E-3</v>
      </c>
      <c r="N37" s="2027">
        <f t="shared" ref="N37" si="139">G37/100</f>
        <v>-8.8000000000000005E-3</v>
      </c>
      <c r="O37" s="2027"/>
      <c r="P37" s="2027">
        <f t="shared" si="109"/>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10"/>
        <v>1.0170999999999999</v>
      </c>
      <c r="X37" s="2906"/>
      <c r="Y37" s="2027"/>
      <c r="Z37" s="2902">
        <f t="shared" ref="Z37" si="140">IF(E37=0,0,ROUND(AVERAGE(E37:E50)/100,4))</f>
        <v>1.6999999999999999E-3</v>
      </c>
      <c r="AA37" s="2902">
        <f t="shared" ref="AA37" si="141">IF(F37=0,0,ROUND(AVERAGE(F37:F50)/100,4))</f>
        <v>8.9999999999999998E-4</v>
      </c>
      <c r="AB37" s="2902">
        <f t="shared" ref="AB37" si="142">IF(G37=0,0,ROUND(AVERAGE(G37:G50)/100,4))</f>
        <v>2E-3</v>
      </c>
      <c r="AC37" s="2904"/>
      <c r="AD37" s="2027">
        <f t="shared" si="114"/>
        <v>8.9999999999999998E-4</v>
      </c>
    </row>
    <row r="38" spans="1:30" s="2044" customFormat="1" ht="12.75">
      <c r="A38" s="2039" t="s">
        <v>3372</v>
      </c>
      <c r="B38" s="2030">
        <v>2024</v>
      </c>
      <c r="C38" s="2041">
        <v>3</v>
      </c>
      <c r="D38" s="2006"/>
      <c r="E38" s="2006">
        <v>-0.66</v>
      </c>
      <c r="F38" s="2006">
        <v>-0.52</v>
      </c>
      <c r="G38" s="2006">
        <v>-2.87</v>
      </c>
      <c r="H38" s="2006"/>
      <c r="I38" s="2007">
        <f t="shared" ref="I38" si="143">F38</f>
        <v>-0.52</v>
      </c>
      <c r="J38" s="2906"/>
      <c r="K38" s="2042"/>
      <c r="L38" s="2027">
        <f t="shared" ref="L38" si="144">E38/100</f>
        <v>-6.6E-3</v>
      </c>
      <c r="M38" s="2027">
        <f t="shared" ref="M38" si="145">F38/100</f>
        <v>-5.1999999999999998E-3</v>
      </c>
      <c r="N38" s="2027">
        <f t="shared" ref="N38" si="146">G38/100</f>
        <v>-2.87E-2</v>
      </c>
      <c r="O38" s="2027"/>
      <c r="P38" s="2027">
        <f t="shared" si="109"/>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10"/>
        <v>1.0244</v>
      </c>
      <c r="X38" s="2906"/>
      <c r="Y38" s="2027"/>
      <c r="Z38" s="2902">
        <f t="shared" ref="Z38:AB39" si="147">IF(E38=0,0,ROUND(AVERAGE(E38:E51)/100,4))</f>
        <v>2.5999999999999999E-3</v>
      </c>
      <c r="AA38" s="2902">
        <f t="shared" si="147"/>
        <v>1.6999999999999999E-3</v>
      </c>
      <c r="AB38" s="2902">
        <f t="shared" si="147"/>
        <v>3.3999999999999998E-3</v>
      </c>
      <c r="AC38" s="2904"/>
      <c r="AD38" s="2027">
        <f t="shared" si="114"/>
        <v>1.6999999999999999E-3</v>
      </c>
    </row>
    <row r="39" spans="1:30" s="2044" customFormat="1" ht="12.75">
      <c r="A39" s="2905" t="s">
        <v>3377</v>
      </c>
      <c r="B39" s="2030">
        <v>2024</v>
      </c>
      <c r="C39" s="2041">
        <v>2</v>
      </c>
      <c r="D39" s="2006"/>
      <c r="E39" s="2006">
        <v>-0.31</v>
      </c>
      <c r="F39" s="2006">
        <v>-0.39</v>
      </c>
      <c r="G39" s="2006">
        <v>1.23</v>
      </c>
      <c r="H39" s="2917"/>
      <c r="I39" s="2007">
        <f t="shared" ref="I39:I52" si="148">F39</f>
        <v>-0.39</v>
      </c>
      <c r="J39" s="2906"/>
      <c r="K39" s="2042"/>
      <c r="L39" s="2027">
        <f t="shared" ref="L39:N52" si="149">E39/100</f>
        <v>-3.0999999999999999E-3</v>
      </c>
      <c r="M39" s="2027">
        <f t="shared" si="149"/>
        <v>-3.9000000000000003E-3</v>
      </c>
      <c r="N39" s="2027">
        <f t="shared" si="149"/>
        <v>1.23E-2</v>
      </c>
      <c r="O39" s="2027"/>
      <c r="P39" s="2027">
        <f t="shared" si="109"/>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10"/>
        <v>1.0298</v>
      </c>
      <c r="X39" s="2906"/>
      <c r="Y39" s="2027"/>
      <c r="Z39" s="2902">
        <f t="shared" si="147"/>
        <v>3.3E-3</v>
      </c>
      <c r="AA39" s="2903">
        <f t="shared" si="147"/>
        <v>2.3999999999999998E-3</v>
      </c>
      <c r="AB39" s="2027">
        <f t="shared" si="147"/>
        <v>6.1999999999999998E-3</v>
      </c>
      <c r="AC39" s="2904"/>
      <c r="AD39" s="2027">
        <f t="shared" si="114"/>
        <v>2.3999999999999998E-3</v>
      </c>
    </row>
    <row r="40" spans="1:30" s="2044" customFormat="1" ht="12.75">
      <c r="A40" s="2905" t="s">
        <v>3373</v>
      </c>
      <c r="B40" s="2030">
        <v>2024</v>
      </c>
      <c r="C40" s="2041">
        <v>1</v>
      </c>
      <c r="D40" s="2006"/>
      <c r="E40" s="2006">
        <v>0.25</v>
      </c>
      <c r="F40" s="2006">
        <v>0.4</v>
      </c>
      <c r="G40" s="2006">
        <v>-0.63</v>
      </c>
      <c r="H40" s="2917"/>
      <c r="I40" s="2007">
        <f t="shared" ref="I40:I41" si="150">F40</f>
        <v>0.4</v>
      </c>
      <c r="J40" s="2906"/>
      <c r="K40" s="2042"/>
      <c r="L40" s="2027">
        <f t="shared" ref="L40" si="151">E40/100</f>
        <v>2.5000000000000001E-3</v>
      </c>
      <c r="M40" s="2027">
        <f t="shared" ref="M40" si="152">F40/100</f>
        <v>4.0000000000000001E-3</v>
      </c>
      <c r="N40" s="2027">
        <f t="shared" ref="N40" si="153">G40/100</f>
        <v>-6.3E-3</v>
      </c>
      <c r="O40" s="2027"/>
      <c r="P40" s="2027">
        <f t="shared" ref="P40" si="154">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55">T40</f>
        <v>1.0338000000000001</v>
      </c>
      <c r="X40" s="2906"/>
      <c r="Y40" s="2027"/>
      <c r="Z40" s="2902"/>
      <c r="AA40" s="2903"/>
      <c r="AB40" s="2027"/>
      <c r="AC40" s="2904"/>
      <c r="AD40" s="2027"/>
    </row>
    <row r="41" spans="1:30" s="2044" customFormat="1" ht="12.75">
      <c r="A41" s="2905" t="s">
        <v>3371</v>
      </c>
      <c r="B41" s="2030">
        <v>2023</v>
      </c>
      <c r="C41" s="2041">
        <v>4</v>
      </c>
      <c r="D41" s="2006"/>
      <c r="E41" s="2006">
        <v>7.0000000000000007E-2</v>
      </c>
      <c r="F41" s="2006">
        <v>0.09</v>
      </c>
      <c r="G41" s="2006">
        <v>0.03</v>
      </c>
      <c r="H41" s="2917"/>
      <c r="I41" s="2007">
        <f t="shared" si="150"/>
        <v>0.09</v>
      </c>
      <c r="J41" s="2906"/>
      <c r="K41" s="2042"/>
      <c r="L41" s="2027">
        <f t="shared" si="149"/>
        <v>7.000000000000001E-4</v>
      </c>
      <c r="M41" s="2027">
        <f t="shared" si="149"/>
        <v>8.9999999999999998E-4</v>
      </c>
      <c r="N41" s="2027">
        <f t="shared" si="149"/>
        <v>2.9999999999999997E-4</v>
      </c>
      <c r="O41" s="2027"/>
      <c r="P41" s="2027">
        <f t="shared" ref="P41" si="156">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57">T41</f>
        <v>1.0297000000000001</v>
      </c>
      <c r="X41" s="2906"/>
      <c r="Y41" s="2027"/>
      <c r="Z41" s="2902"/>
      <c r="AA41" s="2903"/>
      <c r="AB41" s="2027"/>
      <c r="AC41" s="2904"/>
      <c r="AD41" s="2027"/>
    </row>
    <row r="42" spans="1:30" s="2044" customFormat="1" ht="12.75">
      <c r="A42" s="2905" t="s">
        <v>3369</v>
      </c>
      <c r="B42" s="2030">
        <v>2023</v>
      </c>
      <c r="C42" s="2041">
        <v>3</v>
      </c>
      <c r="D42" s="2006"/>
      <c r="E42" s="2006">
        <v>0.35</v>
      </c>
      <c r="F42" s="2006">
        <v>0.17</v>
      </c>
      <c r="G42" s="2006">
        <v>0.52</v>
      </c>
      <c r="H42" s="2917"/>
      <c r="I42" s="2007">
        <f t="shared" si="148"/>
        <v>0.17</v>
      </c>
      <c r="J42" s="2906"/>
      <c r="K42" s="2042"/>
      <c r="L42" s="2027">
        <f t="shared" ref="L42:L44" si="158">E42/100</f>
        <v>3.4999999999999996E-3</v>
      </c>
      <c r="M42" s="2027">
        <f t="shared" ref="M42:M44" si="159">F42/100</f>
        <v>1.7000000000000001E-3</v>
      </c>
      <c r="N42" s="2027">
        <f t="shared" ref="N42:N44" si="160">G42/100</f>
        <v>5.1999999999999998E-3</v>
      </c>
      <c r="O42" s="2027"/>
      <c r="P42" s="2027">
        <f t="shared" ref="P42:P44" si="161">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62">T42</f>
        <v>1.0286999999999999</v>
      </c>
      <c r="X42" s="2906"/>
      <c r="Y42" s="2027"/>
      <c r="Z42" s="2902"/>
      <c r="AA42" s="2903"/>
      <c r="AB42" s="2027"/>
      <c r="AC42" s="2904"/>
      <c r="AD42" s="2027"/>
    </row>
    <row r="43" spans="1:30" s="2044" customFormat="1" ht="12.75">
      <c r="A43" s="2905" t="s">
        <v>3368</v>
      </c>
      <c r="B43" s="2030">
        <v>2023</v>
      </c>
      <c r="C43" s="2041">
        <v>2</v>
      </c>
      <c r="D43" s="2006"/>
      <c r="E43" s="2006">
        <v>0.5</v>
      </c>
      <c r="F43" s="2006">
        <v>0.45</v>
      </c>
      <c r="G43" s="2006">
        <v>0.89</v>
      </c>
      <c r="H43" s="2917"/>
      <c r="I43" s="2007">
        <f t="shared" si="148"/>
        <v>0.45</v>
      </c>
      <c r="J43" s="2906"/>
      <c r="K43" s="2042"/>
      <c r="L43" s="2027">
        <f t="shared" si="158"/>
        <v>5.0000000000000001E-3</v>
      </c>
      <c r="M43" s="2027">
        <f t="shared" si="159"/>
        <v>4.5000000000000005E-3</v>
      </c>
      <c r="N43" s="2027">
        <f t="shared" si="160"/>
        <v>8.8999999999999999E-3</v>
      </c>
      <c r="O43" s="2027"/>
      <c r="P43" s="2027">
        <f t="shared" si="161"/>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62"/>
        <v>1.0269999999999999</v>
      </c>
      <c r="X43" s="2906"/>
      <c r="Y43" s="2027"/>
      <c r="Z43" s="2902"/>
      <c r="AA43" s="2903"/>
      <c r="AB43" s="2027"/>
      <c r="AC43" s="2904"/>
      <c r="AD43" s="2027"/>
    </row>
    <row r="44" spans="1:30" s="2044" customFormat="1" ht="12.75">
      <c r="A44" s="2905" t="s">
        <v>3366</v>
      </c>
      <c r="B44" s="2030">
        <v>2023</v>
      </c>
      <c r="C44" s="2041">
        <v>1</v>
      </c>
      <c r="D44" s="2006"/>
      <c r="E44" s="2006">
        <v>0.55000000000000004</v>
      </c>
      <c r="F44" s="2006">
        <v>0.59</v>
      </c>
      <c r="G44" s="2006">
        <v>0.64</v>
      </c>
      <c r="H44" s="2917"/>
      <c r="I44" s="2007">
        <f t="shared" si="148"/>
        <v>0.59</v>
      </c>
      <c r="J44" s="2906"/>
      <c r="K44" s="2042"/>
      <c r="L44" s="2027">
        <f t="shared" si="158"/>
        <v>5.5000000000000005E-3</v>
      </c>
      <c r="M44" s="2027">
        <f t="shared" si="159"/>
        <v>5.8999999999999999E-3</v>
      </c>
      <c r="N44" s="2027">
        <f t="shared" si="160"/>
        <v>6.4000000000000003E-3</v>
      </c>
      <c r="O44" s="2027"/>
      <c r="P44" s="2027">
        <f t="shared" si="161"/>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62"/>
        <v>1.0224</v>
      </c>
      <c r="X44" s="2906"/>
      <c r="Y44" s="2027"/>
      <c r="Z44" s="2902"/>
      <c r="AA44" s="2903"/>
      <c r="AB44" s="2027"/>
      <c r="AC44" s="2904"/>
      <c r="AD44" s="2027"/>
    </row>
    <row r="45" spans="1:30" s="2044" customFormat="1" ht="12.75">
      <c r="A45" s="2905" t="s">
        <v>3365</v>
      </c>
      <c r="B45" s="2030">
        <v>2022</v>
      </c>
      <c r="C45" s="2041">
        <v>4</v>
      </c>
      <c r="D45" s="2006"/>
      <c r="E45" s="2006">
        <v>0.45</v>
      </c>
      <c r="F45" s="2006">
        <v>0.2</v>
      </c>
      <c r="G45" s="2006">
        <v>0.38</v>
      </c>
      <c r="H45" s="2917"/>
      <c r="I45" s="2007">
        <f t="shared" si="148"/>
        <v>0.2</v>
      </c>
      <c r="J45" s="2906"/>
      <c r="K45" s="2042"/>
      <c r="L45" s="2027">
        <f t="shared" si="149"/>
        <v>4.5000000000000005E-3</v>
      </c>
      <c r="M45" s="2027">
        <f t="shared" si="149"/>
        <v>2E-3</v>
      </c>
      <c r="N45" s="2027">
        <f t="shared" si="149"/>
        <v>3.8E-3</v>
      </c>
      <c r="O45" s="2027"/>
      <c r="P45" s="2027">
        <f t="shared" ref="P45:P52" si="163">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64">T45</f>
        <v>1.0164</v>
      </c>
      <c r="X45" s="2906"/>
      <c r="Y45" s="2027"/>
      <c r="Z45" s="2902">
        <f t="shared" ref="Z45:AD52" si="165">IF(E45=0,0,ROUND(AVERAGE(E45:E53)/100,4))</f>
        <v>4.0000000000000001E-3</v>
      </c>
      <c r="AA45" s="2903">
        <f t="shared" si="165"/>
        <v>2.5999999999999999E-3</v>
      </c>
      <c r="AB45" s="2027">
        <f t="shared" si="165"/>
        <v>7.4000000000000003E-3</v>
      </c>
      <c r="AC45" s="2904"/>
      <c r="AD45" s="2027">
        <f t="shared" si="165"/>
        <v>2.5999999999999999E-3</v>
      </c>
    </row>
    <row r="46" spans="1:30" s="2044" customFormat="1" ht="12.75">
      <c r="A46" s="2905" t="s">
        <v>3364</v>
      </c>
      <c r="B46" s="2030">
        <v>2022</v>
      </c>
      <c r="C46" s="2041">
        <v>3</v>
      </c>
      <c r="D46" s="2006"/>
      <c r="E46" s="2006">
        <v>0.3</v>
      </c>
      <c r="F46" s="2006">
        <v>0.28999999999999998</v>
      </c>
      <c r="G46" s="2006">
        <v>0.83</v>
      </c>
      <c r="H46" s="2917"/>
      <c r="I46" s="2007">
        <f t="shared" si="148"/>
        <v>0.28999999999999998</v>
      </c>
      <c r="J46" s="2906"/>
      <c r="K46" s="2042"/>
      <c r="L46" s="2027">
        <f t="shared" si="149"/>
        <v>3.0000000000000001E-3</v>
      </c>
      <c r="M46" s="2027">
        <f t="shared" si="149"/>
        <v>2.8999999999999998E-3</v>
      </c>
      <c r="N46" s="2027">
        <f t="shared" si="149"/>
        <v>8.3000000000000001E-3</v>
      </c>
      <c r="O46" s="2027"/>
      <c r="P46" s="2027">
        <f t="shared" si="163"/>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64"/>
        <v>1.0144</v>
      </c>
      <c r="X46" s="2906"/>
      <c r="Y46" s="2027"/>
      <c r="Z46" s="2902">
        <f t="shared" si="165"/>
        <v>3.8999999999999998E-3</v>
      </c>
      <c r="AA46" s="2903">
        <f t="shared" si="165"/>
        <v>2.7000000000000001E-3</v>
      </c>
      <c r="AB46" s="2027">
        <f t="shared" si="165"/>
        <v>7.9000000000000008E-3</v>
      </c>
      <c r="AC46" s="2904"/>
      <c r="AD46" s="2027">
        <f t="shared" si="165"/>
        <v>2.7000000000000001E-3</v>
      </c>
    </row>
    <row r="47" spans="1:30" s="2044" customFormat="1" ht="12.75">
      <c r="A47" s="2905" t="s">
        <v>3354</v>
      </c>
      <c r="B47" s="2030">
        <v>2022</v>
      </c>
      <c r="C47" s="2041">
        <v>2</v>
      </c>
      <c r="D47" s="2006"/>
      <c r="E47" s="2006">
        <v>-0.11</v>
      </c>
      <c r="F47" s="2006">
        <v>-0.13</v>
      </c>
      <c r="G47" s="2006">
        <v>0.53</v>
      </c>
      <c r="H47" s="2917"/>
      <c r="I47" s="2007">
        <f t="shared" si="148"/>
        <v>-0.13</v>
      </c>
      <c r="J47" s="2906"/>
      <c r="K47" s="2042"/>
      <c r="L47" s="2027">
        <f t="shared" si="149"/>
        <v>-1.1000000000000001E-3</v>
      </c>
      <c r="M47" s="2027">
        <f t="shared" si="149"/>
        <v>-1.2999999999999999E-3</v>
      </c>
      <c r="N47" s="2027">
        <f t="shared" si="149"/>
        <v>5.3E-3</v>
      </c>
      <c r="O47" s="2027"/>
      <c r="P47" s="2027">
        <f t="shared" si="163"/>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64"/>
        <v>1.0114000000000001</v>
      </c>
      <c r="X47" s="2906"/>
      <c r="Y47" s="2027"/>
      <c r="Z47" s="2902">
        <f t="shared" si="165"/>
        <v>4.1000000000000003E-3</v>
      </c>
      <c r="AA47" s="2903">
        <f t="shared" si="165"/>
        <v>2.7000000000000001E-3</v>
      </c>
      <c r="AB47" s="2027">
        <f t="shared" si="165"/>
        <v>7.9000000000000008E-3</v>
      </c>
      <c r="AC47" s="2904"/>
      <c r="AD47" s="2027">
        <f t="shared" si="165"/>
        <v>2.7000000000000001E-3</v>
      </c>
    </row>
    <row r="48" spans="1:30" s="2044" customFormat="1" ht="12.75">
      <c r="A48" s="2905" t="s">
        <v>2834</v>
      </c>
      <c r="B48" s="2030">
        <v>2022</v>
      </c>
      <c r="C48" s="2041">
        <v>1</v>
      </c>
      <c r="D48" s="2006"/>
      <c r="E48" s="2006">
        <v>0.6</v>
      </c>
      <c r="F48" s="2006">
        <v>0.45</v>
      </c>
      <c r="G48" s="2006">
        <v>0.53</v>
      </c>
      <c r="H48" s="2917"/>
      <c r="I48" s="2007">
        <f t="shared" si="148"/>
        <v>0.45</v>
      </c>
      <c r="J48" s="2906"/>
      <c r="K48" s="2042"/>
      <c r="L48" s="2027">
        <f t="shared" si="149"/>
        <v>6.0000000000000001E-3</v>
      </c>
      <c r="M48" s="2027">
        <f t="shared" si="149"/>
        <v>4.5000000000000005E-3</v>
      </c>
      <c r="N48" s="2027">
        <f t="shared" si="149"/>
        <v>5.3E-3</v>
      </c>
      <c r="O48" s="2027"/>
      <c r="P48" s="2027">
        <f t="shared" si="163"/>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64"/>
        <v>1.0127999999999999</v>
      </c>
      <c r="X48" s="2906"/>
      <c r="Y48" s="2027"/>
      <c r="Z48" s="2902">
        <f t="shared" si="165"/>
        <v>5.1000000000000004E-3</v>
      </c>
      <c r="AA48" s="2903">
        <f t="shared" si="165"/>
        <v>3.5000000000000001E-3</v>
      </c>
      <c r="AB48" s="2027">
        <f t="shared" si="165"/>
        <v>8.3999999999999995E-3</v>
      </c>
      <c r="AC48" s="2904"/>
      <c r="AD48" s="2027">
        <f t="shared" si="165"/>
        <v>3.5000000000000001E-3</v>
      </c>
    </row>
    <row r="49" spans="1:30" s="2044" customFormat="1" ht="12.75">
      <c r="A49" s="2905" t="s">
        <v>2835</v>
      </c>
      <c r="B49" s="2030">
        <v>2021</v>
      </c>
      <c r="C49" s="2041">
        <v>4</v>
      </c>
      <c r="D49" s="2006"/>
      <c r="E49" s="2006">
        <v>0.57999999999999996</v>
      </c>
      <c r="F49" s="2006">
        <v>0.08</v>
      </c>
      <c r="G49" s="2006">
        <v>0.68</v>
      </c>
      <c r="H49" s="2917"/>
      <c r="I49" s="2007">
        <f t="shared" si="148"/>
        <v>0.08</v>
      </c>
      <c r="J49" s="2906"/>
      <c r="K49" s="2042"/>
      <c r="L49" s="2027">
        <f t="shared" si="149"/>
        <v>5.7999999999999996E-3</v>
      </c>
      <c r="M49" s="2027">
        <f t="shared" si="149"/>
        <v>8.0000000000000004E-4</v>
      </c>
      <c r="N49" s="2027">
        <f t="shared" si="149"/>
        <v>6.8000000000000005E-3</v>
      </c>
      <c r="O49" s="2027"/>
      <c r="P49" s="2027">
        <f t="shared" si="163"/>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64"/>
        <v>1.0082</v>
      </c>
      <c r="X49" s="2906"/>
      <c r="Y49" s="2027"/>
      <c r="Z49" s="2902">
        <f t="shared" si="165"/>
        <v>4.8999999999999998E-3</v>
      </c>
      <c r="AA49" s="2903">
        <f t="shared" si="165"/>
        <v>3.3E-3</v>
      </c>
      <c r="AB49" s="2027">
        <f t="shared" si="165"/>
        <v>9.1999999999999998E-3</v>
      </c>
      <c r="AC49" s="2904"/>
      <c r="AD49" s="2027">
        <f t="shared" si="165"/>
        <v>3.3E-3</v>
      </c>
    </row>
    <row r="50" spans="1:30" s="2044" customFormat="1" ht="12.75">
      <c r="A50" s="2905" t="s">
        <v>2836</v>
      </c>
      <c r="B50" s="2030">
        <v>2021</v>
      </c>
      <c r="C50" s="2041">
        <v>3</v>
      </c>
      <c r="D50" s="2006"/>
      <c r="E50" s="2006">
        <v>0.47</v>
      </c>
      <c r="F50" s="2006">
        <v>0.28000000000000003</v>
      </c>
      <c r="G50" s="2006">
        <v>0.91</v>
      </c>
      <c r="H50" s="2917"/>
      <c r="I50" s="2007">
        <f t="shared" si="148"/>
        <v>0.28000000000000003</v>
      </c>
      <c r="J50" s="2906"/>
      <c r="K50" s="2042"/>
      <c r="L50" s="2027">
        <f t="shared" si="149"/>
        <v>4.6999999999999993E-3</v>
      </c>
      <c r="M50" s="2027">
        <f t="shared" si="149"/>
        <v>2.8000000000000004E-3</v>
      </c>
      <c r="N50" s="2027">
        <f t="shared" si="149"/>
        <v>9.1000000000000004E-3</v>
      </c>
      <c r="O50" s="2027"/>
      <c r="P50" s="2027">
        <f t="shared" si="163"/>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64"/>
        <v>1.0074000000000001</v>
      </c>
      <c r="X50" s="2906"/>
      <c r="Y50" s="2027"/>
      <c r="Z50" s="2902">
        <f t="shared" si="165"/>
        <v>4.5999999999999999E-3</v>
      </c>
      <c r="AA50" s="2903">
        <f t="shared" si="165"/>
        <v>4.1000000000000003E-3</v>
      </c>
      <c r="AB50" s="2027">
        <f t="shared" si="165"/>
        <v>0.01</v>
      </c>
      <c r="AC50" s="2904"/>
      <c r="AD50" s="2027">
        <f t="shared" si="165"/>
        <v>4.1000000000000003E-3</v>
      </c>
    </row>
    <row r="51" spans="1:30" s="2044" customFormat="1" ht="12.75">
      <c r="A51" s="2905" t="s">
        <v>2837</v>
      </c>
      <c r="B51" s="2030">
        <v>2021</v>
      </c>
      <c r="C51" s="2041">
        <v>2</v>
      </c>
      <c r="D51" s="2006"/>
      <c r="E51" s="2006">
        <v>0.55000000000000004</v>
      </c>
      <c r="F51" s="2006">
        <v>0.46</v>
      </c>
      <c r="G51" s="2006">
        <v>1.1000000000000001</v>
      </c>
      <c r="H51" s="2917"/>
      <c r="I51" s="2007">
        <f t="shared" si="148"/>
        <v>0.46</v>
      </c>
      <c r="J51" s="2906"/>
      <c r="K51" s="2042"/>
      <c r="L51" s="2027">
        <f t="shared" si="149"/>
        <v>5.5000000000000005E-3</v>
      </c>
      <c r="M51" s="2027">
        <f t="shared" si="149"/>
        <v>4.5999999999999999E-3</v>
      </c>
      <c r="N51" s="2027">
        <f t="shared" si="149"/>
        <v>1.1000000000000001E-2</v>
      </c>
      <c r="O51" s="2027"/>
      <c r="P51" s="2027">
        <f t="shared" si="163"/>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64"/>
        <v>1.0045999999999999</v>
      </c>
      <c r="X51" s="2906"/>
      <c r="Y51" s="2027"/>
      <c r="Z51" s="2902">
        <f t="shared" si="165"/>
        <v>4.4999999999999997E-3</v>
      </c>
      <c r="AA51" s="2903">
        <f t="shared" si="165"/>
        <v>4.7000000000000002E-3</v>
      </c>
      <c r="AB51" s="2027">
        <f t="shared" si="165"/>
        <v>1.04E-2</v>
      </c>
      <c r="AC51" s="2904"/>
      <c r="AD51" s="2027">
        <f t="shared" si="165"/>
        <v>4.7000000000000002E-3</v>
      </c>
    </row>
    <row r="52" spans="1:30" s="2928" customFormat="1" thickBot="1">
      <c r="A52" s="2918" t="s">
        <v>2823</v>
      </c>
      <c r="B52" s="2919">
        <v>2021</v>
      </c>
      <c r="C52" s="2920">
        <v>1</v>
      </c>
      <c r="D52" s="2921"/>
      <c r="E52" s="2921">
        <v>0.35</v>
      </c>
      <c r="F52" s="2921">
        <v>0.48</v>
      </c>
      <c r="G52" s="2921">
        <v>0.98</v>
      </c>
      <c r="H52" s="2922"/>
      <c r="I52" s="2923">
        <f t="shared" si="148"/>
        <v>0.48</v>
      </c>
      <c r="J52" s="2924"/>
      <c r="K52" s="2925"/>
      <c r="L52" s="2926">
        <f t="shared" si="149"/>
        <v>3.4999999999999996E-3</v>
      </c>
      <c r="M52" s="2926">
        <f>F52/100</f>
        <v>4.7999999999999996E-3</v>
      </c>
      <c r="N52" s="2926">
        <f t="shared" si="149"/>
        <v>9.7999999999999997E-3</v>
      </c>
      <c r="O52" s="2926"/>
      <c r="P52" s="2926">
        <f t="shared" si="163"/>
        <v>4.7999999999999996E-3</v>
      </c>
      <c r="Q52" s="2924"/>
      <c r="R52" s="2927"/>
      <c r="S52" s="2927">
        <v>1</v>
      </c>
      <c r="T52" s="2927">
        <v>1</v>
      </c>
      <c r="U52" s="2927">
        <v>1</v>
      </c>
      <c r="V52" s="2927"/>
      <c r="W52" s="2927">
        <f t="shared" si="164"/>
        <v>1</v>
      </c>
      <c r="X52" s="2924"/>
      <c r="Y52" s="2926"/>
      <c r="Z52" s="2934">
        <f t="shared" si="165"/>
        <v>3.5000000000000001E-3</v>
      </c>
      <c r="AA52" s="2935">
        <f t="shared" si="165"/>
        <v>4.7999999999999996E-3</v>
      </c>
      <c r="AB52" s="2926">
        <f t="shared" si="165"/>
        <v>9.7999999999999997E-3</v>
      </c>
      <c r="AC52" s="2936"/>
      <c r="AD52" s="2926">
        <f t="shared" si="165"/>
        <v>4.7999999999999996E-3</v>
      </c>
    </row>
    <row r="53" spans="1:30" ht="14.25" thickTop="1"/>
    <row r="54" spans="1:30">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9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2">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2">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45833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2308</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77"/>
      <c r="B3" s="3177"/>
      <c r="C3" s="3177"/>
      <c r="D3" s="801" t="s">
        <v>925</v>
      </c>
      <c r="E3" s="801" t="s">
        <v>931</v>
      </c>
      <c r="F3" s="801" t="s">
        <v>925</v>
      </c>
      <c r="G3" s="801" t="s">
        <v>926</v>
      </c>
      <c r="H3" s="801" t="s">
        <v>925</v>
      </c>
      <c r="I3" s="801" t="s">
        <v>926</v>
      </c>
    </row>
    <row r="4" spans="1:9" ht="15">
      <c r="A4" s="1402" t="str">
        <f>项目基本情况!S2</f>
        <v>房地产</v>
      </c>
      <c r="B4" s="801">
        <f>项目基本情况!C17</f>
        <v>134.96</v>
      </c>
      <c r="C4" s="801">
        <f>项目基本情况!C18</f>
        <v>0</v>
      </c>
      <c r="D4" s="801">
        <f ca="1">结果表!D118</f>
        <v>59</v>
      </c>
      <c r="E4" s="801">
        <f ca="1">结果表!E118</f>
        <v>4364</v>
      </c>
      <c r="F4" s="801">
        <f ca="1">结果表!F118</f>
        <v>114</v>
      </c>
      <c r="G4" s="801">
        <f ca="1">结果表!G118</f>
        <v>8434</v>
      </c>
      <c r="H4" s="801">
        <f ca="1">结果表!H118</f>
        <v>173</v>
      </c>
      <c r="I4" s="801">
        <f ca="1">结果表!I118</f>
        <v>12798</v>
      </c>
    </row>
    <row r="5" spans="1:9" ht="30" customHeight="1">
      <c r="A5" s="3177" t="s">
        <v>927</v>
      </c>
      <c r="B5" s="3177"/>
      <c r="C5" s="3177"/>
      <c r="D5" s="3177" t="str">
        <f ca="1">结果表!D119</f>
        <v>伍拾玖万元整</v>
      </c>
      <c r="E5" s="3177"/>
      <c r="F5" s="3177" t="str">
        <f ca="1">结果表!F119</f>
        <v>壹佰壹拾肆万元整</v>
      </c>
      <c r="G5" s="3177"/>
      <c r="H5" s="3177" t="str">
        <f ca="1">结果表!H119</f>
        <v>壹佰柒拾叁万元整</v>
      </c>
      <c r="I5" s="3177"/>
    </row>
    <row r="6" spans="1:9" ht="15.75">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75">
      <c r="A8" s="3176" t="str">
        <f>结果表!A122</f>
        <v>房地产抵押价值</v>
      </c>
      <c r="B8" s="3176"/>
      <c r="C8" s="3176"/>
      <c r="D8" s="3176">
        <f ca="1">结果表!D122</f>
        <v>173</v>
      </c>
      <c r="E8" s="3176"/>
      <c r="F8" s="3176"/>
      <c r="G8" s="3176"/>
      <c r="H8" s="3176"/>
      <c r="I8" s="3176"/>
    </row>
    <row r="9" spans="1:9" ht="15">
      <c r="A9" s="3177" t="s">
        <v>927</v>
      </c>
      <c r="B9" s="3177"/>
      <c r="C9" s="3177"/>
      <c r="D9" s="3177" t="str">
        <f ca="1">结果表!D123</f>
        <v>壹佰柒拾叁万元整</v>
      </c>
      <c r="E9" s="3177"/>
      <c r="F9" s="3177"/>
      <c r="G9" s="3177"/>
      <c r="H9" s="3177"/>
      <c r="I9" s="3177"/>
    </row>
    <row r="10" spans="1:9" ht="15.75">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75">
      <c r="A12" s="3176" t="str">
        <f>结果表!A126</f>
        <v/>
      </c>
      <c r="B12" s="3176"/>
      <c r="C12" s="3176"/>
      <c r="D12" s="3176" t="str">
        <f>结果表!D126</f>
        <v>——</v>
      </c>
      <c r="E12" s="3176"/>
      <c r="F12" s="3176"/>
      <c r="G12" s="3176"/>
      <c r="H12" s="3176"/>
      <c r="I12" s="3176"/>
    </row>
    <row r="13" spans="1:9" ht="15.75" thickBot="1">
      <c r="A13" s="3174" t="s">
        <v>927</v>
      </c>
      <c r="B13" s="3174"/>
      <c r="C13" s="3174"/>
      <c r="D13" s="3174" t="e">
        <f>结果表!D127</f>
        <v>#VALUE!</v>
      </c>
      <c r="E13" s="3174"/>
      <c r="F13" s="3174"/>
      <c r="G13" s="3174"/>
      <c r="H13" s="3174"/>
      <c r="I13" s="3174"/>
    </row>
    <row r="14" spans="1:9" ht="15" thickTop="1">
      <c r="A14" s="3175" t="s">
        <v>932</v>
      </c>
      <c r="B14" s="3175"/>
      <c r="C14" s="3175"/>
      <c r="D14" s="3175"/>
      <c r="E14" s="3175"/>
      <c r="F14" s="3175"/>
      <c r="G14" s="3175"/>
      <c r="H14" s="3175"/>
      <c r="I14" s="3175"/>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8">
      <c r="A6" s="3190" t="s">
        <v>939</v>
      </c>
      <c r="B6" s="3190"/>
      <c r="C6" s="3190"/>
      <c r="D6" s="319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1" t="s">
        <v>942</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7" t="s">
        <v>956</v>
      </c>
      <c r="B15" s="3192" t="s">
        <v>109</v>
      </c>
      <c r="C15" s="3193"/>
    </row>
    <row r="16" spans="1:7" ht="13.5">
      <c r="A16" s="3198"/>
      <c r="B16" s="3192" t="s">
        <v>42</v>
      </c>
      <c r="C16" s="3193"/>
    </row>
    <row r="17" spans="1:3" ht="13.5">
      <c r="A17" s="3198"/>
      <c r="B17" s="3195" t="s">
        <v>957</v>
      </c>
      <c r="C17" s="1428" t="s">
        <v>956</v>
      </c>
    </row>
    <row r="18" spans="1:3" ht="13.5">
      <c r="A18" s="3198"/>
      <c r="B18" s="3195"/>
      <c r="C18" s="1428" t="s">
        <v>958</v>
      </c>
    </row>
    <row r="19" spans="1:3" ht="13.5">
      <c r="A19" s="3198"/>
      <c r="B19" s="3195"/>
      <c r="C19" s="1428" t="s">
        <v>959</v>
      </c>
    </row>
    <row r="20" spans="1:3" ht="13.5">
      <c r="A20" s="3199"/>
      <c r="B20" s="3194" t="s">
        <v>960</v>
      </c>
      <c r="C20" s="3193"/>
    </row>
    <row r="21" spans="1:3" ht="13.5">
      <c r="A21" s="1429" t="s">
        <v>961</v>
      </c>
      <c r="B21" s="1430"/>
      <c r="C21" s="1431"/>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8" t="s">
        <v>967</v>
      </c>
    </row>
    <row r="26" spans="1:3" ht="13.5">
      <c r="A26" s="3196"/>
      <c r="B26" s="3195"/>
      <c r="C26" s="1428" t="s">
        <v>968</v>
      </c>
    </row>
    <row r="27" spans="1:3" ht="13.5">
      <c r="A27" s="3196"/>
      <c r="B27" s="3195"/>
      <c r="C27" s="1428" t="s">
        <v>969</v>
      </c>
    </row>
    <row r="28" spans="1:3" ht="13.5">
      <c r="A28" s="3196"/>
      <c r="B28" s="3195"/>
      <c r="C28" s="1428" t="s">
        <v>970</v>
      </c>
    </row>
    <row r="29" spans="1:3" ht="13.5">
      <c r="A29" s="3196"/>
      <c r="B29" s="3195"/>
      <c r="C29" s="1428" t="s">
        <v>971</v>
      </c>
    </row>
    <row r="30" spans="1:3" ht="13.5">
      <c r="A30" s="3196"/>
      <c r="B30" s="3195"/>
      <c r="C30" s="1428" t="s">
        <v>972</v>
      </c>
    </row>
    <row r="31" spans="1:3" ht="13.5">
      <c r="A31" s="3196"/>
      <c r="B31" s="3195"/>
      <c r="C31" s="1428" t="s">
        <v>973</v>
      </c>
    </row>
    <row r="32" spans="1:3" ht="13.5">
      <c r="A32" s="3196"/>
      <c r="B32" s="3195"/>
      <c r="C32" s="1428" t="s">
        <v>974</v>
      </c>
    </row>
    <row r="33" spans="1:3" ht="13.5">
      <c r="A33" s="3196"/>
      <c r="B33" s="319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45832</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2436</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59"/>
      <c r="E18" s="3202" t="s">
        <v>2161</v>
      </c>
      <c r="F18" s="3201"/>
      <c r="G18" s="3201"/>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比较法-办公</vt:lpstr>
      <vt:lpstr>办公案例</vt:lpstr>
      <vt:lpstr>公寓租金</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成本法 (元)</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50486</cp:lastModifiedBy>
  <cp:lastPrinted>2017-03-01T09:15:43Z</cp:lastPrinted>
  <dcterms:created xsi:type="dcterms:W3CDTF">2015-07-13T07:17:23Z</dcterms:created>
  <dcterms:modified xsi:type="dcterms:W3CDTF">2025-06-24T15:00:56Z</dcterms:modified>
</cp:coreProperties>
</file>